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bcpc\Desktop\ACC9 2023-2024\"/>
    </mc:Choice>
  </mc:AlternateContent>
  <bookViews>
    <workbookView xWindow="29985" yWindow="1035" windowWidth="26970" windowHeight="14925" tabRatio="890"/>
  </bookViews>
  <sheets>
    <sheet name="Data Set up" sheetId="1" r:id="rId1"/>
    <sheet name="Revenue Jrnl" sheetId="2" r:id="rId2"/>
    <sheet name="Expense Jrnl" sheetId="3" r:id="rId3"/>
    <sheet name="Transactions Listing" sheetId="4" r:id="rId4"/>
    <sheet name="Acct Detailed Reconcil" sheetId="5" r:id="rId5"/>
    <sheet name="Acct Summ Reconcil" sheetId="6" r:id="rId6"/>
    <sheet name="Budget Tracker" sheetId="7" r:id="rId7"/>
    <sheet name="Investments" sheetId="8" r:id="rId8"/>
    <sheet name="DND Claim Tracker" sheetId="9" r:id="rId9"/>
    <sheet name="Volunteering tracker" sheetId="10" r:id="rId10"/>
    <sheet name="Cover Page" sheetId="11" r:id="rId11"/>
    <sheet name="ACC9 (Page 1) ID" sheetId="12" r:id="rId12"/>
    <sheet name="ACC9 (Pages 2-3) Revenues" sheetId="13" r:id="rId13"/>
    <sheet name="ACC9 (Pages 4-5) Expenses" sheetId="14" r:id="rId14"/>
    <sheet name="ACC9 (Page 6) Balance Sheet" sheetId="15" r:id="rId15"/>
    <sheet name="ACC9 (Pages 7-9) Fixed Assets" sheetId="16" r:id="rId16"/>
    <sheet name="T3010 Worksheet" sheetId="17" r:id="rId17"/>
    <sheet name="TP-985.22-V Worksheet" sheetId="18" r:id="rId18"/>
    <sheet name="Tax Rebate Calculations" sheetId="19" r:id="rId19"/>
    <sheet name="End of Year" sheetId="20" r:id="rId20"/>
    <sheet name="Budget Next FY" sheetId="21" r:id="rId21"/>
    <sheet name="Roll Up Pgm" sheetId="22" state="hidden" r:id="rId22"/>
  </sheets>
  <definedNames>
    <definedName name="_xlnm._FilterDatabase" localSheetId="3" hidden="1">'Transactions Listing'!$B$7:$N$1017</definedName>
    <definedName name="BestTime" localSheetId="19">#REF!</definedName>
    <definedName name="BestTime" localSheetId="7">#REF!</definedName>
    <definedName name="BestTime">'Data Set up'!$K$30:$K$35</definedName>
    <definedName name="_xlnm.Criteria" localSheetId="3">'Transactions Listing'!#REF!</definedName>
    <definedName name="DebutAnnee">'Data Set up'!$K$9</definedName>
    <definedName name="EndOfYear" localSheetId="4">'Acct Detailed Reconcil'!$T$4</definedName>
    <definedName name="EndOfYear" localSheetId="19">#REF!</definedName>
    <definedName name="EndOfYear" localSheetId="7">#REF!</definedName>
    <definedName name="EndOfYear">'Acct Summ Reconcil'!$Q$4</definedName>
    <definedName name="FY">'Data Set up'!$O$40</definedName>
    <definedName name="jurisdiction">'ACC9 (Page 1) ID'!$O$7:$O$19</definedName>
    <definedName name="_xlnm.Print_Area" localSheetId="11">'ACC9 (Page 1) ID'!$B$1:$J$49</definedName>
    <definedName name="_xlnm.Print_Area" localSheetId="14">'ACC9 (Page 6) Balance Sheet'!$B$1:$N$73</definedName>
    <definedName name="_xlnm.Print_Area" localSheetId="12">'ACC9 (Pages 2-3) Revenues'!$B$1:$K$68</definedName>
    <definedName name="_xlnm.Print_Area" localSheetId="13">'ACC9 (Pages 4-5) Expenses'!$B$1:$K$93</definedName>
    <definedName name="_xlnm.Print_Area" localSheetId="15">'ACC9 (Pages 7-9) Fixed Assets'!$B$1:$J$149</definedName>
    <definedName name="_xlnm.Print_Area" localSheetId="4">'Acct Detailed Reconcil'!$B$1:$O$627</definedName>
    <definedName name="_xlnm.Print_Area" localSheetId="5">'Acct Summ Reconcil'!$B$1:$O$122</definedName>
    <definedName name="_xlnm.Print_Area" localSheetId="20">'Budget Next FY'!$B$1:$K$146</definedName>
    <definedName name="_xlnm.Print_Area" localSheetId="6">'Budget Tracker'!$A$1:$J$142</definedName>
    <definedName name="_xlnm.Print_Area" localSheetId="10">'Cover Page'!$C$1:$O$60</definedName>
    <definedName name="_xlnm.Print_Area" localSheetId="0">'Data Set up'!$B$1:$I$90</definedName>
    <definedName name="_xlnm.Print_Area" localSheetId="8">'DND Claim Tracker'!$A$1:$AC$64</definedName>
    <definedName name="_xlnm.Print_Area" localSheetId="19">'End of Year'!$B$1:$I$40</definedName>
    <definedName name="_xlnm.Print_Area" localSheetId="2">'Expense Jrnl'!$A$1</definedName>
    <definedName name="_xlnm.Print_Area" localSheetId="7">Investments!$B$1:$N$63</definedName>
    <definedName name="_xlnm.Print_Area" localSheetId="1">'Revenue Jrnl'!$A$1</definedName>
    <definedName name="_xlnm.Print_Area" localSheetId="16">'T3010 Worksheet'!$B$1:$G$89</definedName>
    <definedName name="_xlnm.Print_Area" localSheetId="18">'Tax Rebate Calculations'!$B$3:$H$128</definedName>
    <definedName name="_xlnm.Print_Area" localSheetId="17">'TP-985.22-V Worksheet'!$B$1:$G$60</definedName>
    <definedName name="_xlnm.Print_Area" localSheetId="3">'Transactions Listing'!$C$1:$L$1017</definedName>
    <definedName name="_xlnm.Print_Area" localSheetId="9">'Volunteering tracker'!$B$5:$BF$81</definedName>
    <definedName name="_xlnm.Print_Titles" localSheetId="12">'ACC9 (Pages 2-3) Revenues'!$1:$5</definedName>
    <definedName name="_xlnm.Print_Titles" localSheetId="13">'ACC9 (Pages 4-5) Expenses'!$1:$8</definedName>
    <definedName name="_xlnm.Print_Titles" localSheetId="15">'ACC9 (Pages 7-9) Fixed Assets'!$1:$7</definedName>
    <definedName name="_xlnm.Print_Titles" localSheetId="4">'Acct Detailed Reconcil'!$1:$4</definedName>
    <definedName name="_xlnm.Print_Titles" localSheetId="5">'Acct Summ Reconcil'!$1:$4</definedName>
    <definedName name="_xlnm.Print_Titles" localSheetId="20">'Budget Next FY'!$1:$5</definedName>
    <definedName name="_xlnm.Print_Titles" localSheetId="6">'Budget Tracker'!$1:$7</definedName>
    <definedName name="_xlnm.Print_Titles" localSheetId="0">'Data Set up'!$1:$7</definedName>
    <definedName name="_xlnm.Print_Titles" localSheetId="8">'DND Claim Tracker'!$1:$7</definedName>
    <definedName name="_xlnm.Print_Titles" localSheetId="2">'Expense Jrnl'!$B:$P</definedName>
    <definedName name="_xlnm.Print_Titles" localSheetId="7">Investments!$1:$4</definedName>
    <definedName name="_xlnm.Print_Titles" localSheetId="1">'Revenue Jrnl'!$B:$Q,'Revenue Jrnl'!$5:$8</definedName>
    <definedName name="_xlnm.Print_Titles" localSheetId="16">'T3010 Worksheet'!$1:$6</definedName>
    <definedName name="_xlnm.Print_Titles" localSheetId="18">'Tax Rebate Calculations'!$3:$5</definedName>
    <definedName name="_xlnm.Print_Titles" localSheetId="17">'TP-985.22-V Worksheet'!$1:$6</definedName>
    <definedName name="_xlnm.Print_Titles" localSheetId="3">'Transactions Listing'!$1:$7</definedName>
    <definedName name="Prov" localSheetId="19">'End of Year'!$P$36:$P$40</definedName>
    <definedName name="Prov">#REF!</definedName>
    <definedName name="Rate" localSheetId="19">'End of Year'!$Q$36:$Q$40</definedName>
    <definedName name="Rate">#REF!</definedName>
    <definedName name="StartOfYear">'Data Set up'!$K$8</definedName>
    <definedName name="TodayDate">'Acct Detailed Reconcil'!$T$9</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540" i="3" l="1"/>
  <c r="H539" i="3"/>
  <c r="H538" i="3"/>
  <c r="H537" i="3"/>
  <c r="H536" i="3"/>
  <c r="H535" i="3"/>
  <c r="H534" i="3"/>
  <c r="H533" i="3"/>
  <c r="H532" i="3"/>
  <c r="H531" i="3"/>
  <c r="H530" i="3"/>
  <c r="H529" i="3"/>
  <c r="H528" i="3"/>
  <c r="H527" i="3"/>
  <c r="H526" i="3"/>
  <c r="H525" i="3"/>
  <c r="H524" i="3"/>
  <c r="H523" i="3"/>
  <c r="G23" i="20"/>
  <c r="G21" i="20"/>
  <c r="G20" i="20"/>
  <c r="G19" i="20"/>
  <c r="G18" i="20"/>
  <c r="G17" i="20"/>
  <c r="G16" i="20"/>
  <c r="G15" i="20"/>
  <c r="G14" i="20"/>
  <c r="G13" i="20"/>
  <c r="G12" i="20"/>
  <c r="G11" i="20"/>
  <c r="G10" i="20"/>
  <c r="G9" i="20"/>
  <c r="G8" i="20"/>
  <c r="G7" i="20"/>
  <c r="G6" i="20"/>
  <c r="G5" i="20"/>
  <c r="G518" i="2"/>
  <c r="G540" i="2"/>
  <c r="G539" i="2"/>
  <c r="G538" i="2"/>
  <c r="G537" i="2"/>
  <c r="G536" i="2"/>
  <c r="G535" i="2"/>
  <c r="G534" i="2"/>
  <c r="G533" i="2"/>
  <c r="G532" i="2"/>
  <c r="G531" i="2"/>
  <c r="G530" i="2"/>
  <c r="G529" i="2"/>
  <c r="G528" i="2"/>
  <c r="G527" i="2"/>
  <c r="G526" i="2"/>
  <c r="G525" i="2"/>
  <c r="G524" i="2"/>
  <c r="A3" i="22"/>
  <c r="A2" i="22"/>
  <c r="A1" i="22"/>
  <c r="G146" i="21"/>
  <c r="G144" i="21"/>
  <c r="F143" i="21"/>
  <c r="B142" i="21"/>
  <c r="H138" i="21"/>
  <c r="F138" i="21"/>
  <c r="H137" i="21"/>
  <c r="H136" i="21"/>
  <c r="H135" i="21"/>
  <c r="H134" i="21"/>
  <c r="H133" i="21"/>
  <c r="H132" i="21"/>
  <c r="F132" i="21"/>
  <c r="H131" i="21"/>
  <c r="F131" i="21"/>
  <c r="H130" i="21"/>
  <c r="H129" i="21"/>
  <c r="H128" i="21"/>
  <c r="H127" i="21"/>
  <c r="H126" i="21"/>
  <c r="H125" i="21"/>
  <c r="H124" i="21"/>
  <c r="H123" i="21"/>
  <c r="H110" i="21"/>
  <c r="H109" i="21"/>
  <c r="H108" i="21"/>
  <c r="H107" i="21"/>
  <c r="H106" i="21"/>
  <c r="H105" i="21"/>
  <c r="F105" i="21"/>
  <c r="G104" i="21"/>
  <c r="G103" i="21"/>
  <c r="G102" i="21"/>
  <c r="G101" i="21"/>
  <c r="G100" i="21"/>
  <c r="G99" i="21"/>
  <c r="G98" i="21"/>
  <c r="K97" i="21"/>
  <c r="F97" i="21"/>
  <c r="H96" i="21"/>
  <c r="F96" i="21"/>
  <c r="H95" i="21"/>
  <c r="F95" i="21"/>
  <c r="H94" i="21"/>
  <c r="F94" i="21"/>
  <c r="H93" i="21"/>
  <c r="H92" i="21"/>
  <c r="F92" i="21"/>
  <c r="H91" i="21"/>
  <c r="F91" i="21"/>
  <c r="H90" i="21"/>
  <c r="F90" i="21"/>
  <c r="H89" i="21"/>
  <c r="F89" i="21"/>
  <c r="H88" i="21"/>
  <c r="F88" i="21"/>
  <c r="G87" i="21"/>
  <c r="G86" i="21"/>
  <c r="G85" i="21"/>
  <c r="G84" i="21"/>
  <c r="G83" i="21"/>
  <c r="G82" i="21"/>
  <c r="G81" i="21"/>
  <c r="K80" i="21"/>
  <c r="K140" i="21" s="1"/>
  <c r="O3" i="21" s="1"/>
  <c r="H79" i="21"/>
  <c r="H78" i="21"/>
  <c r="H77" i="21"/>
  <c r="H76" i="21"/>
  <c r="H75" i="21"/>
  <c r="H74" i="21"/>
  <c r="H73" i="21"/>
  <c r="H72" i="21"/>
  <c r="H71" i="21"/>
  <c r="H70" i="21"/>
  <c r="H69" i="21"/>
  <c r="H68" i="21"/>
  <c r="H67" i="21"/>
  <c r="F67" i="21"/>
  <c r="H66" i="21"/>
  <c r="H65" i="21"/>
  <c r="H64" i="21"/>
  <c r="H63" i="21"/>
  <c r="H62" i="21"/>
  <c r="H61" i="21"/>
  <c r="H56" i="21"/>
  <c r="H55" i="21"/>
  <c r="H54" i="21"/>
  <c r="H53" i="21"/>
  <c r="H52" i="21"/>
  <c r="H51" i="21"/>
  <c r="F51" i="21"/>
  <c r="H50" i="21"/>
  <c r="F50" i="21"/>
  <c r="H49" i="21"/>
  <c r="H48" i="21"/>
  <c r="H47" i="21"/>
  <c r="H46" i="21"/>
  <c r="H45" i="21"/>
  <c r="H44" i="21"/>
  <c r="F44" i="21"/>
  <c r="H43" i="21"/>
  <c r="F43" i="21"/>
  <c r="H42" i="21"/>
  <c r="F42" i="21"/>
  <c r="H41" i="21"/>
  <c r="F41" i="21"/>
  <c r="H40" i="21"/>
  <c r="H39" i="21"/>
  <c r="F39" i="21"/>
  <c r="H38" i="21"/>
  <c r="H37" i="21"/>
  <c r="H36" i="21"/>
  <c r="H35" i="21"/>
  <c r="H34" i="21"/>
  <c r="H33" i="21"/>
  <c r="H32" i="21"/>
  <c r="H31" i="21"/>
  <c r="H30" i="21"/>
  <c r="H29" i="21"/>
  <c r="H28" i="21"/>
  <c r="H27" i="21"/>
  <c r="H26" i="21"/>
  <c r="H25" i="21"/>
  <c r="H24" i="21"/>
  <c r="H23" i="21"/>
  <c r="H22" i="21"/>
  <c r="H21" i="21"/>
  <c r="H20" i="21"/>
  <c r="H19" i="21"/>
  <c r="H18" i="21"/>
  <c r="F18" i="21"/>
  <c r="H17" i="21"/>
  <c r="F17" i="21"/>
  <c r="H16" i="21"/>
  <c r="H15" i="21"/>
  <c r="G14" i="21"/>
  <c r="G13" i="21"/>
  <c r="G12" i="21"/>
  <c r="G11" i="21"/>
  <c r="K10" i="21"/>
  <c r="K58" i="21" s="1"/>
  <c r="F145" i="21" s="1"/>
  <c r="H9" i="21"/>
  <c r="H8" i="21"/>
  <c r="G37" i="20"/>
  <c r="B36" i="20"/>
  <c r="B35" i="20"/>
  <c r="B33" i="20"/>
  <c r="B31" i="20"/>
  <c r="B29" i="20"/>
  <c r="B27" i="20"/>
  <c r="B25" i="20"/>
  <c r="C22" i="20"/>
  <c r="C21" i="20"/>
  <c r="C20" i="20"/>
  <c r="C19" i="20"/>
  <c r="C18" i="20"/>
  <c r="C17" i="20"/>
  <c r="C16" i="20"/>
  <c r="C14" i="20"/>
  <c r="C13" i="20"/>
  <c r="C12" i="20"/>
  <c r="C11" i="20"/>
  <c r="C10" i="20"/>
  <c r="C9" i="20"/>
  <c r="C8" i="20"/>
  <c r="W3" i="20"/>
  <c r="V3" i="20"/>
  <c r="B3" i="20"/>
  <c r="B1" i="20"/>
  <c r="E102" i="19"/>
  <c r="E98" i="19"/>
  <c r="E84" i="19"/>
  <c r="E80" i="19"/>
  <c r="E66" i="19"/>
  <c r="E62" i="19"/>
  <c r="E48" i="19"/>
  <c r="E44" i="19"/>
  <c r="C44" i="19"/>
  <c r="V39" i="19"/>
  <c r="C98" i="19" s="1"/>
  <c r="S39" i="19"/>
  <c r="F55" i="19" s="1"/>
  <c r="V37" i="19"/>
  <c r="S37" i="19"/>
  <c r="V36" i="19"/>
  <c r="S36" i="19"/>
  <c r="V35" i="19"/>
  <c r="S35" i="19"/>
  <c r="V34" i="19"/>
  <c r="S34" i="19"/>
  <c r="V33" i="19"/>
  <c r="S33" i="19"/>
  <c r="V32" i="19"/>
  <c r="S32" i="19"/>
  <c r="V31" i="19"/>
  <c r="S31" i="19"/>
  <c r="V30" i="19"/>
  <c r="S30" i="19"/>
  <c r="V29" i="19"/>
  <c r="S29" i="19"/>
  <c r="V28" i="19"/>
  <c r="S28" i="19"/>
  <c r="V27" i="19"/>
  <c r="S27" i="19"/>
  <c r="V26" i="19"/>
  <c r="S26" i="19"/>
  <c r="E26" i="19"/>
  <c r="C26" i="19"/>
  <c r="V25" i="19"/>
  <c r="S25" i="19"/>
  <c r="V21" i="19"/>
  <c r="E28" i="19" s="1"/>
  <c r="F19" i="19"/>
  <c r="C31" i="17"/>
  <c r="G19" i="17"/>
  <c r="J146" i="16"/>
  <c r="I146" i="16"/>
  <c r="J135" i="16"/>
  <c r="I135" i="16"/>
  <c r="J124" i="16"/>
  <c r="I124" i="16"/>
  <c r="J105" i="16"/>
  <c r="I105" i="16"/>
  <c r="L33" i="15" s="1"/>
  <c r="M33" i="15" s="1"/>
  <c r="J94" i="16"/>
  <c r="J147" i="16" s="1"/>
  <c r="I94" i="16"/>
  <c r="J83" i="16"/>
  <c r="I83" i="16"/>
  <c r="J72" i="16"/>
  <c r="I72" i="16"/>
  <c r="J61" i="16"/>
  <c r="I61" i="16"/>
  <c r="J50" i="16"/>
  <c r="I50" i="16"/>
  <c r="J39" i="16"/>
  <c r="I39" i="16"/>
  <c r="J28" i="16"/>
  <c r="I28" i="16"/>
  <c r="J17" i="16"/>
  <c r="I17" i="16"/>
  <c r="I147" i="16" s="1"/>
  <c r="L72" i="15"/>
  <c r="J72" i="15"/>
  <c r="E72" i="15"/>
  <c r="L71" i="15"/>
  <c r="J71" i="15"/>
  <c r="E71" i="15"/>
  <c r="L61" i="15"/>
  <c r="L60" i="15"/>
  <c r="L59" i="15"/>
  <c r="L62" i="15" s="1"/>
  <c r="M59" i="15" s="1"/>
  <c r="W55" i="15"/>
  <c r="L52" i="15"/>
  <c r="L37" i="15"/>
  <c r="A19" i="22" s="1"/>
  <c r="L36" i="15"/>
  <c r="M36" i="15" s="1"/>
  <c r="E36" i="15"/>
  <c r="M35" i="15"/>
  <c r="L35" i="15"/>
  <c r="E35" i="15"/>
  <c r="M34" i="15"/>
  <c r="L34" i="15"/>
  <c r="E34" i="15"/>
  <c r="E33" i="15"/>
  <c r="M32" i="15"/>
  <c r="L32" i="15"/>
  <c r="E32" i="15"/>
  <c r="M31" i="15"/>
  <c r="L31" i="15"/>
  <c r="E31" i="15"/>
  <c r="M30" i="15"/>
  <c r="L30" i="15"/>
  <c r="E30" i="15"/>
  <c r="M29" i="15"/>
  <c r="L29" i="15"/>
  <c r="E29" i="15"/>
  <c r="M28" i="15"/>
  <c r="L28" i="15"/>
  <c r="E28" i="15"/>
  <c r="M27" i="15"/>
  <c r="L27" i="15"/>
  <c r="E27" i="15"/>
  <c r="M26" i="15"/>
  <c r="L26" i="15"/>
  <c r="G39" i="17" s="1"/>
  <c r="F52" i="18" s="1"/>
  <c r="E26" i="15"/>
  <c r="M25" i="15"/>
  <c r="N38" i="15" s="1"/>
  <c r="L25" i="15"/>
  <c r="E25" i="15"/>
  <c r="M16" i="15"/>
  <c r="L16" i="15"/>
  <c r="C16" i="15"/>
  <c r="E90" i="14"/>
  <c r="E85" i="14"/>
  <c r="D85" i="14"/>
  <c r="F84" i="14"/>
  <c r="E84" i="14"/>
  <c r="D84" i="14"/>
  <c r="F83" i="14"/>
  <c r="E83" i="14"/>
  <c r="D83" i="14"/>
  <c r="F82" i="14"/>
  <c r="E82" i="14"/>
  <c r="D82" i="14"/>
  <c r="F81" i="14"/>
  <c r="E81" i="14"/>
  <c r="D81" i="14"/>
  <c r="F80" i="14"/>
  <c r="E80" i="14"/>
  <c r="D80" i="14"/>
  <c r="E79" i="14"/>
  <c r="D79" i="14"/>
  <c r="E78" i="14"/>
  <c r="D78" i="14"/>
  <c r="C78" i="14"/>
  <c r="F74" i="14"/>
  <c r="E74" i="14"/>
  <c r="D74" i="14"/>
  <c r="F73" i="14"/>
  <c r="E73" i="14"/>
  <c r="D73" i="14"/>
  <c r="F72" i="14"/>
  <c r="E72" i="14"/>
  <c r="D72" i="14"/>
  <c r="F71" i="14"/>
  <c r="E71" i="14"/>
  <c r="D71" i="14"/>
  <c r="F70" i="14"/>
  <c r="E70" i="14"/>
  <c r="D70" i="14"/>
  <c r="F69" i="14"/>
  <c r="E69" i="14"/>
  <c r="D69" i="14"/>
  <c r="F68" i="14"/>
  <c r="E68" i="14"/>
  <c r="D68" i="14"/>
  <c r="F67" i="14"/>
  <c r="E67" i="14"/>
  <c r="D67" i="14"/>
  <c r="F66" i="14"/>
  <c r="E66" i="14"/>
  <c r="D66" i="14"/>
  <c r="C66" i="14"/>
  <c r="F62" i="14"/>
  <c r="E62" i="14"/>
  <c r="D62" i="14"/>
  <c r="F61" i="14"/>
  <c r="E61" i="14"/>
  <c r="D61" i="14"/>
  <c r="F60" i="14"/>
  <c r="E60" i="14"/>
  <c r="D60" i="14"/>
  <c r="F59" i="14"/>
  <c r="E59" i="14"/>
  <c r="D59" i="14"/>
  <c r="F58" i="14"/>
  <c r="E58" i="14"/>
  <c r="D58" i="14"/>
  <c r="F57" i="14"/>
  <c r="E57" i="14"/>
  <c r="D57" i="14"/>
  <c r="F56" i="14"/>
  <c r="E56" i="14"/>
  <c r="D56" i="14"/>
  <c r="F55" i="14"/>
  <c r="E55" i="14"/>
  <c r="D55" i="14"/>
  <c r="F54" i="14"/>
  <c r="E54" i="14"/>
  <c r="D54" i="14"/>
  <c r="C54" i="14"/>
  <c r="F50" i="14"/>
  <c r="E50" i="14"/>
  <c r="D50" i="14"/>
  <c r="F49" i="14"/>
  <c r="E49" i="14"/>
  <c r="D49" i="14"/>
  <c r="F48" i="14"/>
  <c r="E48" i="14"/>
  <c r="D48" i="14"/>
  <c r="F47" i="14"/>
  <c r="E47" i="14"/>
  <c r="D47" i="14"/>
  <c r="F46" i="14"/>
  <c r="E46" i="14"/>
  <c r="D46" i="14"/>
  <c r="F45" i="14"/>
  <c r="E45" i="14"/>
  <c r="D45" i="14"/>
  <c r="F44" i="14"/>
  <c r="E44" i="14"/>
  <c r="D44" i="14"/>
  <c r="E43" i="14"/>
  <c r="D43" i="14"/>
  <c r="E42" i="14"/>
  <c r="D42" i="14"/>
  <c r="E41" i="14"/>
  <c r="D41" i="14"/>
  <c r="C41" i="14"/>
  <c r="E40" i="14"/>
  <c r="D40" i="14"/>
  <c r="E39" i="14"/>
  <c r="D39" i="14"/>
  <c r="E38" i="14"/>
  <c r="D38" i="14"/>
  <c r="E37" i="14"/>
  <c r="D37" i="14"/>
  <c r="E36" i="14"/>
  <c r="D36" i="14"/>
  <c r="E35" i="14"/>
  <c r="D35" i="14"/>
  <c r="E34" i="14"/>
  <c r="D34" i="14"/>
  <c r="E33" i="14"/>
  <c r="D33" i="14"/>
  <c r="C33" i="14"/>
  <c r="E32" i="14"/>
  <c r="D32" i="14"/>
  <c r="F28" i="14"/>
  <c r="E28" i="14"/>
  <c r="D28" i="14"/>
  <c r="F27" i="14"/>
  <c r="E27" i="14"/>
  <c r="D27" i="14"/>
  <c r="F26" i="14"/>
  <c r="E26" i="14"/>
  <c r="D26" i="14"/>
  <c r="F25" i="14"/>
  <c r="E25" i="14"/>
  <c r="D25" i="14"/>
  <c r="F24" i="14"/>
  <c r="E24" i="14"/>
  <c r="D24" i="14"/>
  <c r="F23" i="14"/>
  <c r="E23" i="14"/>
  <c r="D23" i="14"/>
  <c r="F22" i="14"/>
  <c r="E22" i="14"/>
  <c r="D22" i="14"/>
  <c r="F21" i="14"/>
  <c r="E21" i="14"/>
  <c r="D21" i="14"/>
  <c r="E20" i="14"/>
  <c r="D20" i="14"/>
  <c r="E19" i="14"/>
  <c r="D19" i="14"/>
  <c r="E18" i="14"/>
  <c r="D18" i="14"/>
  <c r="E17" i="14"/>
  <c r="D17" i="14"/>
  <c r="E16" i="14"/>
  <c r="D16" i="14"/>
  <c r="E15" i="14"/>
  <c r="D15" i="14"/>
  <c r="E14" i="14"/>
  <c r="D14" i="14"/>
  <c r="E13" i="14"/>
  <c r="D13" i="14"/>
  <c r="E12" i="14"/>
  <c r="D12" i="14"/>
  <c r="E11" i="14"/>
  <c r="D11" i="14"/>
  <c r="E10" i="14"/>
  <c r="D10" i="14"/>
  <c r="C10" i="14"/>
  <c r="F64" i="13"/>
  <c r="E64" i="13"/>
  <c r="D64" i="13"/>
  <c r="F63" i="13"/>
  <c r="E63" i="13"/>
  <c r="D63" i="13"/>
  <c r="E62" i="13"/>
  <c r="D62" i="13"/>
  <c r="F61" i="13"/>
  <c r="E61" i="13"/>
  <c r="D61" i="13"/>
  <c r="F60" i="13"/>
  <c r="E60" i="13"/>
  <c r="D60" i="13"/>
  <c r="E59" i="13"/>
  <c r="D59" i="13"/>
  <c r="F58" i="13"/>
  <c r="E58" i="13"/>
  <c r="D58" i="13"/>
  <c r="F57" i="13"/>
  <c r="E57" i="13"/>
  <c r="D57" i="13"/>
  <c r="F56" i="13"/>
  <c r="E56" i="13"/>
  <c r="D56" i="13"/>
  <c r="C56" i="13"/>
  <c r="F52" i="13"/>
  <c r="E52" i="13"/>
  <c r="D52" i="13"/>
  <c r="F51" i="13"/>
  <c r="E51" i="13"/>
  <c r="D51" i="13"/>
  <c r="F50" i="13"/>
  <c r="E50" i="13"/>
  <c r="D50" i="13"/>
  <c r="F49" i="13"/>
  <c r="E49" i="13"/>
  <c r="D49" i="13"/>
  <c r="E48" i="13"/>
  <c r="D48" i="13"/>
  <c r="E47" i="13"/>
  <c r="D47" i="13"/>
  <c r="E46" i="13"/>
  <c r="D46" i="13"/>
  <c r="E45" i="13"/>
  <c r="D45" i="13"/>
  <c r="E44" i="13"/>
  <c r="D44" i="13"/>
  <c r="C44" i="13"/>
  <c r="F40" i="13"/>
  <c r="E40" i="13"/>
  <c r="D40" i="13"/>
  <c r="F39" i="13"/>
  <c r="E39" i="13"/>
  <c r="D39" i="13"/>
  <c r="F38" i="13"/>
  <c r="E38" i="13"/>
  <c r="D38" i="13"/>
  <c r="F37" i="13"/>
  <c r="E37" i="13"/>
  <c r="D37" i="13"/>
  <c r="F36" i="13"/>
  <c r="E36" i="13"/>
  <c r="D36" i="13"/>
  <c r="F35" i="13"/>
  <c r="E35" i="13"/>
  <c r="D35" i="13"/>
  <c r="F34" i="13"/>
  <c r="E34" i="13"/>
  <c r="D34" i="13"/>
  <c r="F33" i="13"/>
  <c r="E33" i="13"/>
  <c r="D33" i="13"/>
  <c r="F32" i="13"/>
  <c r="E32" i="13"/>
  <c r="D32" i="13"/>
  <c r="C32" i="13"/>
  <c r="F28" i="13"/>
  <c r="E28" i="13"/>
  <c r="D28" i="13"/>
  <c r="F27" i="13"/>
  <c r="E27" i="13"/>
  <c r="D27" i="13"/>
  <c r="F26" i="13"/>
  <c r="E26" i="13"/>
  <c r="D26" i="13"/>
  <c r="F25" i="13"/>
  <c r="E25" i="13"/>
  <c r="D25" i="13"/>
  <c r="F24" i="13"/>
  <c r="E24" i="13"/>
  <c r="D24" i="13"/>
  <c r="F23" i="13"/>
  <c r="E23" i="13"/>
  <c r="D23" i="13"/>
  <c r="F22" i="13"/>
  <c r="E22" i="13"/>
  <c r="D22" i="13"/>
  <c r="F21" i="13"/>
  <c r="E21" i="13"/>
  <c r="D21" i="13"/>
  <c r="F20" i="13"/>
  <c r="E20" i="13"/>
  <c r="D20" i="13"/>
  <c r="C20" i="13"/>
  <c r="F16" i="13"/>
  <c r="E16" i="13"/>
  <c r="D16" i="13"/>
  <c r="F15" i="13"/>
  <c r="E15" i="13"/>
  <c r="D15" i="13"/>
  <c r="E14" i="13"/>
  <c r="D14" i="13"/>
  <c r="E13" i="13"/>
  <c r="D13" i="13"/>
  <c r="E12" i="13"/>
  <c r="D12" i="13"/>
  <c r="E11" i="13"/>
  <c r="D11" i="13"/>
  <c r="E10" i="13"/>
  <c r="D10" i="13"/>
  <c r="E9" i="13"/>
  <c r="D9" i="13"/>
  <c r="E8" i="13"/>
  <c r="D8" i="13"/>
  <c r="C8" i="13"/>
  <c r="D47" i="12"/>
  <c r="F40" i="12"/>
  <c r="J30" i="12"/>
  <c r="J29" i="12"/>
  <c r="G29" i="12"/>
  <c r="V28" i="12"/>
  <c r="U28" i="12"/>
  <c r="T28" i="12"/>
  <c r="S28" i="12"/>
  <c r="R28" i="12"/>
  <c r="Q28" i="12"/>
  <c r="P28" i="12"/>
  <c r="O28" i="12"/>
  <c r="J28" i="12"/>
  <c r="G28" i="12"/>
  <c r="J26" i="12"/>
  <c r="H24" i="12"/>
  <c r="E24" i="12"/>
  <c r="H23" i="12"/>
  <c r="E23" i="12"/>
  <c r="H22" i="12"/>
  <c r="E22" i="12"/>
  <c r="H21" i="12"/>
  <c r="E21" i="12"/>
  <c r="E20" i="12"/>
  <c r="E19" i="12"/>
  <c r="E18" i="12"/>
  <c r="D16" i="12"/>
  <c r="D15" i="12"/>
  <c r="D14" i="12"/>
  <c r="D13" i="12"/>
  <c r="E12" i="12"/>
  <c r="F11" i="12"/>
  <c r="D11" i="12"/>
  <c r="D40" i="12" s="1"/>
  <c r="F32" i="10"/>
  <c r="D32" i="10"/>
  <c r="O31" i="10"/>
  <c r="N31" i="10"/>
  <c r="M31" i="10"/>
  <c r="L31" i="10"/>
  <c r="K31" i="10"/>
  <c r="J31" i="10"/>
  <c r="I31" i="10"/>
  <c r="H31" i="10"/>
  <c r="G31" i="10"/>
  <c r="F31" i="10"/>
  <c r="E31" i="10"/>
  <c r="D31" i="10"/>
  <c r="R30" i="10"/>
  <c r="Q30" i="10" s="1"/>
  <c r="P30" i="10"/>
  <c r="R29" i="10"/>
  <c r="Q29" i="10"/>
  <c r="P29" i="10"/>
  <c r="R28" i="10"/>
  <c r="Q28" i="10" s="1"/>
  <c r="P28" i="10"/>
  <c r="R27" i="10"/>
  <c r="Q27" i="10"/>
  <c r="P27" i="10"/>
  <c r="R26" i="10"/>
  <c r="Q26" i="10" s="1"/>
  <c r="P26" i="10"/>
  <c r="R25" i="10"/>
  <c r="Q25" i="10"/>
  <c r="P25" i="10"/>
  <c r="R24" i="10"/>
  <c r="Q24" i="10" s="1"/>
  <c r="P24" i="10"/>
  <c r="R23" i="10"/>
  <c r="Q23" i="10"/>
  <c r="P23" i="10"/>
  <c r="BI22" i="10"/>
  <c r="R22" i="10"/>
  <c r="Q22" i="10"/>
  <c r="P22" i="10"/>
  <c r="BI21" i="10"/>
  <c r="R21" i="10"/>
  <c r="Q21" i="10"/>
  <c r="P21" i="10"/>
  <c r="BI20" i="10"/>
  <c r="R20" i="10"/>
  <c r="Q20" i="10"/>
  <c r="P20" i="10"/>
  <c r="R19" i="10"/>
  <c r="Q19" i="10" s="1"/>
  <c r="P19" i="10"/>
  <c r="R18" i="10"/>
  <c r="Q18" i="10"/>
  <c r="P18" i="10"/>
  <c r="R17" i="10"/>
  <c r="Q17" i="10" s="1"/>
  <c r="P17" i="10"/>
  <c r="R16" i="10"/>
  <c r="Q16" i="10"/>
  <c r="P16" i="10"/>
  <c r="R15" i="10"/>
  <c r="Q15" i="10" s="1"/>
  <c r="P15" i="10"/>
  <c r="R14" i="10"/>
  <c r="Q14" i="10"/>
  <c r="P14" i="10"/>
  <c r="R13" i="10"/>
  <c r="Q13" i="10" s="1"/>
  <c r="P13" i="10"/>
  <c r="R12" i="10"/>
  <c r="Q12" i="10"/>
  <c r="P12" i="10"/>
  <c r="R11" i="10"/>
  <c r="Q11" i="10" s="1"/>
  <c r="P11" i="10"/>
  <c r="R10" i="10"/>
  <c r="Q10" i="10"/>
  <c r="P10" i="10"/>
  <c r="R9" i="10"/>
  <c r="Q9" i="10" s="1"/>
  <c r="P9" i="10"/>
  <c r="R8" i="10"/>
  <c r="Q8" i="10"/>
  <c r="P8" i="10"/>
  <c r="R7" i="10"/>
  <c r="Q7" i="10" s="1"/>
  <c r="P7" i="10"/>
  <c r="R6" i="10"/>
  <c r="Q6" i="10"/>
  <c r="P6" i="10"/>
  <c r="O4" i="10"/>
  <c r="O32" i="10" s="1"/>
  <c r="N4" i="10"/>
  <c r="N32" i="10" s="1"/>
  <c r="M4" i="10"/>
  <c r="M32" i="10" s="1"/>
  <c r="L4" i="10"/>
  <c r="L32" i="10" s="1"/>
  <c r="K4" i="10"/>
  <c r="K32" i="10" s="1"/>
  <c r="J4" i="10"/>
  <c r="J32" i="10" s="1"/>
  <c r="I4" i="10"/>
  <c r="I32" i="10" s="1"/>
  <c r="H4" i="10"/>
  <c r="H32" i="10" s="1"/>
  <c r="G4" i="10"/>
  <c r="G32" i="10" s="1"/>
  <c r="F4" i="10"/>
  <c r="E4" i="10"/>
  <c r="E32" i="10" s="1"/>
  <c r="AA64" i="9"/>
  <c r="Z64" i="9"/>
  <c r="Y64" i="9"/>
  <c r="X64" i="9"/>
  <c r="V64" i="9"/>
  <c r="S64" i="9"/>
  <c r="R64" i="9"/>
  <c r="P64" i="9"/>
  <c r="N64" i="9"/>
  <c r="L64" i="9"/>
  <c r="J64" i="9"/>
  <c r="H64" i="9"/>
  <c r="F64" i="9"/>
  <c r="AE63" i="9"/>
  <c r="T63" i="9"/>
  <c r="AD63" i="9" s="1"/>
  <c r="Q63" i="9"/>
  <c r="AE62" i="9"/>
  <c r="AE61" i="9"/>
  <c r="AE60" i="9"/>
  <c r="AE59" i="9"/>
  <c r="AE58" i="9"/>
  <c r="AE57" i="9"/>
  <c r="AE56" i="9"/>
  <c r="AE55" i="9"/>
  <c r="AE54" i="9"/>
  <c r="AE53" i="9"/>
  <c r="AE52" i="9"/>
  <c r="AE51" i="9"/>
  <c r="AE50" i="9"/>
  <c r="AE49" i="9"/>
  <c r="T49" i="9"/>
  <c r="AD49" i="9" s="1"/>
  <c r="Q49" i="9"/>
  <c r="AE48" i="9"/>
  <c r="T48" i="9"/>
  <c r="AD48" i="9" s="1"/>
  <c r="Q48" i="9"/>
  <c r="AE47" i="9"/>
  <c r="AD47" i="9"/>
  <c r="T47" i="9"/>
  <c r="Q47" i="9"/>
  <c r="AE46" i="9"/>
  <c r="T46" i="9"/>
  <c r="Q46" i="9"/>
  <c r="AD46" i="9" s="1"/>
  <c r="AE45" i="9"/>
  <c r="T45" i="9"/>
  <c r="AD45" i="9" s="1"/>
  <c r="Q45" i="9"/>
  <c r="AE44" i="9"/>
  <c r="T44" i="9"/>
  <c r="AD44" i="9" s="1"/>
  <c r="Q44" i="9"/>
  <c r="AE43" i="9"/>
  <c r="AD43" i="9"/>
  <c r="T43" i="9"/>
  <c r="Q43" i="9"/>
  <c r="AE42" i="9"/>
  <c r="T42" i="9"/>
  <c r="Q42" i="9"/>
  <c r="AD42" i="9" s="1"/>
  <c r="AE41" i="9"/>
  <c r="T41" i="9"/>
  <c r="AD41" i="9" s="1"/>
  <c r="Q41" i="9"/>
  <c r="AE40" i="9"/>
  <c r="T40" i="9"/>
  <c r="AD40" i="9" s="1"/>
  <c r="Q40" i="9"/>
  <c r="AE39" i="9"/>
  <c r="AD39" i="9"/>
  <c r="T39" i="9"/>
  <c r="Q39" i="9"/>
  <c r="AE38" i="9"/>
  <c r="T38" i="9"/>
  <c r="Q38" i="9"/>
  <c r="AD38" i="9" s="1"/>
  <c r="AE37" i="9"/>
  <c r="T37" i="9"/>
  <c r="AD37" i="9" s="1"/>
  <c r="Q37" i="9"/>
  <c r="AE36" i="9"/>
  <c r="T36" i="9"/>
  <c r="AD36" i="9" s="1"/>
  <c r="Q36" i="9"/>
  <c r="AE35" i="9"/>
  <c r="AD35" i="9"/>
  <c r="T35" i="9"/>
  <c r="Q35" i="9"/>
  <c r="AE34" i="9"/>
  <c r="T34" i="9"/>
  <c r="Q34" i="9"/>
  <c r="AD34" i="9" s="1"/>
  <c r="AE33" i="9"/>
  <c r="T33" i="9"/>
  <c r="AD33" i="9" s="1"/>
  <c r="Q33" i="9"/>
  <c r="AE32" i="9"/>
  <c r="T32" i="9"/>
  <c r="AD32" i="9" s="1"/>
  <c r="Q32" i="9"/>
  <c r="AE31" i="9"/>
  <c r="AD31" i="9"/>
  <c r="T31" i="9"/>
  <c r="Q31" i="9"/>
  <c r="AE30" i="9"/>
  <c r="T30" i="9"/>
  <c r="Q30" i="9"/>
  <c r="AD30" i="9" s="1"/>
  <c r="AE29" i="9"/>
  <c r="T29" i="9"/>
  <c r="AD29" i="9" s="1"/>
  <c r="Q29" i="9"/>
  <c r="AE28" i="9"/>
  <c r="T28" i="9"/>
  <c r="AD28" i="9" s="1"/>
  <c r="Q28" i="9"/>
  <c r="AE27" i="9"/>
  <c r="AD27" i="9"/>
  <c r="T27" i="9"/>
  <c r="Q27" i="9"/>
  <c r="AE26" i="9"/>
  <c r="T26" i="9"/>
  <c r="Q26" i="9"/>
  <c r="AD26" i="9" s="1"/>
  <c r="AE25" i="9"/>
  <c r="T25" i="9"/>
  <c r="AD25" i="9" s="1"/>
  <c r="Q25" i="9"/>
  <c r="AE24" i="9"/>
  <c r="T24" i="9"/>
  <c r="AD24" i="9" s="1"/>
  <c r="Q24" i="9"/>
  <c r="AE23" i="9"/>
  <c r="AD23" i="9"/>
  <c r="T23" i="9"/>
  <c r="Q23" i="9"/>
  <c r="AE22" i="9"/>
  <c r="T22" i="9"/>
  <c r="Q22" i="9"/>
  <c r="AD22" i="9" s="1"/>
  <c r="AE21" i="9"/>
  <c r="T21" i="9"/>
  <c r="AD21" i="9" s="1"/>
  <c r="Q21" i="9"/>
  <c r="AE20" i="9"/>
  <c r="T20" i="9"/>
  <c r="AD20" i="9" s="1"/>
  <c r="Q20" i="9"/>
  <c r="AE19" i="9"/>
  <c r="AD19" i="9"/>
  <c r="T19" i="9"/>
  <c r="Q19" i="9"/>
  <c r="AE18" i="9"/>
  <c r="T18" i="9"/>
  <c r="Q18" i="9"/>
  <c r="AD18" i="9" s="1"/>
  <c r="AE17" i="9"/>
  <c r="T17" i="9"/>
  <c r="AD17" i="9" s="1"/>
  <c r="Q17" i="9"/>
  <c r="AE16" i="9"/>
  <c r="T16" i="9"/>
  <c r="AD16" i="9" s="1"/>
  <c r="Q16" i="9"/>
  <c r="AE15" i="9"/>
  <c r="AD15" i="9"/>
  <c r="T15" i="9"/>
  <c r="Q15" i="9"/>
  <c r="A15" i="9"/>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E14" i="9"/>
  <c r="T14" i="9"/>
  <c r="Q14" i="9"/>
  <c r="AD14" i="9" s="1"/>
  <c r="AE6" i="9"/>
  <c r="AE5" i="9"/>
  <c r="S5" i="9"/>
  <c r="R5" i="9"/>
  <c r="E38" i="8"/>
  <c r="B36" i="8"/>
  <c r="F10" i="8"/>
  <c r="F9" i="8"/>
  <c r="F8" i="8"/>
  <c r="E8" i="8"/>
  <c r="C140" i="7"/>
  <c r="C138" i="21" s="1"/>
  <c r="E139" i="7"/>
  <c r="E137" i="21" s="1"/>
  <c r="C139" i="7"/>
  <c r="C137" i="21" s="1"/>
  <c r="E138" i="7"/>
  <c r="E136" i="21" s="1"/>
  <c r="C138" i="7"/>
  <c r="C136" i="21" s="1"/>
  <c r="E137" i="7"/>
  <c r="E135" i="21" s="1"/>
  <c r="C137" i="7"/>
  <c r="C135" i="21" s="1"/>
  <c r="E136" i="7"/>
  <c r="E134" i="21" s="1"/>
  <c r="C136" i="7"/>
  <c r="C134" i="21" s="1"/>
  <c r="E135" i="7"/>
  <c r="E133" i="21" s="1"/>
  <c r="C135" i="7"/>
  <c r="C133" i="21" s="1"/>
  <c r="C134" i="7"/>
  <c r="C132" i="21" s="1"/>
  <c r="C133" i="7"/>
  <c r="C131" i="21" s="1"/>
  <c r="E132" i="7"/>
  <c r="E130" i="21" s="1"/>
  <c r="C132" i="7"/>
  <c r="C130" i="21" s="1"/>
  <c r="E131" i="7"/>
  <c r="E129" i="21" s="1"/>
  <c r="C131" i="7"/>
  <c r="C129" i="21" s="1"/>
  <c r="E130" i="7"/>
  <c r="E128" i="21" s="1"/>
  <c r="C130" i="7"/>
  <c r="C128" i="21" s="1"/>
  <c r="E129" i="7"/>
  <c r="E127" i="21" s="1"/>
  <c r="C129" i="7"/>
  <c r="C127" i="21" s="1"/>
  <c r="E128" i="7"/>
  <c r="E126" i="21" s="1"/>
  <c r="C128" i="7"/>
  <c r="C126" i="21" s="1"/>
  <c r="E127" i="7"/>
  <c r="E125" i="21" s="1"/>
  <c r="C127" i="7"/>
  <c r="C125" i="21" s="1"/>
  <c r="E126" i="7"/>
  <c r="E124" i="21" s="1"/>
  <c r="C126" i="7"/>
  <c r="C124" i="21" s="1"/>
  <c r="E125" i="7"/>
  <c r="E123" i="21" s="1"/>
  <c r="C125" i="7"/>
  <c r="C123" i="21" s="1"/>
  <c r="E124" i="7"/>
  <c r="E122" i="21" s="1"/>
  <c r="C124" i="7"/>
  <c r="C122" i="21" s="1"/>
  <c r="E123" i="7"/>
  <c r="E121" i="21" s="1"/>
  <c r="C123" i="7"/>
  <c r="C121" i="21" s="1"/>
  <c r="E122" i="7"/>
  <c r="E120" i="21" s="1"/>
  <c r="C122" i="7"/>
  <c r="C120" i="21" s="1"/>
  <c r="E121" i="7"/>
  <c r="E119" i="21" s="1"/>
  <c r="C121" i="7"/>
  <c r="C119" i="21" s="1"/>
  <c r="E120" i="7"/>
  <c r="E118" i="21" s="1"/>
  <c r="C120" i="7"/>
  <c r="C118" i="21" s="1"/>
  <c r="E119" i="7"/>
  <c r="E117" i="21" s="1"/>
  <c r="C119" i="7"/>
  <c r="C117" i="21" s="1"/>
  <c r="E118" i="7"/>
  <c r="E116" i="21" s="1"/>
  <c r="C118" i="7"/>
  <c r="C116" i="21" s="1"/>
  <c r="E117" i="7"/>
  <c r="E115" i="21" s="1"/>
  <c r="C117" i="7"/>
  <c r="C115" i="21" s="1"/>
  <c r="E116" i="7"/>
  <c r="E114" i="21" s="1"/>
  <c r="C116" i="7"/>
  <c r="C114" i="21" s="1"/>
  <c r="E115" i="7"/>
  <c r="E113" i="21" s="1"/>
  <c r="C115" i="7"/>
  <c r="C113" i="21" s="1"/>
  <c r="E114" i="7"/>
  <c r="E112" i="21" s="1"/>
  <c r="C114" i="7"/>
  <c r="C112" i="21" s="1"/>
  <c r="E113" i="7"/>
  <c r="E111" i="21" s="1"/>
  <c r="C113" i="7"/>
  <c r="C111" i="21" s="1"/>
  <c r="E112" i="7"/>
  <c r="E110" i="21" s="1"/>
  <c r="C112" i="7"/>
  <c r="C110" i="21" s="1"/>
  <c r="E111" i="7"/>
  <c r="E109" i="21" s="1"/>
  <c r="C111" i="7"/>
  <c r="C109" i="21" s="1"/>
  <c r="E110" i="7"/>
  <c r="E108" i="21" s="1"/>
  <c r="C110" i="7"/>
  <c r="C108" i="21" s="1"/>
  <c r="E109" i="7"/>
  <c r="E107" i="21" s="1"/>
  <c r="C109" i="7"/>
  <c r="C107" i="21" s="1"/>
  <c r="E108" i="7"/>
  <c r="E106" i="21" s="1"/>
  <c r="C108" i="7"/>
  <c r="C106" i="21" s="1"/>
  <c r="C107" i="7"/>
  <c r="C105" i="21" s="1"/>
  <c r="E106" i="7"/>
  <c r="E104" i="21" s="1"/>
  <c r="D106" i="7"/>
  <c r="D104" i="21" s="1"/>
  <c r="E105" i="7"/>
  <c r="E103" i="21" s="1"/>
  <c r="D105" i="7"/>
  <c r="D103" i="21" s="1"/>
  <c r="E104" i="7"/>
  <c r="E102" i="21" s="1"/>
  <c r="D104" i="7"/>
  <c r="D102" i="21" s="1"/>
  <c r="E103" i="7"/>
  <c r="E101" i="21" s="1"/>
  <c r="D103" i="7"/>
  <c r="D101" i="21" s="1"/>
  <c r="E102" i="7"/>
  <c r="E100" i="21" s="1"/>
  <c r="D102" i="7"/>
  <c r="D100" i="21" s="1"/>
  <c r="E101" i="7"/>
  <c r="E99" i="21" s="1"/>
  <c r="D101" i="7"/>
  <c r="D99" i="21" s="1"/>
  <c r="E100" i="7"/>
  <c r="E98" i="21" s="1"/>
  <c r="D100" i="7"/>
  <c r="D98" i="21" s="1"/>
  <c r="H99" i="7"/>
  <c r="H97" i="21" s="1"/>
  <c r="C99" i="7"/>
  <c r="C97" i="21" s="1"/>
  <c r="C98" i="7"/>
  <c r="C96" i="21" s="1"/>
  <c r="C97" i="7"/>
  <c r="C95" i="21" s="1"/>
  <c r="C96" i="7"/>
  <c r="C94" i="21" s="1"/>
  <c r="C95" i="7"/>
  <c r="C93" i="21" s="1"/>
  <c r="C94" i="7"/>
  <c r="C92" i="21" s="1"/>
  <c r="C93" i="7"/>
  <c r="C91" i="21" s="1"/>
  <c r="C92" i="7"/>
  <c r="C90" i="21" s="1"/>
  <c r="C91" i="7"/>
  <c r="C89" i="21" s="1"/>
  <c r="C90" i="7"/>
  <c r="C88" i="21" s="1"/>
  <c r="E89" i="7"/>
  <c r="E87" i="21" s="1"/>
  <c r="D89" i="7"/>
  <c r="D87" i="21" s="1"/>
  <c r="E88" i="7"/>
  <c r="E86" i="21" s="1"/>
  <c r="D88" i="7"/>
  <c r="D86" i="21" s="1"/>
  <c r="E87" i="7"/>
  <c r="E85" i="21" s="1"/>
  <c r="D87" i="7"/>
  <c r="D85" i="21" s="1"/>
  <c r="E86" i="7"/>
  <c r="E84" i="21" s="1"/>
  <c r="D86" i="7"/>
  <c r="D84" i="21" s="1"/>
  <c r="E85" i="7"/>
  <c r="E83" i="21" s="1"/>
  <c r="D85" i="7"/>
  <c r="D83" i="21" s="1"/>
  <c r="E84" i="7"/>
  <c r="E82" i="21" s="1"/>
  <c r="D84" i="7"/>
  <c r="D82" i="21" s="1"/>
  <c r="E83" i="7"/>
  <c r="E81" i="21" s="1"/>
  <c r="D83" i="7"/>
  <c r="D81" i="21" s="1"/>
  <c r="H82" i="7"/>
  <c r="H80" i="21" s="1"/>
  <c r="C82" i="7"/>
  <c r="C80" i="21" s="1"/>
  <c r="E81" i="7"/>
  <c r="E79" i="21" s="1"/>
  <c r="C81" i="7"/>
  <c r="C79" i="21" s="1"/>
  <c r="E80" i="7"/>
  <c r="E78" i="21" s="1"/>
  <c r="C80" i="7"/>
  <c r="C78" i="21" s="1"/>
  <c r="E79" i="7"/>
  <c r="E77" i="21" s="1"/>
  <c r="C79" i="7"/>
  <c r="C77" i="21" s="1"/>
  <c r="E78" i="7"/>
  <c r="E76" i="21" s="1"/>
  <c r="C78" i="7"/>
  <c r="C76" i="21" s="1"/>
  <c r="E77" i="7"/>
  <c r="E75" i="21" s="1"/>
  <c r="C77" i="7"/>
  <c r="C75" i="21" s="1"/>
  <c r="E76" i="7"/>
  <c r="E74" i="21" s="1"/>
  <c r="C76" i="7"/>
  <c r="C74" i="21" s="1"/>
  <c r="E75" i="7"/>
  <c r="E73" i="21" s="1"/>
  <c r="C75" i="7"/>
  <c r="C73" i="21" s="1"/>
  <c r="E74" i="7"/>
  <c r="E72" i="21" s="1"/>
  <c r="C74" i="7"/>
  <c r="C72" i="21" s="1"/>
  <c r="C73" i="7"/>
  <c r="C71" i="21" s="1"/>
  <c r="C72" i="7"/>
  <c r="C70" i="21" s="1"/>
  <c r="C71" i="7"/>
  <c r="C69" i="21" s="1"/>
  <c r="C70" i="7"/>
  <c r="C68" i="21" s="1"/>
  <c r="C69" i="7"/>
  <c r="C67" i="21" s="1"/>
  <c r="C68" i="7"/>
  <c r="C66" i="21" s="1"/>
  <c r="C67" i="7"/>
  <c r="C65" i="21" s="1"/>
  <c r="C66" i="7"/>
  <c r="C64" i="21" s="1"/>
  <c r="C65" i="7"/>
  <c r="C63" i="21" s="1"/>
  <c r="C64" i="7"/>
  <c r="C62" i="21" s="1"/>
  <c r="C63" i="7"/>
  <c r="C61" i="21" s="1"/>
  <c r="E58" i="7"/>
  <c r="E56" i="21" s="1"/>
  <c r="C58" i="7"/>
  <c r="C56" i="21" s="1"/>
  <c r="E57" i="7"/>
  <c r="E55" i="21" s="1"/>
  <c r="C57" i="7"/>
  <c r="C55" i="21" s="1"/>
  <c r="C56" i="7"/>
  <c r="C54" i="21" s="1"/>
  <c r="E55" i="7"/>
  <c r="E53" i="21" s="1"/>
  <c r="C55" i="7"/>
  <c r="C53" i="21" s="1"/>
  <c r="E54" i="7"/>
  <c r="E52" i="21" s="1"/>
  <c r="C54" i="7"/>
  <c r="C52" i="21" s="1"/>
  <c r="C53" i="7"/>
  <c r="C51" i="21" s="1"/>
  <c r="E52" i="7"/>
  <c r="E50" i="21" s="1"/>
  <c r="C52" i="7"/>
  <c r="C50" i="21" s="1"/>
  <c r="E51" i="7"/>
  <c r="E49" i="21" s="1"/>
  <c r="C51" i="7"/>
  <c r="C49" i="21" s="1"/>
  <c r="E50" i="7"/>
  <c r="E48" i="21" s="1"/>
  <c r="C50" i="7"/>
  <c r="C48" i="21" s="1"/>
  <c r="E49" i="7"/>
  <c r="E47" i="21" s="1"/>
  <c r="C49" i="7"/>
  <c r="C47" i="21" s="1"/>
  <c r="E48" i="7"/>
  <c r="E46" i="21" s="1"/>
  <c r="C48" i="7"/>
  <c r="C46" i="21" s="1"/>
  <c r="E47" i="7"/>
  <c r="E45" i="21" s="1"/>
  <c r="C47" i="7"/>
  <c r="C45" i="21" s="1"/>
  <c r="E46" i="7"/>
  <c r="E44" i="21" s="1"/>
  <c r="C46" i="7"/>
  <c r="C44" i="21" s="1"/>
  <c r="C45" i="7"/>
  <c r="C43" i="21" s="1"/>
  <c r="C44" i="7"/>
  <c r="C42" i="21" s="1"/>
  <c r="C43" i="7"/>
  <c r="C41" i="21" s="1"/>
  <c r="C42" i="7"/>
  <c r="C40" i="21" s="1"/>
  <c r="C41" i="7"/>
  <c r="C39" i="21" s="1"/>
  <c r="E40" i="7"/>
  <c r="E38" i="21" s="1"/>
  <c r="C40" i="7"/>
  <c r="C38" i="21" s="1"/>
  <c r="E39" i="7"/>
  <c r="E37" i="21" s="1"/>
  <c r="C39" i="7"/>
  <c r="C37" i="21" s="1"/>
  <c r="E38" i="7"/>
  <c r="E36" i="21" s="1"/>
  <c r="C38" i="7"/>
  <c r="C36" i="21" s="1"/>
  <c r="E37" i="7"/>
  <c r="E35" i="21" s="1"/>
  <c r="C37" i="7"/>
  <c r="C35" i="21" s="1"/>
  <c r="E36" i="7"/>
  <c r="E34" i="21" s="1"/>
  <c r="C36" i="7"/>
  <c r="C34" i="21" s="1"/>
  <c r="E35" i="7"/>
  <c r="E33" i="21" s="1"/>
  <c r="C35" i="7"/>
  <c r="C33" i="21" s="1"/>
  <c r="E34" i="7"/>
  <c r="E32" i="21" s="1"/>
  <c r="C34" i="7"/>
  <c r="C32" i="21" s="1"/>
  <c r="E33" i="7"/>
  <c r="E31" i="21" s="1"/>
  <c r="C33" i="7"/>
  <c r="C31" i="21" s="1"/>
  <c r="E32" i="7"/>
  <c r="E30" i="21" s="1"/>
  <c r="C32" i="7"/>
  <c r="C30" i="21" s="1"/>
  <c r="E31" i="7"/>
  <c r="E29" i="21" s="1"/>
  <c r="C31" i="7"/>
  <c r="C29" i="21" s="1"/>
  <c r="E30" i="7"/>
  <c r="E28" i="21" s="1"/>
  <c r="C30" i="7"/>
  <c r="C28" i="21" s="1"/>
  <c r="E29" i="7"/>
  <c r="E27" i="21" s="1"/>
  <c r="C29" i="7"/>
  <c r="C27" i="21" s="1"/>
  <c r="E28" i="7"/>
  <c r="E26" i="21" s="1"/>
  <c r="C28" i="7"/>
  <c r="C26" i="21" s="1"/>
  <c r="E27" i="7"/>
  <c r="E25" i="21" s="1"/>
  <c r="C27" i="7"/>
  <c r="C25" i="21" s="1"/>
  <c r="E26" i="7"/>
  <c r="E24" i="21" s="1"/>
  <c r="C26" i="7"/>
  <c r="C24" i="21" s="1"/>
  <c r="E25" i="7"/>
  <c r="E23" i="21" s="1"/>
  <c r="C25" i="7"/>
  <c r="C23" i="21" s="1"/>
  <c r="E24" i="7"/>
  <c r="E22" i="21" s="1"/>
  <c r="C24" i="7"/>
  <c r="C22" i="21" s="1"/>
  <c r="E23" i="7"/>
  <c r="E21" i="21" s="1"/>
  <c r="C23" i="7"/>
  <c r="C21" i="21" s="1"/>
  <c r="E22" i="7"/>
  <c r="E20" i="21" s="1"/>
  <c r="C22" i="7"/>
  <c r="C20" i="21" s="1"/>
  <c r="E21" i="7"/>
  <c r="E19" i="21" s="1"/>
  <c r="C21" i="7"/>
  <c r="C19" i="21" s="1"/>
  <c r="C20" i="7"/>
  <c r="C18" i="21" s="1"/>
  <c r="C19" i="7"/>
  <c r="C17" i="21" s="1"/>
  <c r="C18" i="7"/>
  <c r="C16" i="21" s="1"/>
  <c r="C17" i="7"/>
  <c r="C15" i="21" s="1"/>
  <c r="E16" i="7"/>
  <c r="E14" i="21" s="1"/>
  <c r="D16" i="7"/>
  <c r="D14" i="21" s="1"/>
  <c r="E15" i="7"/>
  <c r="E13" i="21" s="1"/>
  <c r="D15" i="7"/>
  <c r="D13" i="21" s="1"/>
  <c r="E14" i="7"/>
  <c r="E12" i="21" s="1"/>
  <c r="D14" i="7"/>
  <c r="D12" i="21" s="1"/>
  <c r="E13" i="7"/>
  <c r="E11" i="21" s="1"/>
  <c r="D13" i="7"/>
  <c r="D11" i="21" s="1"/>
  <c r="H12" i="7"/>
  <c r="H10" i="21" s="1"/>
  <c r="C12" i="7"/>
  <c r="C10" i="21" s="1"/>
  <c r="C11" i="7"/>
  <c r="C9" i="21" s="1"/>
  <c r="C10" i="7"/>
  <c r="C8" i="21" s="1"/>
  <c r="K118" i="6"/>
  <c r="E118" i="6"/>
  <c r="M112" i="6"/>
  <c r="I112" i="6"/>
  <c r="F53" i="15" s="1"/>
  <c r="F112" i="6"/>
  <c r="C112" i="6"/>
  <c r="F52" i="15" s="1"/>
  <c r="K105" i="6"/>
  <c r="E105" i="6"/>
  <c r="K100" i="6"/>
  <c r="M99" i="6"/>
  <c r="I99" i="6"/>
  <c r="F51" i="15" s="1"/>
  <c r="F99" i="6"/>
  <c r="C99" i="6"/>
  <c r="F47" i="15" s="1"/>
  <c r="K92" i="6"/>
  <c r="E92" i="6"/>
  <c r="K87" i="6"/>
  <c r="M86" i="6"/>
  <c r="I86" i="6"/>
  <c r="F46" i="15" s="1"/>
  <c r="F86" i="6"/>
  <c r="C86" i="6"/>
  <c r="F45" i="15" s="1"/>
  <c r="K79" i="6"/>
  <c r="E79" i="6"/>
  <c r="M73" i="6"/>
  <c r="F73" i="6"/>
  <c r="E20" i="15" s="1"/>
  <c r="C73" i="6"/>
  <c r="F20" i="15" s="1"/>
  <c r="K66" i="6"/>
  <c r="E66" i="6"/>
  <c r="M60" i="6"/>
  <c r="E19" i="15" s="1"/>
  <c r="I60" i="6"/>
  <c r="F19" i="15" s="1"/>
  <c r="F60" i="6"/>
  <c r="E18" i="15" s="1"/>
  <c r="C60" i="6"/>
  <c r="F18" i="15" s="1"/>
  <c r="K53" i="6"/>
  <c r="E53" i="6"/>
  <c r="M47" i="6"/>
  <c r="E17" i="15" s="1"/>
  <c r="I47" i="6"/>
  <c r="F17" i="15" s="1"/>
  <c r="F47" i="6"/>
  <c r="E14" i="15" s="1"/>
  <c r="C47" i="6"/>
  <c r="F14" i="15" s="1"/>
  <c r="K40" i="6"/>
  <c r="E40" i="6"/>
  <c r="M34" i="6"/>
  <c r="E13" i="15" s="1"/>
  <c r="I34" i="6"/>
  <c r="F13" i="15" s="1"/>
  <c r="F34" i="6"/>
  <c r="E12" i="15" s="1"/>
  <c r="C34" i="6"/>
  <c r="F12" i="15" s="1"/>
  <c r="E30" i="6"/>
  <c r="K27" i="6"/>
  <c r="E27" i="6"/>
  <c r="M21" i="6"/>
  <c r="E11" i="15" s="1"/>
  <c r="F21" i="6"/>
  <c r="E10" i="15" s="1"/>
  <c r="K14" i="6"/>
  <c r="M8" i="6"/>
  <c r="E9" i="15" s="1"/>
  <c r="F8" i="6"/>
  <c r="E8" i="15" s="1"/>
  <c r="G604" i="5"/>
  <c r="D603" i="5"/>
  <c r="C602" i="5"/>
  <c r="G600" i="5"/>
  <c r="D599" i="5"/>
  <c r="C598" i="5"/>
  <c r="U588" i="5"/>
  <c r="G588" i="5"/>
  <c r="L53" i="15" s="1"/>
  <c r="F587" i="5"/>
  <c r="G605" i="5" s="1"/>
  <c r="C587" i="5"/>
  <c r="G559" i="5"/>
  <c r="D558" i="5"/>
  <c r="C557" i="5"/>
  <c r="G555" i="5"/>
  <c r="D554" i="5"/>
  <c r="C553" i="5"/>
  <c r="U543" i="5"/>
  <c r="G543" i="5"/>
  <c r="E113" i="6" s="1"/>
  <c r="F542" i="5"/>
  <c r="G560" i="5" s="1"/>
  <c r="C542" i="5"/>
  <c r="G514" i="5"/>
  <c r="D513" i="5"/>
  <c r="C512" i="5"/>
  <c r="G510" i="5"/>
  <c r="D509" i="5"/>
  <c r="C508" i="5"/>
  <c r="U498" i="5"/>
  <c r="G498" i="5"/>
  <c r="L51" i="15" s="1"/>
  <c r="F497" i="5"/>
  <c r="G515" i="5" s="1"/>
  <c r="C497" i="5"/>
  <c r="G469" i="5"/>
  <c r="D468" i="5"/>
  <c r="C467" i="5"/>
  <c r="G465" i="5"/>
  <c r="D464" i="5"/>
  <c r="C463" i="5"/>
  <c r="U453" i="5"/>
  <c r="G453" i="5"/>
  <c r="L47" i="15" s="1"/>
  <c r="F452" i="5"/>
  <c r="G470" i="5" s="1"/>
  <c r="C452" i="5"/>
  <c r="G424" i="5"/>
  <c r="D423" i="5"/>
  <c r="C422" i="5"/>
  <c r="G420" i="5"/>
  <c r="D419" i="5"/>
  <c r="C418" i="5"/>
  <c r="U408" i="5"/>
  <c r="G408" i="5"/>
  <c r="L46" i="15" s="1"/>
  <c r="F407" i="5"/>
  <c r="G425" i="5" s="1"/>
  <c r="C407" i="5"/>
  <c r="G379" i="5"/>
  <c r="D378" i="5"/>
  <c r="C377" i="5"/>
  <c r="G375" i="5"/>
  <c r="D374" i="5"/>
  <c r="C373" i="5"/>
  <c r="U363" i="5"/>
  <c r="G363" i="5"/>
  <c r="L45" i="15" s="1"/>
  <c r="F362" i="5"/>
  <c r="G380" i="5" s="1"/>
  <c r="C362" i="5"/>
  <c r="G334" i="5"/>
  <c r="D333" i="5"/>
  <c r="C332" i="5"/>
  <c r="G330" i="5"/>
  <c r="D329" i="5"/>
  <c r="C328" i="5"/>
  <c r="U318" i="5"/>
  <c r="G318" i="5"/>
  <c r="L44" i="15" s="1"/>
  <c r="F317" i="5"/>
  <c r="G335" i="5" s="1"/>
  <c r="G289" i="5"/>
  <c r="D288" i="5"/>
  <c r="C287" i="5"/>
  <c r="G285" i="5"/>
  <c r="D284" i="5"/>
  <c r="C283" i="5"/>
  <c r="U273" i="5"/>
  <c r="G273" i="5"/>
  <c r="L20" i="15" s="1"/>
  <c r="F272" i="5"/>
  <c r="G290" i="5" s="1"/>
  <c r="C272" i="5"/>
  <c r="G240" i="5"/>
  <c r="U228" i="5"/>
  <c r="G228" i="5"/>
  <c r="L19" i="15" s="1"/>
  <c r="F227" i="5"/>
  <c r="D243" i="5" s="1"/>
  <c r="C227" i="5"/>
  <c r="C200" i="5"/>
  <c r="G198" i="5"/>
  <c r="D197" i="5"/>
  <c r="C196" i="5"/>
  <c r="G194" i="5"/>
  <c r="D193" i="5"/>
  <c r="C192" i="5"/>
  <c r="U183" i="5"/>
  <c r="G183" i="5"/>
  <c r="L18" i="15" s="1"/>
  <c r="F182" i="5"/>
  <c r="G199" i="5" s="1"/>
  <c r="C182" i="5"/>
  <c r="N181" i="5"/>
  <c r="C155" i="5"/>
  <c r="G153" i="5"/>
  <c r="D152" i="5"/>
  <c r="C151" i="5"/>
  <c r="G149" i="5"/>
  <c r="D148" i="5"/>
  <c r="C147" i="5"/>
  <c r="U138" i="5"/>
  <c r="G138" i="5"/>
  <c r="F137" i="5"/>
  <c r="G154" i="5" s="1"/>
  <c r="C137" i="5"/>
  <c r="N136" i="5"/>
  <c r="N129" i="5"/>
  <c r="E56" i="6" s="1"/>
  <c r="U124" i="5"/>
  <c r="G124" i="5"/>
  <c r="F123" i="5"/>
  <c r="C123" i="5"/>
  <c r="N115" i="5"/>
  <c r="K43" i="6" s="1"/>
  <c r="U110" i="5"/>
  <c r="G110" i="5"/>
  <c r="F109" i="5"/>
  <c r="C109" i="5"/>
  <c r="Z14" i="5" s="1"/>
  <c r="AA14" i="5" s="1"/>
  <c r="N108" i="5"/>
  <c r="N101" i="5"/>
  <c r="E43" i="6" s="1"/>
  <c r="U96" i="5"/>
  <c r="G96" i="5"/>
  <c r="F95" i="5"/>
  <c r="N94" i="5" s="1"/>
  <c r="C95" i="5"/>
  <c r="Z13" i="5" s="1"/>
  <c r="N87" i="5"/>
  <c r="K30" i="6" s="1"/>
  <c r="U82" i="5"/>
  <c r="G82" i="5"/>
  <c r="F81" i="5"/>
  <c r="N80" i="5"/>
  <c r="N73" i="5"/>
  <c r="U68" i="5"/>
  <c r="G68" i="5"/>
  <c r="F67" i="5"/>
  <c r="U23" i="5"/>
  <c r="G23" i="5"/>
  <c r="F22" i="5"/>
  <c r="AA19" i="5"/>
  <c r="Z19" i="5"/>
  <c r="W19" i="5"/>
  <c r="V19" i="5"/>
  <c r="Z18" i="5"/>
  <c r="AA18" i="5" s="1"/>
  <c r="F40" i="8" s="1"/>
  <c r="W18" i="5"/>
  <c r="V18" i="5"/>
  <c r="AA17" i="5"/>
  <c r="Z17" i="5"/>
  <c r="W17" i="5"/>
  <c r="V17" i="5"/>
  <c r="AA16" i="5"/>
  <c r="Z16" i="5"/>
  <c r="W16" i="5"/>
  <c r="V16" i="5"/>
  <c r="Z15" i="5"/>
  <c r="W15" i="5"/>
  <c r="W14" i="5"/>
  <c r="V14" i="5"/>
  <c r="N14" i="5"/>
  <c r="W13" i="5"/>
  <c r="W12" i="5"/>
  <c r="V12" i="5"/>
  <c r="W11" i="5"/>
  <c r="X10" i="5"/>
  <c r="W10" i="5"/>
  <c r="W9" i="5"/>
  <c r="U9" i="5"/>
  <c r="G9" i="5"/>
  <c r="L8" i="15" s="1"/>
  <c r="F8" i="5"/>
  <c r="V9" i="5" s="1"/>
  <c r="C5" i="5"/>
  <c r="C5" i="6" s="1"/>
  <c r="C1015" i="4"/>
  <c r="C1014" i="4"/>
  <c r="C1013" i="4"/>
  <c r="N1011" i="4"/>
  <c r="M1011" i="4"/>
  <c r="L1011" i="4"/>
  <c r="H1011" i="4"/>
  <c r="I1011" i="4" s="1"/>
  <c r="J1011" i="4" s="1"/>
  <c r="G1011" i="4"/>
  <c r="E1011" i="4"/>
  <c r="D1011" i="4"/>
  <c r="C1011" i="4"/>
  <c r="B1011" i="4"/>
  <c r="N1010" i="4"/>
  <c r="M1010" i="4"/>
  <c r="L1010" i="4"/>
  <c r="I1010" i="4"/>
  <c r="J1010" i="4" s="1"/>
  <c r="H1010" i="4"/>
  <c r="G1010" i="4"/>
  <c r="E1010" i="4"/>
  <c r="D1010" i="4"/>
  <c r="C1010" i="4"/>
  <c r="B1010" i="4"/>
  <c r="N1009" i="4"/>
  <c r="M1009" i="4"/>
  <c r="L1009" i="4"/>
  <c r="H1009" i="4"/>
  <c r="I1009" i="4" s="1"/>
  <c r="J1009" i="4" s="1"/>
  <c r="G1009" i="4"/>
  <c r="E1009" i="4"/>
  <c r="D1009" i="4"/>
  <c r="C1009" i="4"/>
  <c r="B1009" i="4"/>
  <c r="N1008" i="4"/>
  <c r="M1008" i="4"/>
  <c r="L1008" i="4"/>
  <c r="I1008" i="4"/>
  <c r="J1008" i="4" s="1"/>
  <c r="H1008" i="4"/>
  <c r="G1008" i="4"/>
  <c r="E1008" i="4"/>
  <c r="D1008" i="4"/>
  <c r="C1008" i="4"/>
  <c r="B1008" i="4"/>
  <c r="N1007" i="4"/>
  <c r="M1007" i="4"/>
  <c r="L1007" i="4"/>
  <c r="J1007" i="4"/>
  <c r="H1007" i="4"/>
  <c r="I1007" i="4" s="1"/>
  <c r="G1007" i="4"/>
  <c r="E1007" i="4"/>
  <c r="D1007" i="4"/>
  <c r="C1007" i="4"/>
  <c r="B1007" i="4"/>
  <c r="N1006" i="4"/>
  <c r="M1006" i="4"/>
  <c r="L1006" i="4"/>
  <c r="I1006" i="4"/>
  <c r="J1006" i="4" s="1"/>
  <c r="H1006" i="4"/>
  <c r="G1006" i="4"/>
  <c r="E1006" i="4"/>
  <c r="D1006" i="4"/>
  <c r="C1006" i="4"/>
  <c r="B1006" i="4"/>
  <c r="N1005" i="4"/>
  <c r="M1005" i="4"/>
  <c r="L1005" i="4"/>
  <c r="H1005" i="4"/>
  <c r="I1005" i="4" s="1"/>
  <c r="J1005" i="4" s="1"/>
  <c r="G1005" i="4"/>
  <c r="E1005" i="4"/>
  <c r="D1005" i="4"/>
  <c r="C1005" i="4"/>
  <c r="B1005" i="4"/>
  <c r="N1004" i="4"/>
  <c r="M1004" i="4"/>
  <c r="L1004" i="4"/>
  <c r="I1004" i="4"/>
  <c r="J1004" i="4" s="1"/>
  <c r="H1004" i="4"/>
  <c r="G1004" i="4"/>
  <c r="E1004" i="4"/>
  <c r="D1004" i="4"/>
  <c r="C1004" i="4"/>
  <c r="B1004" i="4"/>
  <c r="N1003" i="4"/>
  <c r="M1003" i="4"/>
  <c r="L1003" i="4"/>
  <c r="J1003" i="4"/>
  <c r="H1003" i="4"/>
  <c r="I1003" i="4" s="1"/>
  <c r="G1003" i="4"/>
  <c r="E1003" i="4"/>
  <c r="D1003" i="4"/>
  <c r="C1003" i="4"/>
  <c r="B1003" i="4"/>
  <c r="N1002" i="4"/>
  <c r="M1002" i="4"/>
  <c r="L1002" i="4"/>
  <c r="I1002" i="4"/>
  <c r="J1002" i="4" s="1"/>
  <c r="H1002" i="4"/>
  <c r="G1002" i="4"/>
  <c r="E1002" i="4"/>
  <c r="D1002" i="4"/>
  <c r="C1002" i="4"/>
  <c r="B1002" i="4"/>
  <c r="N1001" i="4"/>
  <c r="M1001" i="4"/>
  <c r="L1001" i="4"/>
  <c r="H1001" i="4"/>
  <c r="I1001" i="4" s="1"/>
  <c r="J1001" i="4" s="1"/>
  <c r="G1001" i="4"/>
  <c r="E1001" i="4"/>
  <c r="D1001" i="4"/>
  <c r="C1001" i="4"/>
  <c r="B1001" i="4"/>
  <c r="N1000" i="4"/>
  <c r="M1000" i="4"/>
  <c r="L1000" i="4"/>
  <c r="I1000" i="4"/>
  <c r="J1000" i="4" s="1"/>
  <c r="H1000" i="4"/>
  <c r="G1000" i="4"/>
  <c r="E1000" i="4"/>
  <c r="D1000" i="4"/>
  <c r="C1000" i="4"/>
  <c r="B1000" i="4"/>
  <c r="N999" i="4"/>
  <c r="M999" i="4"/>
  <c r="L999" i="4"/>
  <c r="J999" i="4"/>
  <c r="H999" i="4"/>
  <c r="I999" i="4" s="1"/>
  <c r="G999" i="4"/>
  <c r="E999" i="4"/>
  <c r="D999" i="4"/>
  <c r="C999" i="4"/>
  <c r="B999" i="4"/>
  <c r="N998" i="4"/>
  <c r="M998" i="4"/>
  <c r="L998" i="4"/>
  <c r="I998" i="4"/>
  <c r="J998" i="4" s="1"/>
  <c r="H998" i="4"/>
  <c r="G998" i="4"/>
  <c r="E998" i="4"/>
  <c r="D998" i="4"/>
  <c r="C998" i="4"/>
  <c r="B998" i="4"/>
  <c r="N997" i="4"/>
  <c r="M997" i="4"/>
  <c r="L997" i="4"/>
  <c r="H997" i="4"/>
  <c r="I997" i="4" s="1"/>
  <c r="J997" i="4" s="1"/>
  <c r="G997" i="4"/>
  <c r="E997" i="4"/>
  <c r="D997" i="4"/>
  <c r="C997" i="4"/>
  <c r="B997" i="4"/>
  <c r="N996" i="4"/>
  <c r="M996" i="4"/>
  <c r="L996" i="4"/>
  <c r="I996" i="4"/>
  <c r="J996" i="4" s="1"/>
  <c r="H996" i="4"/>
  <c r="G996" i="4"/>
  <c r="E996" i="4"/>
  <c r="D996" i="4"/>
  <c r="C996" i="4"/>
  <c r="B996" i="4"/>
  <c r="N995" i="4"/>
  <c r="M995" i="4"/>
  <c r="L995" i="4"/>
  <c r="H995" i="4"/>
  <c r="I995" i="4" s="1"/>
  <c r="J995" i="4" s="1"/>
  <c r="G995" i="4"/>
  <c r="E995" i="4"/>
  <c r="D995" i="4"/>
  <c r="C995" i="4"/>
  <c r="B995" i="4"/>
  <c r="N994" i="4"/>
  <c r="M994" i="4"/>
  <c r="L994" i="4"/>
  <c r="I994" i="4"/>
  <c r="J994" i="4" s="1"/>
  <c r="H994" i="4"/>
  <c r="G994" i="4"/>
  <c r="E994" i="4"/>
  <c r="D994" i="4"/>
  <c r="C994" i="4"/>
  <c r="B994" i="4"/>
  <c r="N993" i="4"/>
  <c r="M993" i="4"/>
  <c r="L993" i="4"/>
  <c r="H993" i="4"/>
  <c r="I993" i="4" s="1"/>
  <c r="J993" i="4" s="1"/>
  <c r="G993" i="4"/>
  <c r="E993" i="4"/>
  <c r="D993" i="4"/>
  <c r="C993" i="4"/>
  <c r="B993" i="4"/>
  <c r="N992" i="4"/>
  <c r="M992" i="4"/>
  <c r="L992" i="4"/>
  <c r="J992" i="4"/>
  <c r="I992" i="4"/>
  <c r="H992" i="4"/>
  <c r="G992" i="4"/>
  <c r="E992" i="4"/>
  <c r="D992" i="4"/>
  <c r="C992" i="4"/>
  <c r="B992" i="4"/>
  <c r="N991" i="4"/>
  <c r="M991" i="4"/>
  <c r="L991" i="4"/>
  <c r="J991" i="4"/>
  <c r="I991" i="4"/>
  <c r="H991" i="4"/>
  <c r="G991" i="4"/>
  <c r="E991" i="4"/>
  <c r="D991" i="4"/>
  <c r="C991" i="4"/>
  <c r="B991" i="4"/>
  <c r="N990" i="4"/>
  <c r="M990" i="4"/>
  <c r="L990" i="4"/>
  <c r="I990" i="4"/>
  <c r="J990" i="4" s="1"/>
  <c r="H990" i="4"/>
  <c r="G990" i="4"/>
  <c r="E990" i="4"/>
  <c r="D990" i="4"/>
  <c r="C990" i="4"/>
  <c r="B990" i="4"/>
  <c r="N989" i="4"/>
  <c r="M989" i="4"/>
  <c r="L989" i="4"/>
  <c r="H989" i="4"/>
  <c r="I989" i="4" s="1"/>
  <c r="J989" i="4" s="1"/>
  <c r="G989" i="4"/>
  <c r="E989" i="4"/>
  <c r="D989" i="4"/>
  <c r="C989" i="4"/>
  <c r="B989" i="4"/>
  <c r="N988" i="4"/>
  <c r="M988" i="4"/>
  <c r="L988" i="4"/>
  <c r="J988" i="4"/>
  <c r="I988" i="4"/>
  <c r="H988" i="4"/>
  <c r="G988" i="4"/>
  <c r="E988" i="4"/>
  <c r="D988" i="4"/>
  <c r="C988" i="4"/>
  <c r="B988" i="4"/>
  <c r="N987" i="4"/>
  <c r="M987" i="4"/>
  <c r="L987" i="4"/>
  <c r="J987" i="4"/>
  <c r="I987" i="4"/>
  <c r="H987" i="4"/>
  <c r="G987" i="4"/>
  <c r="E987" i="4"/>
  <c r="D987" i="4"/>
  <c r="C987" i="4"/>
  <c r="B987" i="4"/>
  <c r="N986" i="4"/>
  <c r="M986" i="4"/>
  <c r="L986" i="4"/>
  <c r="I986" i="4"/>
  <c r="J986" i="4" s="1"/>
  <c r="H986" i="4"/>
  <c r="G986" i="4"/>
  <c r="E986" i="4"/>
  <c r="D986" i="4"/>
  <c r="C986" i="4"/>
  <c r="B986" i="4"/>
  <c r="N985" i="4"/>
  <c r="M985" i="4"/>
  <c r="L985" i="4"/>
  <c r="H985" i="4"/>
  <c r="I985" i="4" s="1"/>
  <c r="J985" i="4" s="1"/>
  <c r="G985" i="4"/>
  <c r="E985" i="4"/>
  <c r="D985" i="4"/>
  <c r="C985" i="4"/>
  <c r="B985" i="4"/>
  <c r="N984" i="4"/>
  <c r="M984" i="4"/>
  <c r="L984" i="4"/>
  <c r="J984" i="4"/>
  <c r="I984" i="4"/>
  <c r="H984" i="4"/>
  <c r="G984" i="4"/>
  <c r="E984" i="4"/>
  <c r="D984" i="4"/>
  <c r="C984" i="4"/>
  <c r="B984" i="4"/>
  <c r="N983" i="4"/>
  <c r="M983" i="4"/>
  <c r="L983" i="4"/>
  <c r="J983" i="4"/>
  <c r="I983" i="4"/>
  <c r="H983" i="4"/>
  <c r="G983" i="4"/>
  <c r="E983" i="4"/>
  <c r="D983" i="4"/>
  <c r="C983" i="4"/>
  <c r="B983" i="4"/>
  <c r="N982" i="4"/>
  <c r="M982" i="4"/>
  <c r="L982" i="4"/>
  <c r="I982" i="4"/>
  <c r="J982" i="4" s="1"/>
  <c r="H982" i="4"/>
  <c r="G982" i="4"/>
  <c r="E982" i="4"/>
  <c r="D982" i="4"/>
  <c r="C982" i="4"/>
  <c r="B982" i="4"/>
  <c r="N981" i="4"/>
  <c r="M981" i="4"/>
  <c r="L981" i="4"/>
  <c r="H981" i="4"/>
  <c r="I981" i="4" s="1"/>
  <c r="J981" i="4" s="1"/>
  <c r="G981" i="4"/>
  <c r="E981" i="4"/>
  <c r="D981" i="4"/>
  <c r="C981" i="4"/>
  <c r="B981" i="4"/>
  <c r="N980" i="4"/>
  <c r="M980" i="4"/>
  <c r="L980" i="4"/>
  <c r="J980" i="4"/>
  <c r="I980" i="4"/>
  <c r="H980" i="4"/>
  <c r="G980" i="4"/>
  <c r="E980" i="4"/>
  <c r="D980" i="4"/>
  <c r="C980" i="4"/>
  <c r="B980" i="4"/>
  <c r="N979" i="4"/>
  <c r="M979" i="4"/>
  <c r="L979" i="4"/>
  <c r="J979" i="4"/>
  <c r="I979" i="4"/>
  <c r="H979" i="4"/>
  <c r="G979" i="4"/>
  <c r="E979" i="4"/>
  <c r="D979" i="4"/>
  <c r="C979" i="4"/>
  <c r="B979" i="4"/>
  <c r="N978" i="4"/>
  <c r="M978" i="4"/>
  <c r="L978" i="4"/>
  <c r="I978" i="4"/>
  <c r="J978" i="4" s="1"/>
  <c r="H978" i="4"/>
  <c r="G978" i="4"/>
  <c r="E978" i="4"/>
  <c r="D978" i="4"/>
  <c r="C978" i="4"/>
  <c r="B978" i="4"/>
  <c r="N977" i="4"/>
  <c r="M977" i="4"/>
  <c r="L977" i="4"/>
  <c r="H977" i="4"/>
  <c r="I977" i="4" s="1"/>
  <c r="J977" i="4" s="1"/>
  <c r="G977" i="4"/>
  <c r="E977" i="4"/>
  <c r="D977" i="4"/>
  <c r="C977" i="4"/>
  <c r="B977" i="4"/>
  <c r="N976" i="4"/>
  <c r="M976" i="4"/>
  <c r="L976" i="4"/>
  <c r="J976" i="4"/>
  <c r="I976" i="4"/>
  <c r="H976" i="4"/>
  <c r="G976" i="4"/>
  <c r="E976" i="4"/>
  <c r="D976" i="4"/>
  <c r="C976" i="4"/>
  <c r="B976" i="4"/>
  <c r="N975" i="4"/>
  <c r="M975" i="4"/>
  <c r="L975" i="4"/>
  <c r="J975" i="4"/>
  <c r="I975" i="4"/>
  <c r="H975" i="4"/>
  <c r="G975" i="4"/>
  <c r="E975" i="4"/>
  <c r="D975" i="4"/>
  <c r="C975" i="4"/>
  <c r="B975" i="4"/>
  <c r="N974" i="4"/>
  <c r="M974" i="4"/>
  <c r="L974" i="4"/>
  <c r="I974" i="4"/>
  <c r="J974" i="4" s="1"/>
  <c r="H974" i="4"/>
  <c r="G974" i="4"/>
  <c r="E974" i="4"/>
  <c r="D974" i="4"/>
  <c r="C974" i="4"/>
  <c r="B974" i="4"/>
  <c r="N973" i="4"/>
  <c r="M973" i="4"/>
  <c r="L973" i="4"/>
  <c r="H973" i="4"/>
  <c r="I973" i="4" s="1"/>
  <c r="J973" i="4" s="1"/>
  <c r="G973" i="4"/>
  <c r="E973" i="4"/>
  <c r="D973" i="4"/>
  <c r="C973" i="4"/>
  <c r="B973" i="4"/>
  <c r="N972" i="4"/>
  <c r="M972" i="4"/>
  <c r="L972" i="4"/>
  <c r="J972" i="4"/>
  <c r="I972" i="4"/>
  <c r="H972" i="4"/>
  <c r="G972" i="4"/>
  <c r="E972" i="4"/>
  <c r="D972" i="4"/>
  <c r="C972" i="4"/>
  <c r="B972" i="4"/>
  <c r="N971" i="4"/>
  <c r="M971" i="4"/>
  <c r="L971" i="4"/>
  <c r="J971" i="4"/>
  <c r="I971" i="4"/>
  <c r="H971" i="4"/>
  <c r="G971" i="4"/>
  <c r="E971" i="4"/>
  <c r="D971" i="4"/>
  <c r="C971" i="4"/>
  <c r="B971" i="4"/>
  <c r="N970" i="4"/>
  <c r="M970" i="4"/>
  <c r="L970" i="4"/>
  <c r="I970" i="4"/>
  <c r="J970" i="4" s="1"/>
  <c r="H970" i="4"/>
  <c r="G970" i="4"/>
  <c r="E970" i="4"/>
  <c r="D970" i="4"/>
  <c r="C970" i="4"/>
  <c r="B970" i="4"/>
  <c r="N969" i="4"/>
  <c r="M969" i="4"/>
  <c r="L969" i="4"/>
  <c r="H969" i="4"/>
  <c r="I969" i="4" s="1"/>
  <c r="J969" i="4" s="1"/>
  <c r="G969" i="4"/>
  <c r="E969" i="4"/>
  <c r="D969" i="4"/>
  <c r="C969" i="4"/>
  <c r="B969" i="4"/>
  <c r="N968" i="4"/>
  <c r="M968" i="4"/>
  <c r="L968" i="4"/>
  <c r="J968" i="4"/>
  <c r="I968" i="4"/>
  <c r="H968" i="4"/>
  <c r="G968" i="4"/>
  <c r="E968" i="4"/>
  <c r="D968" i="4"/>
  <c r="C968" i="4"/>
  <c r="B968" i="4"/>
  <c r="N967" i="4"/>
  <c r="M967" i="4"/>
  <c r="L967" i="4"/>
  <c r="J967" i="4"/>
  <c r="I967" i="4"/>
  <c r="H967" i="4"/>
  <c r="G967" i="4"/>
  <c r="E967" i="4"/>
  <c r="D967" i="4"/>
  <c r="C967" i="4"/>
  <c r="B967" i="4"/>
  <c r="N966" i="4"/>
  <c r="M966" i="4"/>
  <c r="L966" i="4"/>
  <c r="I966" i="4"/>
  <c r="J966" i="4" s="1"/>
  <c r="H966" i="4"/>
  <c r="G966" i="4"/>
  <c r="E966" i="4"/>
  <c r="D966" i="4"/>
  <c r="C966" i="4"/>
  <c r="B966" i="4"/>
  <c r="N965" i="4"/>
  <c r="M965" i="4"/>
  <c r="L965" i="4"/>
  <c r="H965" i="4"/>
  <c r="I965" i="4" s="1"/>
  <c r="J965" i="4" s="1"/>
  <c r="G965" i="4"/>
  <c r="E965" i="4"/>
  <c r="D965" i="4"/>
  <c r="C965" i="4"/>
  <c r="B965" i="4"/>
  <c r="N964" i="4"/>
  <c r="M964" i="4"/>
  <c r="L964" i="4"/>
  <c r="J964" i="4"/>
  <c r="I964" i="4"/>
  <c r="H964" i="4"/>
  <c r="G964" i="4"/>
  <c r="E964" i="4"/>
  <c r="D964" i="4"/>
  <c r="C964" i="4"/>
  <c r="B964" i="4"/>
  <c r="N963" i="4"/>
  <c r="M963" i="4"/>
  <c r="L963" i="4"/>
  <c r="J963" i="4"/>
  <c r="I963" i="4"/>
  <c r="H963" i="4"/>
  <c r="G963" i="4"/>
  <c r="E963" i="4"/>
  <c r="D963" i="4"/>
  <c r="C963" i="4"/>
  <c r="B963" i="4"/>
  <c r="N962" i="4"/>
  <c r="M962" i="4"/>
  <c r="L962" i="4"/>
  <c r="I962" i="4"/>
  <c r="J962" i="4" s="1"/>
  <c r="H962" i="4"/>
  <c r="G962" i="4"/>
  <c r="E962" i="4"/>
  <c r="D962" i="4"/>
  <c r="C962" i="4"/>
  <c r="B962" i="4"/>
  <c r="N961" i="4"/>
  <c r="M961" i="4"/>
  <c r="L961" i="4"/>
  <c r="H961" i="4"/>
  <c r="I961" i="4" s="1"/>
  <c r="J961" i="4" s="1"/>
  <c r="G961" i="4"/>
  <c r="E961" i="4"/>
  <c r="D961" i="4"/>
  <c r="C961" i="4"/>
  <c r="B961" i="4"/>
  <c r="N960" i="4"/>
  <c r="M960" i="4"/>
  <c r="L960" i="4"/>
  <c r="J960" i="4"/>
  <c r="I960" i="4"/>
  <c r="H960" i="4"/>
  <c r="G960" i="4"/>
  <c r="E960" i="4"/>
  <c r="D960" i="4"/>
  <c r="C960" i="4"/>
  <c r="B960" i="4"/>
  <c r="N959" i="4"/>
  <c r="M959" i="4"/>
  <c r="L959" i="4"/>
  <c r="J959" i="4"/>
  <c r="I959" i="4"/>
  <c r="H959" i="4"/>
  <c r="G959" i="4"/>
  <c r="E959" i="4"/>
  <c r="D959" i="4"/>
  <c r="C959" i="4"/>
  <c r="B959" i="4"/>
  <c r="N958" i="4"/>
  <c r="M958" i="4"/>
  <c r="L958" i="4"/>
  <c r="I958" i="4"/>
  <c r="J958" i="4" s="1"/>
  <c r="H958" i="4"/>
  <c r="G958" i="4"/>
  <c r="E958" i="4"/>
  <c r="D958" i="4"/>
  <c r="C958" i="4"/>
  <c r="B958" i="4"/>
  <c r="N957" i="4"/>
  <c r="M957" i="4"/>
  <c r="L957" i="4"/>
  <c r="H957" i="4"/>
  <c r="I957" i="4" s="1"/>
  <c r="J957" i="4" s="1"/>
  <c r="G957" i="4"/>
  <c r="E957" i="4"/>
  <c r="D957" i="4"/>
  <c r="C957" i="4"/>
  <c r="B957" i="4"/>
  <c r="N956" i="4"/>
  <c r="M956" i="4"/>
  <c r="L956" i="4"/>
  <c r="J956" i="4"/>
  <c r="I956" i="4"/>
  <c r="H956" i="4"/>
  <c r="G956" i="4"/>
  <c r="E956" i="4"/>
  <c r="D956" i="4"/>
  <c r="C956" i="4"/>
  <c r="B956" i="4"/>
  <c r="N955" i="4"/>
  <c r="M955" i="4"/>
  <c r="L955" i="4"/>
  <c r="J955" i="4"/>
  <c r="I955" i="4"/>
  <c r="H955" i="4"/>
  <c r="G955" i="4"/>
  <c r="E955" i="4"/>
  <c r="D955" i="4"/>
  <c r="C955" i="4"/>
  <c r="B955" i="4"/>
  <c r="N954" i="4"/>
  <c r="M954" i="4"/>
  <c r="L954" i="4"/>
  <c r="I954" i="4"/>
  <c r="J954" i="4" s="1"/>
  <c r="H954" i="4"/>
  <c r="G954" i="4"/>
  <c r="E954" i="4"/>
  <c r="D954" i="4"/>
  <c r="C954" i="4"/>
  <c r="B954" i="4"/>
  <c r="N953" i="4"/>
  <c r="M953" i="4"/>
  <c r="L953" i="4"/>
  <c r="H953" i="4"/>
  <c r="I953" i="4" s="1"/>
  <c r="J953" i="4" s="1"/>
  <c r="G953" i="4"/>
  <c r="E953" i="4"/>
  <c r="D953" i="4"/>
  <c r="C953" i="4"/>
  <c r="B953" i="4"/>
  <c r="N952" i="4"/>
  <c r="M952" i="4"/>
  <c r="L952" i="4"/>
  <c r="J952" i="4"/>
  <c r="I952" i="4"/>
  <c r="H952" i="4"/>
  <c r="G952" i="4"/>
  <c r="E952" i="4"/>
  <c r="D952" i="4"/>
  <c r="C952" i="4"/>
  <c r="B952" i="4"/>
  <c r="N951" i="4"/>
  <c r="M951" i="4"/>
  <c r="L951" i="4"/>
  <c r="J951" i="4"/>
  <c r="I951" i="4"/>
  <c r="H951" i="4"/>
  <c r="G951" i="4"/>
  <c r="E951" i="4"/>
  <c r="D951" i="4"/>
  <c r="C951" i="4"/>
  <c r="B951" i="4"/>
  <c r="N950" i="4"/>
  <c r="M950" i="4"/>
  <c r="L950" i="4"/>
  <c r="I950" i="4"/>
  <c r="J950" i="4" s="1"/>
  <c r="H950" i="4"/>
  <c r="G950" i="4"/>
  <c r="E950" i="4"/>
  <c r="D950" i="4"/>
  <c r="C950" i="4"/>
  <c r="B950" i="4"/>
  <c r="N949" i="4"/>
  <c r="M949" i="4"/>
  <c r="L949" i="4"/>
  <c r="H949" i="4"/>
  <c r="I949" i="4" s="1"/>
  <c r="J949" i="4" s="1"/>
  <c r="G949" i="4"/>
  <c r="E949" i="4"/>
  <c r="D949" i="4"/>
  <c r="C949" i="4"/>
  <c r="B949" i="4"/>
  <c r="N948" i="4"/>
  <c r="M948" i="4"/>
  <c r="L948" i="4"/>
  <c r="J948" i="4"/>
  <c r="I948" i="4"/>
  <c r="H948" i="4"/>
  <c r="G948" i="4"/>
  <c r="E948" i="4"/>
  <c r="D948" i="4"/>
  <c r="C948" i="4"/>
  <c r="B948" i="4"/>
  <c r="N947" i="4"/>
  <c r="M947" i="4"/>
  <c r="L947" i="4"/>
  <c r="J947" i="4"/>
  <c r="I947" i="4"/>
  <c r="H947" i="4"/>
  <c r="G947" i="4"/>
  <c r="E947" i="4"/>
  <c r="D947" i="4"/>
  <c r="C947" i="4"/>
  <c r="B947" i="4"/>
  <c r="N946" i="4"/>
  <c r="M946" i="4"/>
  <c r="L946" i="4"/>
  <c r="I946" i="4"/>
  <c r="J946" i="4" s="1"/>
  <c r="H946" i="4"/>
  <c r="G946" i="4"/>
  <c r="E946" i="4"/>
  <c r="D946" i="4"/>
  <c r="C946" i="4"/>
  <c r="B946" i="4"/>
  <c r="N945" i="4"/>
  <c r="M945" i="4"/>
  <c r="L945" i="4"/>
  <c r="H945" i="4"/>
  <c r="I945" i="4" s="1"/>
  <c r="J945" i="4" s="1"/>
  <c r="G945" i="4"/>
  <c r="E945" i="4"/>
  <c r="D945" i="4"/>
  <c r="C945" i="4"/>
  <c r="B945" i="4"/>
  <c r="N944" i="4"/>
  <c r="M944" i="4"/>
  <c r="L944" i="4"/>
  <c r="J944" i="4"/>
  <c r="I944" i="4"/>
  <c r="H944" i="4"/>
  <c r="G944" i="4"/>
  <c r="E944" i="4"/>
  <c r="D944" i="4"/>
  <c r="C944" i="4"/>
  <c r="B944" i="4"/>
  <c r="N943" i="4"/>
  <c r="M943" i="4"/>
  <c r="L943" i="4"/>
  <c r="J943" i="4"/>
  <c r="I943" i="4"/>
  <c r="H943" i="4"/>
  <c r="G943" i="4"/>
  <c r="E943" i="4"/>
  <c r="D943" i="4"/>
  <c r="C943" i="4"/>
  <c r="B943" i="4"/>
  <c r="N942" i="4"/>
  <c r="M942" i="4"/>
  <c r="L942" i="4"/>
  <c r="I942" i="4"/>
  <c r="J942" i="4" s="1"/>
  <c r="H942" i="4"/>
  <c r="G942" i="4"/>
  <c r="E942" i="4"/>
  <c r="D942" i="4"/>
  <c r="C942" i="4"/>
  <c r="B942" i="4"/>
  <c r="N941" i="4"/>
  <c r="M941" i="4"/>
  <c r="L941" i="4"/>
  <c r="H941" i="4"/>
  <c r="I941" i="4" s="1"/>
  <c r="J941" i="4" s="1"/>
  <c r="G941" i="4"/>
  <c r="E941" i="4"/>
  <c r="D941" i="4"/>
  <c r="C941" i="4"/>
  <c r="B941" i="4"/>
  <c r="N940" i="4"/>
  <c r="M940" i="4"/>
  <c r="L940" i="4"/>
  <c r="J940" i="4"/>
  <c r="I940" i="4"/>
  <c r="H940" i="4"/>
  <c r="G940" i="4"/>
  <c r="E940" i="4"/>
  <c r="D940" i="4"/>
  <c r="C940" i="4"/>
  <c r="B940" i="4"/>
  <c r="N939" i="4"/>
  <c r="M939" i="4"/>
  <c r="L939" i="4"/>
  <c r="J939" i="4"/>
  <c r="I939" i="4"/>
  <c r="H939" i="4"/>
  <c r="G939" i="4"/>
  <c r="E939" i="4"/>
  <c r="D939" i="4"/>
  <c r="C939" i="4"/>
  <c r="B939" i="4"/>
  <c r="N938" i="4"/>
  <c r="M938" i="4"/>
  <c r="L938" i="4"/>
  <c r="I938" i="4"/>
  <c r="J938" i="4" s="1"/>
  <c r="H938" i="4"/>
  <c r="G938" i="4"/>
  <c r="E938" i="4"/>
  <c r="D938" i="4"/>
  <c r="C938" i="4"/>
  <c r="B938" i="4"/>
  <c r="N937" i="4"/>
  <c r="M937" i="4"/>
  <c r="L937" i="4"/>
  <c r="H937" i="4"/>
  <c r="I937" i="4" s="1"/>
  <c r="J937" i="4" s="1"/>
  <c r="G937" i="4"/>
  <c r="E937" i="4"/>
  <c r="D937" i="4"/>
  <c r="C937" i="4"/>
  <c r="B937" i="4"/>
  <c r="N936" i="4"/>
  <c r="M936" i="4"/>
  <c r="L936" i="4"/>
  <c r="J936" i="4"/>
  <c r="I936" i="4"/>
  <c r="H936" i="4"/>
  <c r="G936" i="4"/>
  <c r="E936" i="4"/>
  <c r="D936" i="4"/>
  <c r="C936" i="4"/>
  <c r="B936" i="4"/>
  <c r="N935" i="4"/>
  <c r="M935" i="4"/>
  <c r="L935" i="4"/>
  <c r="J935" i="4"/>
  <c r="I935" i="4"/>
  <c r="H935" i="4"/>
  <c r="G935" i="4"/>
  <c r="E935" i="4"/>
  <c r="D935" i="4"/>
  <c r="C935" i="4"/>
  <c r="B935" i="4"/>
  <c r="N934" i="4"/>
  <c r="M934" i="4"/>
  <c r="L934" i="4"/>
  <c r="I934" i="4"/>
  <c r="J934" i="4" s="1"/>
  <c r="H934" i="4"/>
  <c r="G934" i="4"/>
  <c r="E934" i="4"/>
  <c r="D934" i="4"/>
  <c r="C934" i="4"/>
  <c r="B934" i="4"/>
  <c r="N933" i="4"/>
  <c r="M933" i="4"/>
  <c r="L933" i="4"/>
  <c r="H933" i="4"/>
  <c r="I933" i="4" s="1"/>
  <c r="J933" i="4" s="1"/>
  <c r="G933" i="4"/>
  <c r="E933" i="4"/>
  <c r="D933" i="4"/>
  <c r="C933" i="4"/>
  <c r="B933" i="4"/>
  <c r="N932" i="4"/>
  <c r="M932" i="4"/>
  <c r="L932" i="4"/>
  <c r="J932" i="4"/>
  <c r="I932" i="4"/>
  <c r="H932" i="4"/>
  <c r="G932" i="4"/>
  <c r="E932" i="4"/>
  <c r="D932" i="4"/>
  <c r="C932" i="4"/>
  <c r="B932" i="4"/>
  <c r="N931" i="4"/>
  <c r="M931" i="4"/>
  <c r="L931" i="4"/>
  <c r="J931" i="4"/>
  <c r="I931" i="4"/>
  <c r="H931" i="4"/>
  <c r="G931" i="4"/>
  <c r="E931" i="4"/>
  <c r="D931" i="4"/>
  <c r="C931" i="4"/>
  <c r="B931" i="4"/>
  <c r="N930" i="4"/>
  <c r="M930" i="4"/>
  <c r="L930" i="4"/>
  <c r="I930" i="4"/>
  <c r="J930" i="4" s="1"/>
  <c r="H930" i="4"/>
  <c r="G930" i="4"/>
  <c r="E930" i="4"/>
  <c r="D930" i="4"/>
  <c r="C930" i="4"/>
  <c r="B930" i="4"/>
  <c r="N929" i="4"/>
  <c r="M929" i="4"/>
  <c r="L929" i="4"/>
  <c r="H929" i="4"/>
  <c r="I929" i="4" s="1"/>
  <c r="J929" i="4" s="1"/>
  <c r="G929" i="4"/>
  <c r="E929" i="4"/>
  <c r="D929" i="4"/>
  <c r="C929" i="4"/>
  <c r="B929" i="4"/>
  <c r="N928" i="4"/>
  <c r="M928" i="4"/>
  <c r="L928" i="4"/>
  <c r="J928" i="4"/>
  <c r="I928" i="4"/>
  <c r="H928" i="4"/>
  <c r="G928" i="4"/>
  <c r="E928" i="4"/>
  <c r="D928" i="4"/>
  <c r="C928" i="4"/>
  <c r="B928" i="4"/>
  <c r="N927" i="4"/>
  <c r="M927" i="4"/>
  <c r="L927" i="4"/>
  <c r="J927" i="4"/>
  <c r="I927" i="4"/>
  <c r="H927" i="4"/>
  <c r="G927" i="4"/>
  <c r="E927" i="4"/>
  <c r="D927" i="4"/>
  <c r="C927" i="4"/>
  <c r="B927" i="4"/>
  <c r="N926" i="4"/>
  <c r="M926" i="4"/>
  <c r="L926" i="4"/>
  <c r="I926" i="4"/>
  <c r="J926" i="4" s="1"/>
  <c r="H926" i="4"/>
  <c r="G926" i="4"/>
  <c r="E926" i="4"/>
  <c r="D926" i="4"/>
  <c r="C926" i="4"/>
  <c r="B926" i="4"/>
  <c r="N925" i="4"/>
  <c r="M925" i="4"/>
  <c r="L925" i="4"/>
  <c r="H925" i="4"/>
  <c r="I925" i="4" s="1"/>
  <c r="J925" i="4" s="1"/>
  <c r="G925" i="4"/>
  <c r="E925" i="4"/>
  <c r="D925" i="4"/>
  <c r="C925" i="4"/>
  <c r="B925" i="4"/>
  <c r="N924" i="4"/>
  <c r="M924" i="4"/>
  <c r="L924" i="4"/>
  <c r="J924" i="4"/>
  <c r="I924" i="4"/>
  <c r="H924" i="4"/>
  <c r="G924" i="4"/>
  <c r="E924" i="4"/>
  <c r="D924" i="4"/>
  <c r="C924" i="4"/>
  <c r="B924" i="4"/>
  <c r="N923" i="4"/>
  <c r="M923" i="4"/>
  <c r="L923" i="4"/>
  <c r="J923" i="4"/>
  <c r="I923" i="4"/>
  <c r="H923" i="4"/>
  <c r="G923" i="4"/>
  <c r="E923" i="4"/>
  <c r="D923" i="4"/>
  <c r="C923" i="4"/>
  <c r="B923" i="4"/>
  <c r="N922" i="4"/>
  <c r="M922" i="4"/>
  <c r="L922" i="4"/>
  <c r="I922" i="4"/>
  <c r="J922" i="4" s="1"/>
  <c r="H922" i="4"/>
  <c r="G922" i="4"/>
  <c r="E922" i="4"/>
  <c r="D922" i="4"/>
  <c r="C922" i="4"/>
  <c r="B922" i="4"/>
  <c r="N921" i="4"/>
  <c r="M921" i="4"/>
  <c r="L921" i="4"/>
  <c r="H921" i="4"/>
  <c r="I921" i="4" s="1"/>
  <c r="J921" i="4" s="1"/>
  <c r="G921" i="4"/>
  <c r="E921" i="4"/>
  <c r="D921" i="4"/>
  <c r="C921" i="4"/>
  <c r="B921" i="4"/>
  <c r="N920" i="4"/>
  <c r="M920" i="4"/>
  <c r="L920" i="4"/>
  <c r="J920" i="4"/>
  <c r="I920" i="4"/>
  <c r="H920" i="4"/>
  <c r="G920" i="4"/>
  <c r="E920" i="4"/>
  <c r="D920" i="4"/>
  <c r="C920" i="4"/>
  <c r="B920" i="4"/>
  <c r="N919" i="4"/>
  <c r="M919" i="4"/>
  <c r="L919" i="4"/>
  <c r="J919" i="4"/>
  <c r="I919" i="4"/>
  <c r="H919" i="4"/>
  <c r="G919" i="4"/>
  <c r="E919" i="4"/>
  <c r="D919" i="4"/>
  <c r="C919" i="4"/>
  <c r="B919" i="4"/>
  <c r="N918" i="4"/>
  <c r="M918" i="4"/>
  <c r="L918" i="4"/>
  <c r="I918" i="4"/>
  <c r="J918" i="4" s="1"/>
  <c r="H918" i="4"/>
  <c r="G918" i="4"/>
  <c r="E918" i="4"/>
  <c r="D918" i="4"/>
  <c r="C918" i="4"/>
  <c r="B918" i="4"/>
  <c r="N917" i="4"/>
  <c r="M917" i="4"/>
  <c r="L917" i="4"/>
  <c r="H917" i="4"/>
  <c r="I917" i="4" s="1"/>
  <c r="J917" i="4" s="1"/>
  <c r="G917" i="4"/>
  <c r="E917" i="4"/>
  <c r="D917" i="4"/>
  <c r="C917" i="4"/>
  <c r="B917" i="4"/>
  <c r="N916" i="4"/>
  <c r="M916" i="4"/>
  <c r="L916" i="4"/>
  <c r="J916" i="4"/>
  <c r="I916" i="4"/>
  <c r="H916" i="4"/>
  <c r="G916" i="4"/>
  <c r="E916" i="4"/>
  <c r="D916" i="4"/>
  <c r="C916" i="4"/>
  <c r="B916" i="4"/>
  <c r="N915" i="4"/>
  <c r="M915" i="4"/>
  <c r="L915" i="4"/>
  <c r="J915" i="4"/>
  <c r="I915" i="4"/>
  <c r="H915" i="4"/>
  <c r="G915" i="4"/>
  <c r="E915" i="4"/>
  <c r="D915" i="4"/>
  <c r="C915" i="4"/>
  <c r="B915" i="4"/>
  <c r="N914" i="4"/>
  <c r="M914" i="4"/>
  <c r="L914" i="4"/>
  <c r="I914" i="4"/>
  <c r="J914" i="4" s="1"/>
  <c r="H914" i="4"/>
  <c r="G914" i="4"/>
  <c r="E914" i="4"/>
  <c r="D914" i="4"/>
  <c r="C914" i="4"/>
  <c r="B914" i="4"/>
  <c r="N913" i="4"/>
  <c r="M913" i="4"/>
  <c r="L913" i="4"/>
  <c r="H913" i="4"/>
  <c r="I913" i="4" s="1"/>
  <c r="J913" i="4" s="1"/>
  <c r="G913" i="4"/>
  <c r="E913" i="4"/>
  <c r="D913" i="4"/>
  <c r="C913" i="4"/>
  <c r="B913" i="4"/>
  <c r="N912" i="4"/>
  <c r="M912" i="4"/>
  <c r="L912" i="4"/>
  <c r="J912" i="4"/>
  <c r="I912" i="4"/>
  <c r="H912" i="4"/>
  <c r="G912" i="4"/>
  <c r="E912" i="4"/>
  <c r="D912" i="4"/>
  <c r="C912" i="4"/>
  <c r="B912" i="4"/>
  <c r="N911" i="4"/>
  <c r="M911" i="4"/>
  <c r="L911" i="4"/>
  <c r="J911" i="4"/>
  <c r="I911" i="4"/>
  <c r="H911" i="4"/>
  <c r="G911" i="4"/>
  <c r="E911" i="4"/>
  <c r="D911" i="4"/>
  <c r="C911" i="4"/>
  <c r="B911" i="4"/>
  <c r="N910" i="4"/>
  <c r="M910" i="4"/>
  <c r="L910" i="4"/>
  <c r="I910" i="4"/>
  <c r="J910" i="4" s="1"/>
  <c r="H910" i="4"/>
  <c r="G910" i="4"/>
  <c r="E910" i="4"/>
  <c r="D910" i="4"/>
  <c r="C910" i="4"/>
  <c r="B910" i="4"/>
  <c r="N909" i="4"/>
  <c r="M909" i="4"/>
  <c r="L909" i="4"/>
  <c r="H909" i="4"/>
  <c r="I909" i="4" s="1"/>
  <c r="J909" i="4" s="1"/>
  <c r="G909" i="4"/>
  <c r="E909" i="4"/>
  <c r="D909" i="4"/>
  <c r="C909" i="4"/>
  <c r="B909" i="4"/>
  <c r="N908" i="4"/>
  <c r="M908" i="4"/>
  <c r="L908" i="4"/>
  <c r="J908" i="4"/>
  <c r="I908" i="4"/>
  <c r="H908" i="4"/>
  <c r="G908" i="4"/>
  <c r="E908" i="4"/>
  <c r="D908" i="4"/>
  <c r="C908" i="4"/>
  <c r="B908" i="4"/>
  <c r="N907" i="4"/>
  <c r="M907" i="4"/>
  <c r="L907" i="4"/>
  <c r="J907" i="4"/>
  <c r="I907" i="4"/>
  <c r="H907" i="4"/>
  <c r="G907" i="4"/>
  <c r="E907" i="4"/>
  <c r="D907" i="4"/>
  <c r="C907" i="4"/>
  <c r="B907" i="4"/>
  <c r="N906" i="4"/>
  <c r="M906" i="4"/>
  <c r="L906" i="4"/>
  <c r="I906" i="4"/>
  <c r="J906" i="4" s="1"/>
  <c r="H906" i="4"/>
  <c r="G906" i="4"/>
  <c r="E906" i="4"/>
  <c r="D906" i="4"/>
  <c r="C906" i="4"/>
  <c r="B906" i="4"/>
  <c r="N905" i="4"/>
  <c r="M905" i="4"/>
  <c r="L905" i="4"/>
  <c r="H905" i="4"/>
  <c r="I905" i="4" s="1"/>
  <c r="J905" i="4" s="1"/>
  <c r="G905" i="4"/>
  <c r="E905" i="4"/>
  <c r="D905" i="4"/>
  <c r="C905" i="4"/>
  <c r="B905" i="4"/>
  <c r="N904" i="4"/>
  <c r="M904" i="4"/>
  <c r="L904" i="4"/>
  <c r="J904" i="4"/>
  <c r="I904" i="4"/>
  <c r="H904" i="4"/>
  <c r="G904" i="4"/>
  <c r="E904" i="4"/>
  <c r="D904" i="4"/>
  <c r="C904" i="4"/>
  <c r="B904" i="4"/>
  <c r="N903" i="4"/>
  <c r="M903" i="4"/>
  <c r="L903" i="4"/>
  <c r="J903" i="4"/>
  <c r="I903" i="4"/>
  <c r="H903" i="4"/>
  <c r="G903" i="4"/>
  <c r="E903" i="4"/>
  <c r="D903" i="4"/>
  <c r="C903" i="4"/>
  <c r="B903" i="4"/>
  <c r="N902" i="4"/>
  <c r="M902" i="4"/>
  <c r="L902" i="4"/>
  <c r="I902" i="4"/>
  <c r="J902" i="4" s="1"/>
  <c r="H902" i="4"/>
  <c r="G902" i="4"/>
  <c r="E902" i="4"/>
  <c r="D902" i="4"/>
  <c r="C902" i="4"/>
  <c r="B902" i="4"/>
  <c r="N901" i="4"/>
  <c r="M901" i="4"/>
  <c r="L901" i="4"/>
  <c r="H901" i="4"/>
  <c r="I901" i="4" s="1"/>
  <c r="J901" i="4" s="1"/>
  <c r="G901" i="4"/>
  <c r="E901" i="4"/>
  <c r="D901" i="4"/>
  <c r="C901" i="4"/>
  <c r="B901" i="4"/>
  <c r="N900" i="4"/>
  <c r="M900" i="4"/>
  <c r="L900" i="4"/>
  <c r="J900" i="4"/>
  <c r="I900" i="4"/>
  <c r="H900" i="4"/>
  <c r="G900" i="4"/>
  <c r="E900" i="4"/>
  <c r="D900" i="4"/>
  <c r="C900" i="4"/>
  <c r="B900" i="4"/>
  <c r="N899" i="4"/>
  <c r="M899" i="4"/>
  <c r="L899" i="4"/>
  <c r="J899" i="4"/>
  <c r="I899" i="4"/>
  <c r="H899" i="4"/>
  <c r="G899" i="4"/>
  <c r="E899" i="4"/>
  <c r="D899" i="4"/>
  <c r="C899" i="4"/>
  <c r="B899" i="4"/>
  <c r="N898" i="4"/>
  <c r="M898" i="4"/>
  <c r="L898" i="4"/>
  <c r="I898" i="4"/>
  <c r="J898" i="4" s="1"/>
  <c r="H898" i="4"/>
  <c r="G898" i="4"/>
  <c r="E898" i="4"/>
  <c r="D898" i="4"/>
  <c r="C898" i="4"/>
  <c r="B898" i="4"/>
  <c r="N897" i="4"/>
  <c r="M897" i="4"/>
  <c r="L897" i="4"/>
  <c r="H897" i="4"/>
  <c r="I897" i="4" s="1"/>
  <c r="J897" i="4" s="1"/>
  <c r="G897" i="4"/>
  <c r="E897" i="4"/>
  <c r="D897" i="4"/>
  <c r="C897" i="4"/>
  <c r="B897" i="4"/>
  <c r="N896" i="4"/>
  <c r="M896" i="4"/>
  <c r="L896" i="4"/>
  <c r="J896" i="4"/>
  <c r="I896" i="4"/>
  <c r="H896" i="4"/>
  <c r="G896" i="4"/>
  <c r="E896" i="4"/>
  <c r="D896" i="4"/>
  <c r="C896" i="4"/>
  <c r="B896" i="4"/>
  <c r="N895" i="4"/>
  <c r="M895" i="4"/>
  <c r="L895" i="4"/>
  <c r="J895" i="4"/>
  <c r="I895" i="4"/>
  <c r="H895" i="4"/>
  <c r="G895" i="4"/>
  <c r="E895" i="4"/>
  <c r="D895" i="4"/>
  <c r="C895" i="4"/>
  <c r="B895" i="4"/>
  <c r="N894" i="4"/>
  <c r="M894" i="4"/>
  <c r="L894" i="4"/>
  <c r="I894" i="4"/>
  <c r="J894" i="4" s="1"/>
  <c r="H894" i="4"/>
  <c r="G894" i="4"/>
  <c r="E894" i="4"/>
  <c r="D894" i="4"/>
  <c r="C894" i="4"/>
  <c r="B894" i="4"/>
  <c r="N893" i="4"/>
  <c r="M893" i="4"/>
  <c r="L893" i="4"/>
  <c r="H893" i="4"/>
  <c r="I893" i="4" s="1"/>
  <c r="J893" i="4" s="1"/>
  <c r="G893" i="4"/>
  <c r="E893" i="4"/>
  <c r="D893" i="4"/>
  <c r="C893" i="4"/>
  <c r="B893" i="4"/>
  <c r="N892" i="4"/>
  <c r="M892" i="4"/>
  <c r="L892" i="4"/>
  <c r="J892" i="4"/>
  <c r="I892" i="4"/>
  <c r="H892" i="4"/>
  <c r="G892" i="4"/>
  <c r="E892" i="4"/>
  <c r="D892" i="4"/>
  <c r="C892" i="4"/>
  <c r="B892" i="4"/>
  <c r="N891" i="4"/>
  <c r="M891" i="4"/>
  <c r="L891" i="4"/>
  <c r="J891" i="4"/>
  <c r="I891" i="4"/>
  <c r="H891" i="4"/>
  <c r="G891" i="4"/>
  <c r="E891" i="4"/>
  <c r="D891" i="4"/>
  <c r="C891" i="4"/>
  <c r="B891" i="4"/>
  <c r="N890" i="4"/>
  <c r="M890" i="4"/>
  <c r="L890" i="4"/>
  <c r="I890" i="4"/>
  <c r="J890" i="4" s="1"/>
  <c r="H890" i="4"/>
  <c r="G890" i="4"/>
  <c r="E890" i="4"/>
  <c r="D890" i="4"/>
  <c r="C890" i="4"/>
  <c r="B890" i="4"/>
  <c r="N889" i="4"/>
  <c r="M889" i="4"/>
  <c r="L889" i="4"/>
  <c r="H889" i="4"/>
  <c r="I889" i="4" s="1"/>
  <c r="J889" i="4" s="1"/>
  <c r="G889" i="4"/>
  <c r="E889" i="4"/>
  <c r="D889" i="4"/>
  <c r="C889" i="4"/>
  <c r="B889" i="4"/>
  <c r="N888" i="4"/>
  <c r="M888" i="4"/>
  <c r="L888" i="4"/>
  <c r="J888" i="4"/>
  <c r="I888" i="4"/>
  <c r="H888" i="4"/>
  <c r="G888" i="4"/>
  <c r="E888" i="4"/>
  <c r="D888" i="4"/>
  <c r="C888" i="4"/>
  <c r="B888" i="4"/>
  <c r="N887" i="4"/>
  <c r="M887" i="4"/>
  <c r="L887" i="4"/>
  <c r="J887" i="4"/>
  <c r="I887" i="4"/>
  <c r="H887" i="4"/>
  <c r="G887" i="4"/>
  <c r="E887" i="4"/>
  <c r="D887" i="4"/>
  <c r="C887" i="4"/>
  <c r="B887" i="4"/>
  <c r="N886" i="4"/>
  <c r="M886" i="4"/>
  <c r="L886" i="4"/>
  <c r="I886" i="4"/>
  <c r="J886" i="4" s="1"/>
  <c r="H886" i="4"/>
  <c r="G886" i="4"/>
  <c r="E886" i="4"/>
  <c r="D886" i="4"/>
  <c r="C886" i="4"/>
  <c r="B886" i="4"/>
  <c r="N885" i="4"/>
  <c r="M885" i="4"/>
  <c r="L885" i="4"/>
  <c r="H885" i="4"/>
  <c r="I885" i="4" s="1"/>
  <c r="J885" i="4" s="1"/>
  <c r="G885" i="4"/>
  <c r="E885" i="4"/>
  <c r="D885" i="4"/>
  <c r="C885" i="4"/>
  <c r="B885" i="4"/>
  <c r="N884" i="4"/>
  <c r="M884" i="4"/>
  <c r="L884" i="4"/>
  <c r="J884" i="4"/>
  <c r="I884" i="4"/>
  <c r="H884" i="4"/>
  <c r="G884" i="4"/>
  <c r="E884" i="4"/>
  <c r="D884" i="4"/>
  <c r="C884" i="4"/>
  <c r="B884" i="4"/>
  <c r="N883" i="4"/>
  <c r="M883" i="4"/>
  <c r="L883" i="4"/>
  <c r="J883" i="4"/>
  <c r="I883" i="4"/>
  <c r="H883" i="4"/>
  <c r="G883" i="4"/>
  <c r="E883" i="4"/>
  <c r="D883" i="4"/>
  <c r="C883" i="4"/>
  <c r="B883" i="4"/>
  <c r="N882" i="4"/>
  <c r="M882" i="4"/>
  <c r="L882" i="4"/>
  <c r="I882" i="4"/>
  <c r="J882" i="4" s="1"/>
  <c r="H882" i="4"/>
  <c r="G882" i="4"/>
  <c r="E882" i="4"/>
  <c r="D882" i="4"/>
  <c r="C882" i="4"/>
  <c r="B882" i="4"/>
  <c r="N881" i="4"/>
  <c r="M881" i="4"/>
  <c r="L881" i="4"/>
  <c r="H881" i="4"/>
  <c r="I881" i="4" s="1"/>
  <c r="J881" i="4" s="1"/>
  <c r="G881" i="4"/>
  <c r="E881" i="4"/>
  <c r="D881" i="4"/>
  <c r="C881" i="4"/>
  <c r="B881" i="4"/>
  <c r="N880" i="4"/>
  <c r="M880" i="4"/>
  <c r="L880" i="4"/>
  <c r="J880" i="4"/>
  <c r="I880" i="4"/>
  <c r="H880" i="4"/>
  <c r="G880" i="4"/>
  <c r="E880" i="4"/>
  <c r="D880" i="4"/>
  <c r="C880" i="4"/>
  <c r="B880" i="4"/>
  <c r="N879" i="4"/>
  <c r="M879" i="4"/>
  <c r="L879" i="4"/>
  <c r="J879" i="4"/>
  <c r="I879" i="4"/>
  <c r="H879" i="4"/>
  <c r="G879" i="4"/>
  <c r="E879" i="4"/>
  <c r="D879" i="4"/>
  <c r="C879" i="4"/>
  <c r="B879" i="4"/>
  <c r="N878" i="4"/>
  <c r="M878" i="4"/>
  <c r="L878" i="4"/>
  <c r="I878" i="4"/>
  <c r="J878" i="4" s="1"/>
  <c r="H878" i="4"/>
  <c r="G878" i="4"/>
  <c r="E878" i="4"/>
  <c r="D878" i="4"/>
  <c r="C878" i="4"/>
  <c r="B878" i="4"/>
  <c r="N877" i="4"/>
  <c r="M877" i="4"/>
  <c r="L877" i="4"/>
  <c r="H877" i="4"/>
  <c r="I877" i="4" s="1"/>
  <c r="J877" i="4" s="1"/>
  <c r="G877" i="4"/>
  <c r="E877" i="4"/>
  <c r="D877" i="4"/>
  <c r="C877" i="4"/>
  <c r="B877" i="4"/>
  <c r="N876" i="4"/>
  <c r="M876" i="4"/>
  <c r="L876" i="4"/>
  <c r="J876" i="4"/>
  <c r="I876" i="4"/>
  <c r="H876" i="4"/>
  <c r="G876" i="4"/>
  <c r="E876" i="4"/>
  <c r="D876" i="4"/>
  <c r="C876" i="4"/>
  <c r="B876" i="4"/>
  <c r="N875" i="4"/>
  <c r="M875" i="4"/>
  <c r="L875" i="4"/>
  <c r="J875" i="4"/>
  <c r="I875" i="4"/>
  <c r="H875" i="4"/>
  <c r="G875" i="4"/>
  <c r="E875" i="4"/>
  <c r="D875" i="4"/>
  <c r="C875" i="4"/>
  <c r="B875" i="4"/>
  <c r="N874" i="4"/>
  <c r="M874" i="4"/>
  <c r="L874" i="4"/>
  <c r="I874" i="4"/>
  <c r="J874" i="4" s="1"/>
  <c r="H874" i="4"/>
  <c r="G874" i="4"/>
  <c r="E874" i="4"/>
  <c r="D874" i="4"/>
  <c r="C874" i="4"/>
  <c r="B874" i="4"/>
  <c r="N873" i="4"/>
  <c r="M873" i="4"/>
  <c r="L873" i="4"/>
  <c r="H873" i="4"/>
  <c r="I873" i="4" s="1"/>
  <c r="J873" i="4" s="1"/>
  <c r="G873" i="4"/>
  <c r="E873" i="4"/>
  <c r="D873" i="4"/>
  <c r="C873" i="4"/>
  <c r="B873" i="4"/>
  <c r="N872" i="4"/>
  <c r="M872" i="4"/>
  <c r="L872" i="4"/>
  <c r="J872" i="4"/>
  <c r="I872" i="4"/>
  <c r="H872" i="4"/>
  <c r="G872" i="4"/>
  <c r="E872" i="4"/>
  <c r="D872" i="4"/>
  <c r="C872" i="4"/>
  <c r="B872" i="4"/>
  <c r="N871" i="4"/>
  <c r="M871" i="4"/>
  <c r="L871" i="4"/>
  <c r="I871" i="4"/>
  <c r="J871" i="4" s="1"/>
  <c r="H871" i="4"/>
  <c r="G871" i="4"/>
  <c r="E871" i="4"/>
  <c r="D871" i="4"/>
  <c r="C871" i="4"/>
  <c r="B871" i="4"/>
  <c r="N870" i="4"/>
  <c r="M870" i="4"/>
  <c r="L870" i="4"/>
  <c r="I870" i="4"/>
  <c r="J870" i="4" s="1"/>
  <c r="H870" i="4"/>
  <c r="G870" i="4"/>
  <c r="E870" i="4"/>
  <c r="D870" i="4"/>
  <c r="C870" i="4"/>
  <c r="B870" i="4"/>
  <c r="N869" i="4"/>
  <c r="M869" i="4"/>
  <c r="L869" i="4"/>
  <c r="H869" i="4"/>
  <c r="I869" i="4" s="1"/>
  <c r="J869" i="4" s="1"/>
  <c r="G869" i="4"/>
  <c r="E869" i="4"/>
  <c r="D869" i="4"/>
  <c r="C869" i="4"/>
  <c r="B869" i="4"/>
  <c r="N868" i="4"/>
  <c r="M868" i="4"/>
  <c r="L868" i="4"/>
  <c r="J868" i="4"/>
  <c r="I868" i="4"/>
  <c r="H868" i="4"/>
  <c r="G868" i="4"/>
  <c r="E868" i="4"/>
  <c r="D868" i="4"/>
  <c r="C868" i="4"/>
  <c r="B868" i="4"/>
  <c r="N867" i="4"/>
  <c r="M867" i="4"/>
  <c r="L867" i="4"/>
  <c r="I867" i="4"/>
  <c r="J867" i="4" s="1"/>
  <c r="H867" i="4"/>
  <c r="G867" i="4"/>
  <c r="E867" i="4"/>
  <c r="D867" i="4"/>
  <c r="C867" i="4"/>
  <c r="B867" i="4"/>
  <c r="N866" i="4"/>
  <c r="M866" i="4"/>
  <c r="L866" i="4"/>
  <c r="H866" i="4"/>
  <c r="I866" i="4" s="1"/>
  <c r="J866" i="4" s="1"/>
  <c r="G866" i="4"/>
  <c r="E866" i="4"/>
  <c r="D866" i="4"/>
  <c r="C866" i="4"/>
  <c r="B866" i="4"/>
  <c r="N865" i="4"/>
  <c r="M865" i="4"/>
  <c r="L865" i="4"/>
  <c r="H865" i="4"/>
  <c r="I865" i="4" s="1"/>
  <c r="J865" i="4" s="1"/>
  <c r="G865" i="4"/>
  <c r="E865" i="4"/>
  <c r="D865" i="4"/>
  <c r="C865" i="4"/>
  <c r="B865" i="4"/>
  <c r="N864" i="4"/>
  <c r="M864" i="4"/>
  <c r="L864" i="4"/>
  <c r="J864" i="4"/>
  <c r="I864" i="4"/>
  <c r="H864" i="4"/>
  <c r="G864" i="4"/>
  <c r="E864" i="4"/>
  <c r="D864" i="4"/>
  <c r="C864" i="4"/>
  <c r="B864" i="4"/>
  <c r="N863" i="4"/>
  <c r="M863" i="4"/>
  <c r="L863" i="4"/>
  <c r="I863" i="4"/>
  <c r="J863" i="4" s="1"/>
  <c r="H863" i="4"/>
  <c r="G863" i="4"/>
  <c r="E863" i="4"/>
  <c r="D863" i="4"/>
  <c r="C863" i="4"/>
  <c r="B863" i="4"/>
  <c r="N862" i="4"/>
  <c r="M862" i="4"/>
  <c r="L862" i="4"/>
  <c r="H862" i="4"/>
  <c r="I862" i="4" s="1"/>
  <c r="J862" i="4" s="1"/>
  <c r="G862" i="4"/>
  <c r="E862" i="4"/>
  <c r="D862" i="4"/>
  <c r="C862" i="4"/>
  <c r="B862" i="4"/>
  <c r="N861" i="4"/>
  <c r="M861" i="4"/>
  <c r="L861" i="4"/>
  <c r="H861" i="4"/>
  <c r="I861" i="4" s="1"/>
  <c r="J861" i="4" s="1"/>
  <c r="G861" i="4"/>
  <c r="E861" i="4"/>
  <c r="D861" i="4"/>
  <c r="C861" i="4"/>
  <c r="B861" i="4"/>
  <c r="N860" i="4"/>
  <c r="M860" i="4"/>
  <c r="L860" i="4"/>
  <c r="J860" i="4"/>
  <c r="I860" i="4"/>
  <c r="H860" i="4"/>
  <c r="G860" i="4"/>
  <c r="E860" i="4"/>
  <c r="D860" i="4"/>
  <c r="C860" i="4"/>
  <c r="B860" i="4"/>
  <c r="N859" i="4"/>
  <c r="M859" i="4"/>
  <c r="L859" i="4"/>
  <c r="J859" i="4"/>
  <c r="I859" i="4"/>
  <c r="H859" i="4"/>
  <c r="G859" i="4"/>
  <c r="E859" i="4"/>
  <c r="D859" i="4"/>
  <c r="C859" i="4"/>
  <c r="B859" i="4"/>
  <c r="N858" i="4"/>
  <c r="M858" i="4"/>
  <c r="L858" i="4"/>
  <c r="H858" i="4"/>
  <c r="I858" i="4" s="1"/>
  <c r="J858" i="4" s="1"/>
  <c r="G858" i="4"/>
  <c r="E858" i="4"/>
  <c r="D858" i="4"/>
  <c r="C858" i="4"/>
  <c r="B858" i="4"/>
  <c r="N857" i="4"/>
  <c r="M857" i="4"/>
  <c r="L857" i="4"/>
  <c r="H857" i="4"/>
  <c r="I857" i="4" s="1"/>
  <c r="J857" i="4" s="1"/>
  <c r="G857" i="4"/>
  <c r="E857" i="4"/>
  <c r="D857" i="4"/>
  <c r="C857" i="4"/>
  <c r="B857" i="4"/>
  <c r="N856" i="4"/>
  <c r="M856" i="4"/>
  <c r="L856" i="4"/>
  <c r="H856" i="4"/>
  <c r="I856" i="4" s="1"/>
  <c r="J856" i="4" s="1"/>
  <c r="G856" i="4"/>
  <c r="E856" i="4"/>
  <c r="D856" i="4"/>
  <c r="C856" i="4"/>
  <c r="B856" i="4"/>
  <c r="N855" i="4"/>
  <c r="M855" i="4"/>
  <c r="L855" i="4"/>
  <c r="J855" i="4"/>
  <c r="I855" i="4"/>
  <c r="H855" i="4"/>
  <c r="G855" i="4"/>
  <c r="E855" i="4"/>
  <c r="D855" i="4"/>
  <c r="C855" i="4"/>
  <c r="B855" i="4"/>
  <c r="N854" i="4"/>
  <c r="M854" i="4"/>
  <c r="L854" i="4"/>
  <c r="H854" i="4"/>
  <c r="I854" i="4" s="1"/>
  <c r="J854" i="4" s="1"/>
  <c r="G854" i="4"/>
  <c r="E854" i="4"/>
  <c r="D854" i="4"/>
  <c r="C854" i="4"/>
  <c r="B854" i="4"/>
  <c r="N853" i="4"/>
  <c r="M853" i="4"/>
  <c r="L853" i="4"/>
  <c r="H853" i="4"/>
  <c r="I853" i="4" s="1"/>
  <c r="J853" i="4" s="1"/>
  <c r="G853" i="4"/>
  <c r="E853" i="4"/>
  <c r="D853" i="4"/>
  <c r="C853" i="4"/>
  <c r="B853" i="4"/>
  <c r="N852" i="4"/>
  <c r="M852" i="4"/>
  <c r="L852" i="4"/>
  <c r="H852" i="4"/>
  <c r="I852" i="4" s="1"/>
  <c r="J852" i="4" s="1"/>
  <c r="G852" i="4"/>
  <c r="E852" i="4"/>
  <c r="D852" i="4"/>
  <c r="C852" i="4"/>
  <c r="B852" i="4"/>
  <c r="N851" i="4"/>
  <c r="M851" i="4"/>
  <c r="L851" i="4"/>
  <c r="J851" i="4"/>
  <c r="I851" i="4"/>
  <c r="H851" i="4"/>
  <c r="G851" i="4"/>
  <c r="E851" i="4"/>
  <c r="D851" i="4"/>
  <c r="C851" i="4"/>
  <c r="B851" i="4"/>
  <c r="N850" i="4"/>
  <c r="M850" i="4"/>
  <c r="L850" i="4"/>
  <c r="H850" i="4"/>
  <c r="I850" i="4" s="1"/>
  <c r="J850" i="4" s="1"/>
  <c r="G850" i="4"/>
  <c r="E850" i="4"/>
  <c r="D850" i="4"/>
  <c r="C850" i="4"/>
  <c r="B850" i="4"/>
  <c r="N849" i="4"/>
  <c r="M849" i="4"/>
  <c r="L849" i="4"/>
  <c r="H849" i="4"/>
  <c r="I849" i="4" s="1"/>
  <c r="J849" i="4" s="1"/>
  <c r="G849" i="4"/>
  <c r="E849" i="4"/>
  <c r="D849" i="4"/>
  <c r="C849" i="4"/>
  <c r="B849" i="4"/>
  <c r="N848" i="4"/>
  <c r="M848" i="4"/>
  <c r="L848" i="4"/>
  <c r="H848" i="4"/>
  <c r="I848" i="4" s="1"/>
  <c r="J848" i="4" s="1"/>
  <c r="G848" i="4"/>
  <c r="E848" i="4"/>
  <c r="D848" i="4"/>
  <c r="C848" i="4"/>
  <c r="B848" i="4"/>
  <c r="N847" i="4"/>
  <c r="M847" i="4"/>
  <c r="L847" i="4"/>
  <c r="J847" i="4"/>
  <c r="I847" i="4"/>
  <c r="H847" i="4"/>
  <c r="G847" i="4"/>
  <c r="E847" i="4"/>
  <c r="D847" i="4"/>
  <c r="C847" i="4"/>
  <c r="B847" i="4"/>
  <c r="N846" i="4"/>
  <c r="M846" i="4"/>
  <c r="L846" i="4"/>
  <c r="H846" i="4"/>
  <c r="I846" i="4" s="1"/>
  <c r="J846" i="4" s="1"/>
  <c r="G846" i="4"/>
  <c r="E846" i="4"/>
  <c r="D846" i="4"/>
  <c r="C846" i="4"/>
  <c r="B846" i="4"/>
  <c r="N845" i="4"/>
  <c r="M845" i="4"/>
  <c r="L845" i="4"/>
  <c r="H845" i="4"/>
  <c r="I845" i="4" s="1"/>
  <c r="J845" i="4" s="1"/>
  <c r="G845" i="4"/>
  <c r="E845" i="4"/>
  <c r="D845" i="4"/>
  <c r="C845" i="4"/>
  <c r="B845" i="4"/>
  <c r="N844" i="4"/>
  <c r="M844" i="4"/>
  <c r="L844" i="4"/>
  <c r="H844" i="4"/>
  <c r="I844" i="4" s="1"/>
  <c r="J844" i="4" s="1"/>
  <c r="G844" i="4"/>
  <c r="E844" i="4"/>
  <c r="D844" i="4"/>
  <c r="C844" i="4"/>
  <c r="B844" i="4"/>
  <c r="N843" i="4"/>
  <c r="M843" i="4"/>
  <c r="L843" i="4"/>
  <c r="J843" i="4"/>
  <c r="I843" i="4"/>
  <c r="H843" i="4"/>
  <c r="G843" i="4"/>
  <c r="E843" i="4"/>
  <c r="D843" i="4"/>
  <c r="C843" i="4"/>
  <c r="B843" i="4"/>
  <c r="N842" i="4"/>
  <c r="M842" i="4"/>
  <c r="L842" i="4"/>
  <c r="H842" i="4"/>
  <c r="I842" i="4" s="1"/>
  <c r="J842" i="4" s="1"/>
  <c r="G842" i="4"/>
  <c r="E842" i="4"/>
  <c r="D842" i="4"/>
  <c r="C842" i="4"/>
  <c r="B842" i="4"/>
  <c r="N841" i="4"/>
  <c r="M841" i="4"/>
  <c r="L841" i="4"/>
  <c r="H841" i="4"/>
  <c r="I841" i="4" s="1"/>
  <c r="J841" i="4" s="1"/>
  <c r="G841" i="4"/>
  <c r="E841" i="4"/>
  <c r="D841" i="4"/>
  <c r="C841" i="4"/>
  <c r="B841" i="4"/>
  <c r="N840" i="4"/>
  <c r="M840" i="4"/>
  <c r="L840" i="4"/>
  <c r="H840" i="4"/>
  <c r="I840" i="4" s="1"/>
  <c r="J840" i="4" s="1"/>
  <c r="G840" i="4"/>
  <c r="E840" i="4"/>
  <c r="D840" i="4"/>
  <c r="C840" i="4"/>
  <c r="B840" i="4"/>
  <c r="N839" i="4"/>
  <c r="M839" i="4"/>
  <c r="L839" i="4"/>
  <c r="J839" i="4"/>
  <c r="I839" i="4"/>
  <c r="H839" i="4"/>
  <c r="G839" i="4"/>
  <c r="E839" i="4"/>
  <c r="D839" i="4"/>
  <c r="C839" i="4"/>
  <c r="B839" i="4"/>
  <c r="N838" i="4"/>
  <c r="M838" i="4"/>
  <c r="L838" i="4"/>
  <c r="H838" i="4"/>
  <c r="I838" i="4" s="1"/>
  <c r="J838" i="4" s="1"/>
  <c r="G838" i="4"/>
  <c r="E838" i="4"/>
  <c r="D838" i="4"/>
  <c r="C838" i="4"/>
  <c r="B838" i="4"/>
  <c r="N837" i="4"/>
  <c r="M837" i="4"/>
  <c r="L837" i="4"/>
  <c r="H837" i="4"/>
  <c r="I837" i="4" s="1"/>
  <c r="J837" i="4" s="1"/>
  <c r="G837" i="4"/>
  <c r="E837" i="4"/>
  <c r="D837" i="4"/>
  <c r="C837" i="4"/>
  <c r="B837" i="4"/>
  <c r="N836" i="4"/>
  <c r="M836" i="4"/>
  <c r="L836" i="4"/>
  <c r="H836" i="4"/>
  <c r="I836" i="4" s="1"/>
  <c r="J836" i="4" s="1"/>
  <c r="G836" i="4"/>
  <c r="E836" i="4"/>
  <c r="D836" i="4"/>
  <c r="C836" i="4"/>
  <c r="B836" i="4"/>
  <c r="N835" i="4"/>
  <c r="M835" i="4"/>
  <c r="L835" i="4"/>
  <c r="J835" i="4"/>
  <c r="I835" i="4"/>
  <c r="H835" i="4"/>
  <c r="G835" i="4"/>
  <c r="E835" i="4"/>
  <c r="D835" i="4"/>
  <c r="C835" i="4"/>
  <c r="B835" i="4"/>
  <c r="N834" i="4"/>
  <c r="M834" i="4"/>
  <c r="L834" i="4"/>
  <c r="H834" i="4"/>
  <c r="I834" i="4" s="1"/>
  <c r="J834" i="4" s="1"/>
  <c r="G834" i="4"/>
  <c r="E834" i="4"/>
  <c r="D834" i="4"/>
  <c r="C834" i="4"/>
  <c r="B834" i="4"/>
  <c r="N833" i="4"/>
  <c r="M833" i="4"/>
  <c r="L833" i="4"/>
  <c r="H833" i="4"/>
  <c r="I833" i="4" s="1"/>
  <c r="J833" i="4" s="1"/>
  <c r="G833" i="4"/>
  <c r="E833" i="4"/>
  <c r="D833" i="4"/>
  <c r="C833" i="4"/>
  <c r="B833" i="4"/>
  <c r="N832" i="4"/>
  <c r="M832" i="4"/>
  <c r="L832" i="4"/>
  <c r="H832" i="4"/>
  <c r="I832" i="4" s="1"/>
  <c r="J832" i="4" s="1"/>
  <c r="G832" i="4"/>
  <c r="E832" i="4"/>
  <c r="D832" i="4"/>
  <c r="C832" i="4"/>
  <c r="B832" i="4"/>
  <c r="N831" i="4"/>
  <c r="M831" i="4"/>
  <c r="L831" i="4"/>
  <c r="J831" i="4"/>
  <c r="I831" i="4"/>
  <c r="H831" i="4"/>
  <c r="G831" i="4"/>
  <c r="E831" i="4"/>
  <c r="D831" i="4"/>
  <c r="C831" i="4"/>
  <c r="B831" i="4"/>
  <c r="N830" i="4"/>
  <c r="M830" i="4"/>
  <c r="L830" i="4"/>
  <c r="H830" i="4"/>
  <c r="I830" i="4" s="1"/>
  <c r="J830" i="4" s="1"/>
  <c r="G830" i="4"/>
  <c r="E830" i="4"/>
  <c r="D830" i="4"/>
  <c r="C830" i="4"/>
  <c r="B830" i="4"/>
  <c r="N829" i="4"/>
  <c r="M829" i="4"/>
  <c r="L829" i="4"/>
  <c r="H829" i="4"/>
  <c r="I829" i="4" s="1"/>
  <c r="J829" i="4" s="1"/>
  <c r="G829" i="4"/>
  <c r="E829" i="4"/>
  <c r="D829" i="4"/>
  <c r="C829" i="4"/>
  <c r="B829" i="4"/>
  <c r="N828" i="4"/>
  <c r="M828" i="4"/>
  <c r="L828" i="4"/>
  <c r="H828" i="4"/>
  <c r="I828" i="4" s="1"/>
  <c r="J828" i="4" s="1"/>
  <c r="G828" i="4"/>
  <c r="E828" i="4"/>
  <c r="D828" i="4"/>
  <c r="C828" i="4"/>
  <c r="B828" i="4"/>
  <c r="N827" i="4"/>
  <c r="M827" i="4"/>
  <c r="L827" i="4"/>
  <c r="J827" i="4"/>
  <c r="I827" i="4"/>
  <c r="H827" i="4"/>
  <c r="G827" i="4"/>
  <c r="E827" i="4"/>
  <c r="D827" i="4"/>
  <c r="C827" i="4"/>
  <c r="B827" i="4"/>
  <c r="N826" i="4"/>
  <c r="M826" i="4"/>
  <c r="L826" i="4"/>
  <c r="H826" i="4"/>
  <c r="I826" i="4" s="1"/>
  <c r="J826" i="4" s="1"/>
  <c r="G826" i="4"/>
  <c r="E826" i="4"/>
  <c r="D826" i="4"/>
  <c r="C826" i="4"/>
  <c r="B826" i="4"/>
  <c r="N825" i="4"/>
  <c r="M825" i="4"/>
  <c r="L825" i="4"/>
  <c r="H825" i="4"/>
  <c r="I825" i="4" s="1"/>
  <c r="J825" i="4" s="1"/>
  <c r="G825" i="4"/>
  <c r="E825" i="4"/>
  <c r="D825" i="4"/>
  <c r="C825" i="4"/>
  <c r="B825" i="4"/>
  <c r="N824" i="4"/>
  <c r="M824" i="4"/>
  <c r="L824" i="4"/>
  <c r="H824" i="4"/>
  <c r="I824" i="4" s="1"/>
  <c r="J824" i="4" s="1"/>
  <c r="G824" i="4"/>
  <c r="E824" i="4"/>
  <c r="D824" i="4"/>
  <c r="C824" i="4"/>
  <c r="B824" i="4"/>
  <c r="N823" i="4"/>
  <c r="M823" i="4"/>
  <c r="L823" i="4"/>
  <c r="J823" i="4"/>
  <c r="I823" i="4"/>
  <c r="H823" i="4"/>
  <c r="G823" i="4"/>
  <c r="E823" i="4"/>
  <c r="D823" i="4"/>
  <c r="C823" i="4"/>
  <c r="B823" i="4"/>
  <c r="N822" i="4"/>
  <c r="M822" i="4"/>
  <c r="L822" i="4"/>
  <c r="H822" i="4"/>
  <c r="I822" i="4" s="1"/>
  <c r="J822" i="4" s="1"/>
  <c r="G822" i="4"/>
  <c r="E822" i="4"/>
  <c r="D822" i="4"/>
  <c r="C822" i="4"/>
  <c r="B822" i="4"/>
  <c r="N821" i="4"/>
  <c r="M821" i="4"/>
  <c r="L821" i="4"/>
  <c r="H821" i="4"/>
  <c r="I821" i="4" s="1"/>
  <c r="J821" i="4" s="1"/>
  <c r="G821" i="4"/>
  <c r="E821" i="4"/>
  <c r="D821" i="4"/>
  <c r="C821" i="4"/>
  <c r="B821" i="4"/>
  <c r="N820" i="4"/>
  <c r="M820" i="4"/>
  <c r="L820" i="4"/>
  <c r="H820" i="4"/>
  <c r="I820" i="4" s="1"/>
  <c r="J820" i="4" s="1"/>
  <c r="G820" i="4"/>
  <c r="E820" i="4"/>
  <c r="D820" i="4"/>
  <c r="C820" i="4"/>
  <c r="B820" i="4"/>
  <c r="N819" i="4"/>
  <c r="M819" i="4"/>
  <c r="L819" i="4"/>
  <c r="J819" i="4"/>
  <c r="I819" i="4"/>
  <c r="H819" i="4"/>
  <c r="G819" i="4"/>
  <c r="E819" i="4"/>
  <c r="D819" i="4"/>
  <c r="C819" i="4"/>
  <c r="B819" i="4"/>
  <c r="N818" i="4"/>
  <c r="M818" i="4"/>
  <c r="L818" i="4"/>
  <c r="H818" i="4"/>
  <c r="I818" i="4" s="1"/>
  <c r="J818" i="4" s="1"/>
  <c r="G818" i="4"/>
  <c r="E818" i="4"/>
  <c r="D818" i="4"/>
  <c r="C818" i="4"/>
  <c r="B818" i="4"/>
  <c r="N817" i="4"/>
  <c r="M817" i="4"/>
  <c r="L817" i="4"/>
  <c r="H817" i="4"/>
  <c r="I817" i="4" s="1"/>
  <c r="J817" i="4" s="1"/>
  <c r="G817" i="4"/>
  <c r="E817" i="4"/>
  <c r="D817" i="4"/>
  <c r="C817" i="4"/>
  <c r="B817" i="4"/>
  <c r="N816" i="4"/>
  <c r="M816" i="4"/>
  <c r="L816" i="4"/>
  <c r="H816" i="4"/>
  <c r="I816" i="4" s="1"/>
  <c r="J816" i="4" s="1"/>
  <c r="G816" i="4"/>
  <c r="E816" i="4"/>
  <c r="D816" i="4"/>
  <c r="C816" i="4"/>
  <c r="B816" i="4"/>
  <c r="N815" i="4"/>
  <c r="M815" i="4"/>
  <c r="L815" i="4"/>
  <c r="J815" i="4"/>
  <c r="I815" i="4"/>
  <c r="H815" i="4"/>
  <c r="G815" i="4"/>
  <c r="E815" i="4"/>
  <c r="D815" i="4"/>
  <c r="C815" i="4"/>
  <c r="B815" i="4"/>
  <c r="N814" i="4"/>
  <c r="M814" i="4"/>
  <c r="L814" i="4"/>
  <c r="H814" i="4"/>
  <c r="I814" i="4" s="1"/>
  <c r="J814" i="4" s="1"/>
  <c r="G814" i="4"/>
  <c r="E814" i="4"/>
  <c r="D814" i="4"/>
  <c r="C814" i="4"/>
  <c r="B814" i="4"/>
  <c r="N813" i="4"/>
  <c r="M813" i="4"/>
  <c r="L813" i="4"/>
  <c r="H813" i="4"/>
  <c r="I813" i="4" s="1"/>
  <c r="J813" i="4" s="1"/>
  <c r="G813" i="4"/>
  <c r="E813" i="4"/>
  <c r="D813" i="4"/>
  <c r="C813" i="4"/>
  <c r="B813" i="4"/>
  <c r="N812" i="4"/>
  <c r="M812" i="4"/>
  <c r="L812" i="4"/>
  <c r="H812" i="4"/>
  <c r="I812" i="4" s="1"/>
  <c r="J812" i="4" s="1"/>
  <c r="G812" i="4"/>
  <c r="E812" i="4"/>
  <c r="D812" i="4"/>
  <c r="C812" i="4"/>
  <c r="B812" i="4"/>
  <c r="N811" i="4"/>
  <c r="M811" i="4"/>
  <c r="L811" i="4"/>
  <c r="J811" i="4"/>
  <c r="I811" i="4"/>
  <c r="H811" i="4"/>
  <c r="G811" i="4"/>
  <c r="E811" i="4"/>
  <c r="D811" i="4"/>
  <c r="C811" i="4"/>
  <c r="B811" i="4"/>
  <c r="N810" i="4"/>
  <c r="M810" i="4"/>
  <c r="L810" i="4"/>
  <c r="H810" i="4"/>
  <c r="I810" i="4" s="1"/>
  <c r="J810" i="4" s="1"/>
  <c r="G810" i="4"/>
  <c r="E810" i="4"/>
  <c r="D810" i="4"/>
  <c r="C810" i="4"/>
  <c r="B810" i="4"/>
  <c r="N809" i="4"/>
  <c r="M809" i="4"/>
  <c r="L809" i="4"/>
  <c r="H809" i="4"/>
  <c r="I809" i="4" s="1"/>
  <c r="J809" i="4" s="1"/>
  <c r="G809" i="4"/>
  <c r="E809" i="4"/>
  <c r="D809" i="4"/>
  <c r="C809" i="4"/>
  <c r="B809" i="4"/>
  <c r="N808" i="4"/>
  <c r="M808" i="4"/>
  <c r="L808" i="4"/>
  <c r="H808" i="4"/>
  <c r="I808" i="4" s="1"/>
  <c r="J808" i="4" s="1"/>
  <c r="G808" i="4"/>
  <c r="E808" i="4"/>
  <c r="D808" i="4"/>
  <c r="C808" i="4"/>
  <c r="B808" i="4"/>
  <c r="N807" i="4"/>
  <c r="M807" i="4"/>
  <c r="L807" i="4"/>
  <c r="J807" i="4"/>
  <c r="I807" i="4"/>
  <c r="H807" i="4"/>
  <c r="G807" i="4"/>
  <c r="E807" i="4"/>
  <c r="D807" i="4"/>
  <c r="C807" i="4"/>
  <c r="B807" i="4"/>
  <c r="N806" i="4"/>
  <c r="M806" i="4"/>
  <c r="L806" i="4"/>
  <c r="H806" i="4"/>
  <c r="I806" i="4" s="1"/>
  <c r="J806" i="4" s="1"/>
  <c r="G806" i="4"/>
  <c r="E806" i="4"/>
  <c r="D806" i="4"/>
  <c r="C806" i="4"/>
  <c r="B806" i="4"/>
  <c r="N805" i="4"/>
  <c r="M805" i="4"/>
  <c r="L805" i="4"/>
  <c r="H805" i="4"/>
  <c r="I805" i="4" s="1"/>
  <c r="J805" i="4" s="1"/>
  <c r="G805" i="4"/>
  <c r="E805" i="4"/>
  <c r="D805" i="4"/>
  <c r="C805" i="4"/>
  <c r="B805" i="4"/>
  <c r="N804" i="4"/>
  <c r="M804" i="4"/>
  <c r="L804" i="4"/>
  <c r="H804" i="4"/>
  <c r="I804" i="4" s="1"/>
  <c r="J804" i="4" s="1"/>
  <c r="G804" i="4"/>
  <c r="E804" i="4"/>
  <c r="D804" i="4"/>
  <c r="C804" i="4"/>
  <c r="B804" i="4"/>
  <c r="N803" i="4"/>
  <c r="M803" i="4"/>
  <c r="L803" i="4"/>
  <c r="J803" i="4"/>
  <c r="I803" i="4"/>
  <c r="H803" i="4"/>
  <c r="G803" i="4"/>
  <c r="E803" i="4"/>
  <c r="D803" i="4"/>
  <c r="C803" i="4"/>
  <c r="B803" i="4"/>
  <c r="N802" i="4"/>
  <c r="M802" i="4"/>
  <c r="L802" i="4"/>
  <c r="H802" i="4"/>
  <c r="I802" i="4" s="1"/>
  <c r="J802" i="4" s="1"/>
  <c r="G802" i="4"/>
  <c r="E802" i="4"/>
  <c r="D802" i="4"/>
  <c r="C802" i="4"/>
  <c r="B802" i="4"/>
  <c r="N801" i="4"/>
  <c r="M801" i="4"/>
  <c r="L801" i="4"/>
  <c r="H801" i="4"/>
  <c r="I801" i="4" s="1"/>
  <c r="J801" i="4" s="1"/>
  <c r="G801" i="4"/>
  <c r="E801" i="4"/>
  <c r="D801" i="4"/>
  <c r="C801" i="4"/>
  <c r="B801" i="4"/>
  <c r="N800" i="4"/>
  <c r="M800" i="4"/>
  <c r="L800" i="4"/>
  <c r="H800" i="4"/>
  <c r="I800" i="4" s="1"/>
  <c r="J800" i="4" s="1"/>
  <c r="G800" i="4"/>
  <c r="E800" i="4"/>
  <c r="D800" i="4"/>
  <c r="C800" i="4"/>
  <c r="B800" i="4"/>
  <c r="N799" i="4"/>
  <c r="M799" i="4"/>
  <c r="L799" i="4"/>
  <c r="J799" i="4"/>
  <c r="I799" i="4"/>
  <c r="H799" i="4"/>
  <c r="G799" i="4"/>
  <c r="E799" i="4"/>
  <c r="D799" i="4"/>
  <c r="C799" i="4"/>
  <c r="B799" i="4"/>
  <c r="N798" i="4"/>
  <c r="M798" i="4"/>
  <c r="L798" i="4"/>
  <c r="H798" i="4"/>
  <c r="I798" i="4" s="1"/>
  <c r="J798" i="4" s="1"/>
  <c r="G798" i="4"/>
  <c r="E798" i="4"/>
  <c r="D798" i="4"/>
  <c r="C798" i="4"/>
  <c r="B798" i="4"/>
  <c r="N797" i="4"/>
  <c r="M797" i="4"/>
  <c r="L797" i="4"/>
  <c r="H797" i="4"/>
  <c r="I797" i="4" s="1"/>
  <c r="J797" i="4" s="1"/>
  <c r="G797" i="4"/>
  <c r="E797" i="4"/>
  <c r="D797" i="4"/>
  <c r="C797" i="4"/>
  <c r="B797" i="4"/>
  <c r="N796" i="4"/>
  <c r="M796" i="4"/>
  <c r="L796" i="4"/>
  <c r="H796" i="4"/>
  <c r="I796" i="4" s="1"/>
  <c r="J796" i="4" s="1"/>
  <c r="G796" i="4"/>
  <c r="E796" i="4"/>
  <c r="D796" i="4"/>
  <c r="C796" i="4"/>
  <c r="B796" i="4"/>
  <c r="N795" i="4"/>
  <c r="M795" i="4"/>
  <c r="L795" i="4"/>
  <c r="J795" i="4"/>
  <c r="I795" i="4"/>
  <c r="H795" i="4"/>
  <c r="G795" i="4"/>
  <c r="E795" i="4"/>
  <c r="D795" i="4"/>
  <c r="C795" i="4"/>
  <c r="B795" i="4"/>
  <c r="N794" i="4"/>
  <c r="M794" i="4"/>
  <c r="L794" i="4"/>
  <c r="H794" i="4"/>
  <c r="I794" i="4" s="1"/>
  <c r="J794" i="4" s="1"/>
  <c r="G794" i="4"/>
  <c r="E794" i="4"/>
  <c r="D794" i="4"/>
  <c r="C794" i="4"/>
  <c r="B794" i="4"/>
  <c r="N793" i="4"/>
  <c r="M793" i="4"/>
  <c r="L793" i="4"/>
  <c r="H793" i="4"/>
  <c r="I793" i="4" s="1"/>
  <c r="J793" i="4" s="1"/>
  <c r="G793" i="4"/>
  <c r="E793" i="4"/>
  <c r="D793" i="4"/>
  <c r="C793" i="4"/>
  <c r="B793" i="4"/>
  <c r="N792" i="4"/>
  <c r="M792" i="4"/>
  <c r="L792" i="4"/>
  <c r="H792" i="4"/>
  <c r="I792" i="4" s="1"/>
  <c r="J792" i="4" s="1"/>
  <c r="G792" i="4"/>
  <c r="E792" i="4"/>
  <c r="D792" i="4"/>
  <c r="C792" i="4"/>
  <c r="B792" i="4"/>
  <c r="N791" i="4"/>
  <c r="M791" i="4"/>
  <c r="L791" i="4"/>
  <c r="J791" i="4"/>
  <c r="I791" i="4"/>
  <c r="H791" i="4"/>
  <c r="G791" i="4"/>
  <c r="E791" i="4"/>
  <c r="D791" i="4"/>
  <c r="C791" i="4"/>
  <c r="B791" i="4"/>
  <c r="N790" i="4"/>
  <c r="M790" i="4"/>
  <c r="L790" i="4"/>
  <c r="H790" i="4"/>
  <c r="I790" i="4" s="1"/>
  <c r="J790" i="4" s="1"/>
  <c r="G790" i="4"/>
  <c r="E790" i="4"/>
  <c r="D790" i="4"/>
  <c r="C790" i="4"/>
  <c r="B790" i="4"/>
  <c r="N789" i="4"/>
  <c r="M789" i="4"/>
  <c r="L789" i="4"/>
  <c r="H789" i="4"/>
  <c r="I789" i="4" s="1"/>
  <c r="J789" i="4" s="1"/>
  <c r="G789" i="4"/>
  <c r="E789" i="4"/>
  <c r="D789" i="4"/>
  <c r="C789" i="4"/>
  <c r="B789" i="4"/>
  <c r="N788" i="4"/>
  <c r="M788" i="4"/>
  <c r="L788" i="4"/>
  <c r="H788" i="4"/>
  <c r="I788" i="4" s="1"/>
  <c r="J788" i="4" s="1"/>
  <c r="G788" i="4"/>
  <c r="E788" i="4"/>
  <c r="D788" i="4"/>
  <c r="C788" i="4"/>
  <c r="B788" i="4"/>
  <c r="N787" i="4"/>
  <c r="M787" i="4"/>
  <c r="L787" i="4"/>
  <c r="J787" i="4"/>
  <c r="I787" i="4"/>
  <c r="H787" i="4"/>
  <c r="G787" i="4"/>
  <c r="E787" i="4"/>
  <c r="D787" i="4"/>
  <c r="C787" i="4"/>
  <c r="B787" i="4"/>
  <c r="N786" i="4"/>
  <c r="M786" i="4"/>
  <c r="L786" i="4"/>
  <c r="H786" i="4"/>
  <c r="I786" i="4" s="1"/>
  <c r="J786" i="4" s="1"/>
  <c r="G786" i="4"/>
  <c r="E786" i="4"/>
  <c r="D786" i="4"/>
  <c r="C786" i="4"/>
  <c r="B786" i="4"/>
  <c r="N785" i="4"/>
  <c r="M785" i="4"/>
  <c r="L785" i="4"/>
  <c r="H785" i="4"/>
  <c r="I785" i="4" s="1"/>
  <c r="J785" i="4" s="1"/>
  <c r="G785" i="4"/>
  <c r="E785" i="4"/>
  <c r="D785" i="4"/>
  <c r="C785" i="4"/>
  <c r="B785" i="4"/>
  <c r="N784" i="4"/>
  <c r="M784" i="4"/>
  <c r="L784" i="4"/>
  <c r="H784" i="4"/>
  <c r="I784" i="4" s="1"/>
  <c r="J784" i="4" s="1"/>
  <c r="G784" i="4"/>
  <c r="E784" i="4"/>
  <c r="D784" i="4"/>
  <c r="C784" i="4"/>
  <c r="B784" i="4"/>
  <c r="N783" i="4"/>
  <c r="M783" i="4"/>
  <c r="L783" i="4"/>
  <c r="J783" i="4"/>
  <c r="I783" i="4"/>
  <c r="H783" i="4"/>
  <c r="G783" i="4"/>
  <c r="E783" i="4"/>
  <c r="D783" i="4"/>
  <c r="C783" i="4"/>
  <c r="B783" i="4"/>
  <c r="N782" i="4"/>
  <c r="M782" i="4"/>
  <c r="L782" i="4"/>
  <c r="H782" i="4"/>
  <c r="I782" i="4" s="1"/>
  <c r="J782" i="4" s="1"/>
  <c r="G782" i="4"/>
  <c r="E782" i="4"/>
  <c r="D782" i="4"/>
  <c r="C782" i="4"/>
  <c r="B782" i="4"/>
  <c r="N781" i="4"/>
  <c r="M781" i="4"/>
  <c r="L781" i="4"/>
  <c r="H781" i="4"/>
  <c r="I781" i="4" s="1"/>
  <c r="J781" i="4" s="1"/>
  <c r="G781" i="4"/>
  <c r="E781" i="4"/>
  <c r="D781" i="4"/>
  <c r="C781" i="4"/>
  <c r="B781" i="4"/>
  <c r="N780" i="4"/>
  <c r="M780" i="4"/>
  <c r="L780" i="4"/>
  <c r="H780" i="4"/>
  <c r="I780" i="4" s="1"/>
  <c r="J780" i="4" s="1"/>
  <c r="G780" i="4"/>
  <c r="E780" i="4"/>
  <c r="D780" i="4"/>
  <c r="C780" i="4"/>
  <c r="B780" i="4"/>
  <c r="N779" i="4"/>
  <c r="M779" i="4"/>
  <c r="L779" i="4"/>
  <c r="J779" i="4"/>
  <c r="I779" i="4"/>
  <c r="H779" i="4"/>
  <c r="G779" i="4"/>
  <c r="E779" i="4"/>
  <c r="D779" i="4"/>
  <c r="C779" i="4"/>
  <c r="B779" i="4"/>
  <c r="N778" i="4"/>
  <c r="M778" i="4"/>
  <c r="L778" i="4"/>
  <c r="H778" i="4"/>
  <c r="I778" i="4" s="1"/>
  <c r="J778" i="4" s="1"/>
  <c r="G778" i="4"/>
  <c r="E778" i="4"/>
  <c r="D778" i="4"/>
  <c r="C778" i="4"/>
  <c r="B778" i="4"/>
  <c r="N777" i="4"/>
  <c r="M777" i="4"/>
  <c r="L777" i="4"/>
  <c r="H777" i="4"/>
  <c r="I777" i="4" s="1"/>
  <c r="J777" i="4" s="1"/>
  <c r="G777" i="4"/>
  <c r="E777" i="4"/>
  <c r="D777" i="4"/>
  <c r="C777" i="4"/>
  <c r="B777" i="4"/>
  <c r="N776" i="4"/>
  <c r="M776" i="4"/>
  <c r="L776" i="4"/>
  <c r="H776" i="4"/>
  <c r="I776" i="4" s="1"/>
  <c r="J776" i="4" s="1"/>
  <c r="G776" i="4"/>
  <c r="E776" i="4"/>
  <c r="D776" i="4"/>
  <c r="C776" i="4"/>
  <c r="B776" i="4"/>
  <c r="N775" i="4"/>
  <c r="M775" i="4"/>
  <c r="L775" i="4"/>
  <c r="J775" i="4"/>
  <c r="I775" i="4"/>
  <c r="H775" i="4"/>
  <c r="G775" i="4"/>
  <c r="E775" i="4"/>
  <c r="D775" i="4"/>
  <c r="C775" i="4"/>
  <c r="B775" i="4"/>
  <c r="N774" i="4"/>
  <c r="M774" i="4"/>
  <c r="L774" i="4"/>
  <c r="H774" i="4"/>
  <c r="I774" i="4" s="1"/>
  <c r="J774" i="4" s="1"/>
  <c r="G774" i="4"/>
  <c r="E774" i="4"/>
  <c r="D774" i="4"/>
  <c r="C774" i="4"/>
  <c r="B774" i="4"/>
  <c r="N773" i="4"/>
  <c r="M773" i="4"/>
  <c r="L773" i="4"/>
  <c r="H773" i="4"/>
  <c r="I773" i="4" s="1"/>
  <c r="J773" i="4" s="1"/>
  <c r="G773" i="4"/>
  <c r="E773" i="4"/>
  <c r="D773" i="4"/>
  <c r="C773" i="4"/>
  <c r="B773" i="4"/>
  <c r="N772" i="4"/>
  <c r="M772" i="4"/>
  <c r="L772" i="4"/>
  <c r="H772" i="4"/>
  <c r="I772" i="4" s="1"/>
  <c r="J772" i="4" s="1"/>
  <c r="G772" i="4"/>
  <c r="E772" i="4"/>
  <c r="D772" i="4"/>
  <c r="C772" i="4"/>
  <c r="B772" i="4"/>
  <c r="N771" i="4"/>
  <c r="M771" i="4"/>
  <c r="L771" i="4"/>
  <c r="J771" i="4"/>
  <c r="I771" i="4"/>
  <c r="H771" i="4"/>
  <c r="G771" i="4"/>
  <c r="E771" i="4"/>
  <c r="D771" i="4"/>
  <c r="C771" i="4"/>
  <c r="B771" i="4"/>
  <c r="N770" i="4"/>
  <c r="M770" i="4"/>
  <c r="L770" i="4"/>
  <c r="H770" i="4"/>
  <c r="I770" i="4" s="1"/>
  <c r="J770" i="4" s="1"/>
  <c r="G770" i="4"/>
  <c r="E770" i="4"/>
  <c r="D770" i="4"/>
  <c r="C770" i="4"/>
  <c r="B770" i="4"/>
  <c r="N769" i="4"/>
  <c r="M769" i="4"/>
  <c r="L769" i="4"/>
  <c r="H769" i="4"/>
  <c r="I769" i="4" s="1"/>
  <c r="J769" i="4" s="1"/>
  <c r="G769" i="4"/>
  <c r="E769" i="4"/>
  <c r="D769" i="4"/>
  <c r="C769" i="4"/>
  <c r="B769" i="4"/>
  <c r="N768" i="4"/>
  <c r="M768" i="4"/>
  <c r="L768" i="4"/>
  <c r="H768" i="4"/>
  <c r="I768" i="4" s="1"/>
  <c r="J768" i="4" s="1"/>
  <c r="G768" i="4"/>
  <c r="E768" i="4"/>
  <c r="D768" i="4"/>
  <c r="C768" i="4"/>
  <c r="B768" i="4"/>
  <c r="N767" i="4"/>
  <c r="M767" i="4"/>
  <c r="L767" i="4"/>
  <c r="J767" i="4"/>
  <c r="I767" i="4"/>
  <c r="H767" i="4"/>
  <c r="G767" i="4"/>
  <c r="E767" i="4"/>
  <c r="D767" i="4"/>
  <c r="C767" i="4"/>
  <c r="B767" i="4"/>
  <c r="N766" i="4"/>
  <c r="M766" i="4"/>
  <c r="L766" i="4"/>
  <c r="H766" i="4"/>
  <c r="I766" i="4" s="1"/>
  <c r="J766" i="4" s="1"/>
  <c r="G766" i="4"/>
  <c r="E766" i="4"/>
  <c r="D766" i="4"/>
  <c r="C766" i="4"/>
  <c r="B766" i="4"/>
  <c r="N765" i="4"/>
  <c r="M765" i="4"/>
  <c r="L765" i="4"/>
  <c r="H765" i="4"/>
  <c r="I765" i="4" s="1"/>
  <c r="J765" i="4" s="1"/>
  <c r="G765" i="4"/>
  <c r="E765" i="4"/>
  <c r="D765" i="4"/>
  <c r="C765" i="4"/>
  <c r="B765" i="4"/>
  <c r="N764" i="4"/>
  <c r="M764" i="4"/>
  <c r="L764" i="4"/>
  <c r="H764" i="4"/>
  <c r="I764" i="4" s="1"/>
  <c r="J764" i="4" s="1"/>
  <c r="G764" i="4"/>
  <c r="E764" i="4"/>
  <c r="D764" i="4"/>
  <c r="C764" i="4"/>
  <c r="B764" i="4"/>
  <c r="N763" i="4"/>
  <c r="M763" i="4"/>
  <c r="L763" i="4"/>
  <c r="J763" i="4"/>
  <c r="I763" i="4"/>
  <c r="H763" i="4"/>
  <c r="G763" i="4"/>
  <c r="E763" i="4"/>
  <c r="D763" i="4"/>
  <c r="C763" i="4"/>
  <c r="B763" i="4"/>
  <c r="N762" i="4"/>
  <c r="M762" i="4"/>
  <c r="L762" i="4"/>
  <c r="H762" i="4"/>
  <c r="I762" i="4" s="1"/>
  <c r="J762" i="4" s="1"/>
  <c r="G762" i="4"/>
  <c r="E762" i="4"/>
  <c r="D762" i="4"/>
  <c r="C762" i="4"/>
  <c r="B762" i="4"/>
  <c r="N761" i="4"/>
  <c r="M761" i="4"/>
  <c r="L761" i="4"/>
  <c r="H761" i="4"/>
  <c r="I761" i="4" s="1"/>
  <c r="J761" i="4" s="1"/>
  <c r="G761" i="4"/>
  <c r="E761" i="4"/>
  <c r="D761" i="4"/>
  <c r="C761" i="4"/>
  <c r="B761" i="4"/>
  <c r="N760" i="4"/>
  <c r="M760" i="4"/>
  <c r="L760" i="4"/>
  <c r="H760" i="4"/>
  <c r="I760" i="4" s="1"/>
  <c r="J760" i="4" s="1"/>
  <c r="G760" i="4"/>
  <c r="E760" i="4"/>
  <c r="D760" i="4"/>
  <c r="C760" i="4"/>
  <c r="B760" i="4"/>
  <c r="N759" i="4"/>
  <c r="M759" i="4"/>
  <c r="L759" i="4"/>
  <c r="J759" i="4"/>
  <c r="I759" i="4"/>
  <c r="H759" i="4"/>
  <c r="G759" i="4"/>
  <c r="E759" i="4"/>
  <c r="D759" i="4"/>
  <c r="C759" i="4"/>
  <c r="B759" i="4"/>
  <c r="N758" i="4"/>
  <c r="M758" i="4"/>
  <c r="L758" i="4"/>
  <c r="H758" i="4"/>
  <c r="I758" i="4" s="1"/>
  <c r="J758" i="4" s="1"/>
  <c r="G758" i="4"/>
  <c r="E758" i="4"/>
  <c r="D758" i="4"/>
  <c r="C758" i="4"/>
  <c r="B758" i="4"/>
  <c r="N757" i="4"/>
  <c r="M757" i="4"/>
  <c r="L757" i="4"/>
  <c r="H757" i="4"/>
  <c r="I757" i="4" s="1"/>
  <c r="J757" i="4" s="1"/>
  <c r="G757" i="4"/>
  <c r="E757" i="4"/>
  <c r="D757" i="4"/>
  <c r="C757" i="4"/>
  <c r="B757" i="4"/>
  <c r="N756" i="4"/>
  <c r="M756" i="4"/>
  <c r="L756" i="4"/>
  <c r="H756" i="4"/>
  <c r="I756" i="4" s="1"/>
  <c r="J756" i="4" s="1"/>
  <c r="G756" i="4"/>
  <c r="E756" i="4"/>
  <c r="D756" i="4"/>
  <c r="C756" i="4"/>
  <c r="B756" i="4"/>
  <c r="N755" i="4"/>
  <c r="M755" i="4"/>
  <c r="L755" i="4"/>
  <c r="J755" i="4"/>
  <c r="I755" i="4"/>
  <c r="H755" i="4"/>
  <c r="G755" i="4"/>
  <c r="E755" i="4"/>
  <c r="D755" i="4"/>
  <c r="C755" i="4"/>
  <c r="B755" i="4"/>
  <c r="N754" i="4"/>
  <c r="M754" i="4"/>
  <c r="L754" i="4"/>
  <c r="H754" i="4"/>
  <c r="I754" i="4" s="1"/>
  <c r="J754" i="4" s="1"/>
  <c r="G754" i="4"/>
  <c r="E754" i="4"/>
  <c r="D754" i="4"/>
  <c r="C754" i="4"/>
  <c r="B754" i="4"/>
  <c r="N753" i="4"/>
  <c r="M753" i="4"/>
  <c r="L753" i="4"/>
  <c r="H753" i="4"/>
  <c r="I753" i="4" s="1"/>
  <c r="J753" i="4" s="1"/>
  <c r="G753" i="4"/>
  <c r="E753" i="4"/>
  <c r="D753" i="4"/>
  <c r="C753" i="4"/>
  <c r="B753" i="4"/>
  <c r="N752" i="4"/>
  <c r="M752" i="4"/>
  <c r="L752" i="4"/>
  <c r="H752" i="4"/>
  <c r="I752" i="4" s="1"/>
  <c r="J752" i="4" s="1"/>
  <c r="G752" i="4"/>
  <c r="E752" i="4"/>
  <c r="D752" i="4"/>
  <c r="C752" i="4"/>
  <c r="B752" i="4"/>
  <c r="N751" i="4"/>
  <c r="M751" i="4"/>
  <c r="L751" i="4"/>
  <c r="J751" i="4"/>
  <c r="I751" i="4"/>
  <c r="H751" i="4"/>
  <c r="G751" i="4"/>
  <c r="E751" i="4"/>
  <c r="D751" i="4"/>
  <c r="C751" i="4"/>
  <c r="B751" i="4"/>
  <c r="L750" i="4"/>
  <c r="J750" i="4"/>
  <c r="H750" i="4"/>
  <c r="I750" i="4" s="1"/>
  <c r="G750" i="4"/>
  <c r="E750" i="4"/>
  <c r="D750" i="4"/>
  <c r="C750" i="4"/>
  <c r="B750" i="4"/>
  <c r="L749" i="4"/>
  <c r="H749" i="4"/>
  <c r="I749" i="4" s="1"/>
  <c r="J749" i="4" s="1"/>
  <c r="G749" i="4"/>
  <c r="E749" i="4"/>
  <c r="D749" i="4"/>
  <c r="C749" i="4"/>
  <c r="B749" i="4"/>
  <c r="L748" i="4"/>
  <c r="I748" i="4"/>
  <c r="J748" i="4" s="1"/>
  <c r="H748" i="4"/>
  <c r="G748" i="4"/>
  <c r="E748" i="4"/>
  <c r="D748" i="4"/>
  <c r="C748" i="4"/>
  <c r="B748" i="4"/>
  <c r="L747" i="4"/>
  <c r="J747" i="4"/>
  <c r="I747" i="4"/>
  <c r="H747" i="4"/>
  <c r="G747" i="4"/>
  <c r="E747" i="4"/>
  <c r="D747" i="4"/>
  <c r="C747" i="4"/>
  <c r="B747" i="4"/>
  <c r="L746" i="4"/>
  <c r="J746" i="4"/>
  <c r="H746" i="4"/>
  <c r="I746" i="4" s="1"/>
  <c r="G746" i="4"/>
  <c r="E746" i="4"/>
  <c r="D746" i="4"/>
  <c r="C746" i="4"/>
  <c r="B746" i="4"/>
  <c r="L745" i="4"/>
  <c r="H745" i="4"/>
  <c r="I745" i="4" s="1"/>
  <c r="J745" i="4" s="1"/>
  <c r="G745" i="4"/>
  <c r="E745" i="4"/>
  <c r="D745" i="4"/>
  <c r="C745" i="4"/>
  <c r="B745" i="4"/>
  <c r="L744" i="4"/>
  <c r="I744" i="4"/>
  <c r="J744" i="4" s="1"/>
  <c r="H744" i="4"/>
  <c r="G744" i="4"/>
  <c r="E744" i="4"/>
  <c r="D744" i="4"/>
  <c r="C744" i="4"/>
  <c r="B744" i="4"/>
  <c r="L743" i="4"/>
  <c r="J743" i="4"/>
  <c r="I743" i="4"/>
  <c r="H743" i="4"/>
  <c r="G743" i="4"/>
  <c r="E743" i="4"/>
  <c r="D743" i="4"/>
  <c r="C743" i="4"/>
  <c r="B743" i="4"/>
  <c r="L742" i="4"/>
  <c r="J742" i="4"/>
  <c r="H742" i="4"/>
  <c r="I742" i="4" s="1"/>
  <c r="G742" i="4"/>
  <c r="E742" i="4"/>
  <c r="D742" i="4"/>
  <c r="C742" i="4"/>
  <c r="B742" i="4"/>
  <c r="L741" i="4"/>
  <c r="H741" i="4"/>
  <c r="I741" i="4" s="1"/>
  <c r="J741" i="4" s="1"/>
  <c r="G741" i="4"/>
  <c r="E741" i="4"/>
  <c r="D741" i="4"/>
  <c r="C741" i="4"/>
  <c r="B741" i="4"/>
  <c r="L740" i="4"/>
  <c r="I740" i="4"/>
  <c r="J740" i="4" s="1"/>
  <c r="H740" i="4"/>
  <c r="G740" i="4"/>
  <c r="E740" i="4"/>
  <c r="D740" i="4"/>
  <c r="C740" i="4"/>
  <c r="B740" i="4"/>
  <c r="L739" i="4"/>
  <c r="J739" i="4"/>
  <c r="I739" i="4"/>
  <c r="H739" i="4"/>
  <c r="G739" i="4"/>
  <c r="E739" i="4"/>
  <c r="D739" i="4"/>
  <c r="C739" i="4"/>
  <c r="B739" i="4"/>
  <c r="L738" i="4"/>
  <c r="J738" i="4"/>
  <c r="H738" i="4"/>
  <c r="I738" i="4" s="1"/>
  <c r="G738" i="4"/>
  <c r="E738" i="4"/>
  <c r="D738" i="4"/>
  <c r="C738" i="4"/>
  <c r="B738" i="4"/>
  <c r="L737" i="4"/>
  <c r="I737" i="4"/>
  <c r="J737" i="4" s="1"/>
  <c r="H737" i="4"/>
  <c r="G737" i="4"/>
  <c r="E737" i="4"/>
  <c r="D737" i="4"/>
  <c r="C737" i="4"/>
  <c r="B737" i="4"/>
  <c r="L736" i="4"/>
  <c r="H736" i="4"/>
  <c r="I736" i="4" s="1"/>
  <c r="J736" i="4" s="1"/>
  <c r="G736" i="4"/>
  <c r="E736" i="4"/>
  <c r="D736" i="4"/>
  <c r="C736" i="4"/>
  <c r="B736" i="4"/>
  <c r="L735" i="4"/>
  <c r="I735" i="4"/>
  <c r="J735" i="4" s="1"/>
  <c r="H735" i="4"/>
  <c r="G735" i="4"/>
  <c r="E735" i="4"/>
  <c r="D735" i="4"/>
  <c r="C735" i="4"/>
  <c r="B735" i="4"/>
  <c r="L734" i="4"/>
  <c r="H734" i="4"/>
  <c r="I734" i="4" s="1"/>
  <c r="J734" i="4" s="1"/>
  <c r="G734" i="4"/>
  <c r="E734" i="4"/>
  <c r="D734" i="4"/>
  <c r="C734" i="4"/>
  <c r="B734" i="4"/>
  <c r="L733" i="4"/>
  <c r="H733" i="4"/>
  <c r="I733" i="4" s="1"/>
  <c r="J733" i="4" s="1"/>
  <c r="G733" i="4"/>
  <c r="E733" i="4"/>
  <c r="D733" i="4"/>
  <c r="C733" i="4"/>
  <c r="B733" i="4"/>
  <c r="L732" i="4"/>
  <c r="I732" i="4"/>
  <c r="J732" i="4" s="1"/>
  <c r="H732" i="4"/>
  <c r="G732" i="4"/>
  <c r="E732" i="4"/>
  <c r="D732" i="4"/>
  <c r="C732" i="4"/>
  <c r="B732" i="4"/>
  <c r="L731" i="4"/>
  <c r="J731" i="4"/>
  <c r="I731" i="4"/>
  <c r="H731" i="4"/>
  <c r="G731" i="4"/>
  <c r="E731" i="4"/>
  <c r="D731" i="4"/>
  <c r="C731" i="4"/>
  <c r="B731" i="4"/>
  <c r="L730" i="4"/>
  <c r="J730" i="4"/>
  <c r="H730" i="4"/>
  <c r="I730" i="4" s="1"/>
  <c r="G730" i="4"/>
  <c r="E730" i="4"/>
  <c r="D730" i="4"/>
  <c r="C730" i="4"/>
  <c r="B730" i="4"/>
  <c r="L729" i="4"/>
  <c r="I729" i="4"/>
  <c r="J729" i="4" s="1"/>
  <c r="H729" i="4"/>
  <c r="G729" i="4"/>
  <c r="E729" i="4"/>
  <c r="D729" i="4"/>
  <c r="C729" i="4"/>
  <c r="B729" i="4"/>
  <c r="L728" i="4"/>
  <c r="H728" i="4"/>
  <c r="I728" i="4" s="1"/>
  <c r="J728" i="4" s="1"/>
  <c r="G728" i="4"/>
  <c r="E728" i="4"/>
  <c r="D728" i="4"/>
  <c r="C728" i="4"/>
  <c r="B728" i="4"/>
  <c r="L727" i="4"/>
  <c r="I727" i="4"/>
  <c r="J727" i="4" s="1"/>
  <c r="H727" i="4"/>
  <c r="G727" i="4"/>
  <c r="E727" i="4"/>
  <c r="D727" i="4"/>
  <c r="C727" i="4"/>
  <c r="B727" i="4"/>
  <c r="L726" i="4"/>
  <c r="H726" i="4"/>
  <c r="I726" i="4" s="1"/>
  <c r="J726" i="4" s="1"/>
  <c r="G726" i="4"/>
  <c r="E726" i="4"/>
  <c r="D726" i="4"/>
  <c r="C726" i="4"/>
  <c r="B726" i="4"/>
  <c r="L725" i="4"/>
  <c r="H725" i="4"/>
  <c r="I725" i="4" s="1"/>
  <c r="J725" i="4" s="1"/>
  <c r="G725" i="4"/>
  <c r="E725" i="4"/>
  <c r="D725" i="4"/>
  <c r="C725" i="4"/>
  <c r="B725" i="4"/>
  <c r="L724" i="4"/>
  <c r="I724" i="4"/>
  <c r="J724" i="4" s="1"/>
  <c r="H724" i="4"/>
  <c r="G724" i="4"/>
  <c r="E724" i="4"/>
  <c r="D724" i="4"/>
  <c r="C724" i="4"/>
  <c r="B724" i="4"/>
  <c r="L723" i="4"/>
  <c r="J723" i="4"/>
  <c r="I723" i="4"/>
  <c r="H723" i="4"/>
  <c r="G723" i="4"/>
  <c r="E723" i="4"/>
  <c r="D723" i="4"/>
  <c r="C723" i="4"/>
  <c r="B723" i="4"/>
  <c r="L722" i="4"/>
  <c r="J722" i="4"/>
  <c r="H722" i="4"/>
  <c r="I722" i="4" s="1"/>
  <c r="G722" i="4"/>
  <c r="E722" i="4"/>
  <c r="D722" i="4"/>
  <c r="C722" i="4"/>
  <c r="B722" i="4"/>
  <c r="L721" i="4"/>
  <c r="I721" i="4"/>
  <c r="J721" i="4" s="1"/>
  <c r="H721" i="4"/>
  <c r="G721" i="4"/>
  <c r="E721" i="4"/>
  <c r="D721" i="4"/>
  <c r="C721" i="4"/>
  <c r="B721" i="4"/>
  <c r="L720" i="4"/>
  <c r="H720" i="4"/>
  <c r="I720" i="4" s="1"/>
  <c r="J720" i="4" s="1"/>
  <c r="G720" i="4"/>
  <c r="E720" i="4"/>
  <c r="D720" i="4"/>
  <c r="C720" i="4"/>
  <c r="B720" i="4"/>
  <c r="L719" i="4"/>
  <c r="I719" i="4"/>
  <c r="J719" i="4" s="1"/>
  <c r="H719" i="4"/>
  <c r="G719" i="4"/>
  <c r="E719" i="4"/>
  <c r="D719" i="4"/>
  <c r="C719" i="4"/>
  <c r="B719" i="4"/>
  <c r="L718" i="4"/>
  <c r="H718" i="4"/>
  <c r="I718" i="4" s="1"/>
  <c r="J718" i="4" s="1"/>
  <c r="G718" i="4"/>
  <c r="E718" i="4"/>
  <c r="D718" i="4"/>
  <c r="C718" i="4"/>
  <c r="B718" i="4"/>
  <c r="L717" i="4"/>
  <c r="H717" i="4"/>
  <c r="I717" i="4" s="1"/>
  <c r="J717" i="4" s="1"/>
  <c r="G717" i="4"/>
  <c r="E717" i="4"/>
  <c r="D717" i="4"/>
  <c r="C717" i="4"/>
  <c r="B717" i="4"/>
  <c r="L716" i="4"/>
  <c r="I716" i="4"/>
  <c r="J716" i="4" s="1"/>
  <c r="H716" i="4"/>
  <c r="G716" i="4"/>
  <c r="E716" i="4"/>
  <c r="D716" i="4"/>
  <c r="C716" i="4"/>
  <c r="B716" i="4"/>
  <c r="L715" i="4"/>
  <c r="J715" i="4"/>
  <c r="I715" i="4"/>
  <c r="H715" i="4"/>
  <c r="G715" i="4"/>
  <c r="E715" i="4"/>
  <c r="D715" i="4"/>
  <c r="C715" i="4"/>
  <c r="B715" i="4"/>
  <c r="L714" i="4"/>
  <c r="J714" i="4"/>
  <c r="H714" i="4"/>
  <c r="I714" i="4" s="1"/>
  <c r="G714" i="4"/>
  <c r="E714" i="4"/>
  <c r="D714" i="4"/>
  <c r="C714" i="4"/>
  <c r="B714" i="4"/>
  <c r="L713" i="4"/>
  <c r="I713" i="4"/>
  <c r="J713" i="4" s="1"/>
  <c r="H713" i="4"/>
  <c r="G713" i="4"/>
  <c r="E713" i="4"/>
  <c r="D713" i="4"/>
  <c r="C713" i="4"/>
  <c r="B713" i="4"/>
  <c r="L712" i="4"/>
  <c r="H712" i="4"/>
  <c r="I712" i="4" s="1"/>
  <c r="J712" i="4" s="1"/>
  <c r="G712" i="4"/>
  <c r="E712" i="4"/>
  <c r="D712" i="4"/>
  <c r="C712" i="4"/>
  <c r="B712" i="4"/>
  <c r="L711" i="4"/>
  <c r="I711" i="4"/>
  <c r="J711" i="4" s="1"/>
  <c r="H711" i="4"/>
  <c r="G711" i="4"/>
  <c r="E711" i="4"/>
  <c r="D711" i="4"/>
  <c r="C711" i="4"/>
  <c r="B711" i="4"/>
  <c r="L710" i="4"/>
  <c r="H710" i="4"/>
  <c r="I710" i="4" s="1"/>
  <c r="J710" i="4" s="1"/>
  <c r="G710" i="4"/>
  <c r="E710" i="4"/>
  <c r="D710" i="4"/>
  <c r="C710" i="4"/>
  <c r="B710" i="4"/>
  <c r="L709" i="4"/>
  <c r="H709" i="4"/>
  <c r="I709" i="4" s="1"/>
  <c r="J709" i="4" s="1"/>
  <c r="G709" i="4"/>
  <c r="E709" i="4"/>
  <c r="D709" i="4"/>
  <c r="C709" i="4"/>
  <c r="B709" i="4"/>
  <c r="L708" i="4"/>
  <c r="I708" i="4"/>
  <c r="J708" i="4" s="1"/>
  <c r="H708" i="4"/>
  <c r="G708" i="4"/>
  <c r="E708" i="4"/>
  <c r="D708" i="4"/>
  <c r="C708" i="4"/>
  <c r="B708" i="4"/>
  <c r="L707" i="4"/>
  <c r="J707" i="4"/>
  <c r="I707" i="4"/>
  <c r="H707" i="4"/>
  <c r="G707" i="4"/>
  <c r="E707" i="4"/>
  <c r="D707" i="4"/>
  <c r="C707" i="4"/>
  <c r="B707" i="4"/>
  <c r="L706" i="4"/>
  <c r="J706" i="4"/>
  <c r="H706" i="4"/>
  <c r="I706" i="4" s="1"/>
  <c r="G706" i="4"/>
  <c r="E706" i="4"/>
  <c r="D706" i="4"/>
  <c r="C706" i="4"/>
  <c r="B706" i="4"/>
  <c r="L705" i="4"/>
  <c r="I705" i="4"/>
  <c r="J705" i="4" s="1"/>
  <c r="H705" i="4"/>
  <c r="G705" i="4"/>
  <c r="E705" i="4"/>
  <c r="D705" i="4"/>
  <c r="C705" i="4"/>
  <c r="B705" i="4"/>
  <c r="L704" i="4"/>
  <c r="H704" i="4"/>
  <c r="I704" i="4" s="1"/>
  <c r="J704" i="4" s="1"/>
  <c r="G704" i="4"/>
  <c r="E704" i="4"/>
  <c r="D704" i="4"/>
  <c r="C704" i="4"/>
  <c r="B704" i="4"/>
  <c r="L703" i="4"/>
  <c r="I703" i="4"/>
  <c r="J703" i="4" s="1"/>
  <c r="H703" i="4"/>
  <c r="G703" i="4"/>
  <c r="E703" i="4"/>
  <c r="D703" i="4"/>
  <c r="C703" i="4"/>
  <c r="B703" i="4"/>
  <c r="L702" i="4"/>
  <c r="H702" i="4"/>
  <c r="I702" i="4" s="1"/>
  <c r="J702" i="4" s="1"/>
  <c r="G702" i="4"/>
  <c r="E702" i="4"/>
  <c r="D702" i="4"/>
  <c r="C702" i="4"/>
  <c r="B702" i="4"/>
  <c r="L701" i="4"/>
  <c r="H701" i="4"/>
  <c r="I701" i="4" s="1"/>
  <c r="J701" i="4" s="1"/>
  <c r="G701" i="4"/>
  <c r="E701" i="4"/>
  <c r="D701" i="4"/>
  <c r="C701" i="4"/>
  <c r="B701" i="4"/>
  <c r="L700" i="4"/>
  <c r="I700" i="4"/>
  <c r="J700" i="4" s="1"/>
  <c r="H700" i="4"/>
  <c r="G700" i="4"/>
  <c r="E700" i="4"/>
  <c r="D700" i="4"/>
  <c r="C700" i="4"/>
  <c r="B700" i="4"/>
  <c r="L699" i="4"/>
  <c r="J699" i="4"/>
  <c r="I699" i="4"/>
  <c r="H699" i="4"/>
  <c r="G699" i="4"/>
  <c r="E699" i="4"/>
  <c r="D699" i="4"/>
  <c r="C699" i="4"/>
  <c r="B699" i="4"/>
  <c r="L698" i="4"/>
  <c r="J698" i="4"/>
  <c r="H698" i="4"/>
  <c r="I698" i="4" s="1"/>
  <c r="G698" i="4"/>
  <c r="E698" i="4"/>
  <c r="D698" i="4"/>
  <c r="C698" i="4"/>
  <c r="B698" i="4"/>
  <c r="L697" i="4"/>
  <c r="I697" i="4"/>
  <c r="J697" i="4" s="1"/>
  <c r="H697" i="4"/>
  <c r="G697" i="4"/>
  <c r="E697" i="4"/>
  <c r="D697" i="4"/>
  <c r="C697" i="4"/>
  <c r="B697" i="4"/>
  <c r="L696" i="4"/>
  <c r="H696" i="4"/>
  <c r="I696" i="4" s="1"/>
  <c r="J696" i="4" s="1"/>
  <c r="G696" i="4"/>
  <c r="E696" i="4"/>
  <c r="D696" i="4"/>
  <c r="C696" i="4"/>
  <c r="B696" i="4"/>
  <c r="L695" i="4"/>
  <c r="I695" i="4"/>
  <c r="J695" i="4" s="1"/>
  <c r="H695" i="4"/>
  <c r="G695" i="4"/>
  <c r="E695" i="4"/>
  <c r="D695" i="4"/>
  <c r="C695" i="4"/>
  <c r="B695" i="4"/>
  <c r="L694" i="4"/>
  <c r="H694" i="4"/>
  <c r="I694" i="4" s="1"/>
  <c r="J694" i="4" s="1"/>
  <c r="G694" i="4"/>
  <c r="E694" i="4"/>
  <c r="D694" i="4"/>
  <c r="C694" i="4"/>
  <c r="B694" i="4"/>
  <c r="L693" i="4"/>
  <c r="H693" i="4"/>
  <c r="I693" i="4" s="1"/>
  <c r="J693" i="4" s="1"/>
  <c r="G693" i="4"/>
  <c r="E693" i="4"/>
  <c r="D693" i="4"/>
  <c r="C693" i="4"/>
  <c r="B693" i="4"/>
  <c r="L692" i="4"/>
  <c r="I692" i="4"/>
  <c r="J692" i="4" s="1"/>
  <c r="H692" i="4"/>
  <c r="G692" i="4"/>
  <c r="E692" i="4"/>
  <c r="D692" i="4"/>
  <c r="C692" i="4"/>
  <c r="B692" i="4"/>
  <c r="L691" i="4"/>
  <c r="J691" i="4"/>
  <c r="I691" i="4"/>
  <c r="H691" i="4"/>
  <c r="G691" i="4"/>
  <c r="E691" i="4"/>
  <c r="D691" i="4"/>
  <c r="C691" i="4"/>
  <c r="B691" i="4"/>
  <c r="L690" i="4"/>
  <c r="J690" i="4"/>
  <c r="H690" i="4"/>
  <c r="I690" i="4" s="1"/>
  <c r="G690" i="4"/>
  <c r="E690" i="4"/>
  <c r="D690" i="4"/>
  <c r="C690" i="4"/>
  <c r="B690" i="4"/>
  <c r="L689" i="4"/>
  <c r="I689" i="4"/>
  <c r="J689" i="4" s="1"/>
  <c r="H689" i="4"/>
  <c r="G689" i="4"/>
  <c r="E689" i="4"/>
  <c r="D689" i="4"/>
  <c r="C689" i="4"/>
  <c r="B689" i="4"/>
  <c r="L688" i="4"/>
  <c r="H688" i="4"/>
  <c r="I688" i="4" s="1"/>
  <c r="J688" i="4" s="1"/>
  <c r="G688" i="4"/>
  <c r="E688" i="4"/>
  <c r="D688" i="4"/>
  <c r="C688" i="4"/>
  <c r="B688" i="4"/>
  <c r="L687" i="4"/>
  <c r="I687" i="4"/>
  <c r="J687" i="4" s="1"/>
  <c r="H687" i="4"/>
  <c r="G687" i="4"/>
  <c r="E687" i="4"/>
  <c r="D687" i="4"/>
  <c r="C687" i="4"/>
  <c r="B687" i="4"/>
  <c r="L686" i="4"/>
  <c r="H686" i="4"/>
  <c r="I686" i="4" s="1"/>
  <c r="J686" i="4" s="1"/>
  <c r="G686" i="4"/>
  <c r="E686" i="4"/>
  <c r="D686" i="4"/>
  <c r="C686" i="4"/>
  <c r="B686" i="4"/>
  <c r="L685" i="4"/>
  <c r="H685" i="4"/>
  <c r="I685" i="4" s="1"/>
  <c r="J685" i="4" s="1"/>
  <c r="G685" i="4"/>
  <c r="E685" i="4"/>
  <c r="D685" i="4"/>
  <c r="C685" i="4"/>
  <c r="B685" i="4"/>
  <c r="L684" i="4"/>
  <c r="I684" i="4"/>
  <c r="J684" i="4" s="1"/>
  <c r="H684" i="4"/>
  <c r="G684" i="4"/>
  <c r="E684" i="4"/>
  <c r="D684" i="4"/>
  <c r="C684" i="4"/>
  <c r="B684" i="4"/>
  <c r="L683" i="4"/>
  <c r="J683" i="4"/>
  <c r="I683" i="4"/>
  <c r="H683" i="4"/>
  <c r="G683" i="4"/>
  <c r="E683" i="4"/>
  <c r="D683" i="4"/>
  <c r="C683" i="4"/>
  <c r="B683" i="4"/>
  <c r="L682" i="4"/>
  <c r="J682" i="4"/>
  <c r="H682" i="4"/>
  <c r="I682" i="4" s="1"/>
  <c r="G682" i="4"/>
  <c r="E682" i="4"/>
  <c r="D682" i="4"/>
  <c r="C682" i="4"/>
  <c r="B682" i="4"/>
  <c r="L681" i="4"/>
  <c r="I681" i="4"/>
  <c r="J681" i="4" s="1"/>
  <c r="H681" i="4"/>
  <c r="G681" i="4"/>
  <c r="E681" i="4"/>
  <c r="D681" i="4"/>
  <c r="C681" i="4"/>
  <c r="B681" i="4"/>
  <c r="L680" i="4"/>
  <c r="H680" i="4"/>
  <c r="I680" i="4" s="1"/>
  <c r="J680" i="4" s="1"/>
  <c r="G680" i="4"/>
  <c r="E680" i="4"/>
  <c r="D680" i="4"/>
  <c r="C680" i="4"/>
  <c r="B680" i="4"/>
  <c r="L679" i="4"/>
  <c r="I679" i="4"/>
  <c r="J679" i="4" s="1"/>
  <c r="H679" i="4"/>
  <c r="G679" i="4"/>
  <c r="E679" i="4"/>
  <c r="D679" i="4"/>
  <c r="C679" i="4"/>
  <c r="B679" i="4"/>
  <c r="L678" i="4"/>
  <c r="H678" i="4"/>
  <c r="I678" i="4" s="1"/>
  <c r="J678" i="4" s="1"/>
  <c r="G678" i="4"/>
  <c r="E678" i="4"/>
  <c r="D678" i="4"/>
  <c r="C678" i="4"/>
  <c r="B678" i="4"/>
  <c r="L677" i="4"/>
  <c r="H677" i="4"/>
  <c r="I677" i="4" s="1"/>
  <c r="J677" i="4" s="1"/>
  <c r="G677" i="4"/>
  <c r="E677" i="4"/>
  <c r="D677" i="4"/>
  <c r="C677" i="4"/>
  <c r="B677" i="4"/>
  <c r="L676" i="4"/>
  <c r="I676" i="4"/>
  <c r="J676" i="4" s="1"/>
  <c r="H676" i="4"/>
  <c r="G676" i="4"/>
  <c r="E676" i="4"/>
  <c r="D676" i="4"/>
  <c r="C676" i="4"/>
  <c r="B676" i="4"/>
  <c r="L675" i="4"/>
  <c r="J675" i="4"/>
  <c r="I675" i="4"/>
  <c r="H675" i="4"/>
  <c r="G675" i="4"/>
  <c r="E675" i="4"/>
  <c r="D675" i="4"/>
  <c r="C675" i="4"/>
  <c r="B675" i="4"/>
  <c r="L674" i="4"/>
  <c r="J674" i="4"/>
  <c r="H674" i="4"/>
  <c r="I674" i="4" s="1"/>
  <c r="G674" i="4"/>
  <c r="E674" i="4"/>
  <c r="D674" i="4"/>
  <c r="C674" i="4"/>
  <c r="B674" i="4"/>
  <c r="L673" i="4"/>
  <c r="I673" i="4"/>
  <c r="J673" i="4" s="1"/>
  <c r="H673" i="4"/>
  <c r="G673" i="4"/>
  <c r="E673" i="4"/>
  <c r="D673" i="4"/>
  <c r="C673" i="4"/>
  <c r="B673" i="4"/>
  <c r="L672" i="4"/>
  <c r="H672" i="4"/>
  <c r="I672" i="4" s="1"/>
  <c r="J672" i="4" s="1"/>
  <c r="G672" i="4"/>
  <c r="E672" i="4"/>
  <c r="D672" i="4"/>
  <c r="C672" i="4"/>
  <c r="B672" i="4"/>
  <c r="L671" i="4"/>
  <c r="I671" i="4"/>
  <c r="J671" i="4" s="1"/>
  <c r="H671" i="4"/>
  <c r="G671" i="4"/>
  <c r="E671" i="4"/>
  <c r="D671" i="4"/>
  <c r="C671" i="4"/>
  <c r="B671" i="4"/>
  <c r="L670" i="4"/>
  <c r="H670" i="4"/>
  <c r="I670" i="4" s="1"/>
  <c r="J670" i="4" s="1"/>
  <c r="G670" i="4"/>
  <c r="E670" i="4"/>
  <c r="D670" i="4"/>
  <c r="C670" i="4"/>
  <c r="B670" i="4"/>
  <c r="L669" i="4"/>
  <c r="H669" i="4"/>
  <c r="I669" i="4" s="1"/>
  <c r="J669" i="4" s="1"/>
  <c r="G669" i="4"/>
  <c r="E669" i="4"/>
  <c r="D669" i="4"/>
  <c r="C669" i="4"/>
  <c r="B669" i="4"/>
  <c r="L668" i="4"/>
  <c r="I668" i="4"/>
  <c r="J668" i="4" s="1"/>
  <c r="H668" i="4"/>
  <c r="G668" i="4"/>
  <c r="E668" i="4"/>
  <c r="D668" i="4"/>
  <c r="C668" i="4"/>
  <c r="B668" i="4"/>
  <c r="L667" i="4"/>
  <c r="J667" i="4"/>
  <c r="I667" i="4"/>
  <c r="H667" i="4"/>
  <c r="G667" i="4"/>
  <c r="E667" i="4"/>
  <c r="D667" i="4"/>
  <c r="C667" i="4"/>
  <c r="B667" i="4"/>
  <c r="L666" i="4"/>
  <c r="J666" i="4"/>
  <c r="H666" i="4"/>
  <c r="I666" i="4" s="1"/>
  <c r="G666" i="4"/>
  <c r="E666" i="4"/>
  <c r="D666" i="4"/>
  <c r="C666" i="4"/>
  <c r="B666" i="4"/>
  <c r="L665" i="4"/>
  <c r="I665" i="4"/>
  <c r="J665" i="4" s="1"/>
  <c r="H665" i="4"/>
  <c r="G665" i="4"/>
  <c r="E665" i="4"/>
  <c r="D665" i="4"/>
  <c r="C665" i="4"/>
  <c r="B665" i="4"/>
  <c r="L664" i="4"/>
  <c r="H664" i="4"/>
  <c r="I664" i="4" s="1"/>
  <c r="J664" i="4" s="1"/>
  <c r="G664" i="4"/>
  <c r="E664" i="4"/>
  <c r="D664" i="4"/>
  <c r="C664" i="4"/>
  <c r="B664" i="4"/>
  <c r="L663" i="4"/>
  <c r="I663" i="4"/>
  <c r="J663" i="4" s="1"/>
  <c r="H663" i="4"/>
  <c r="G663" i="4"/>
  <c r="E663" i="4"/>
  <c r="D663" i="4"/>
  <c r="C663" i="4"/>
  <c r="B663" i="4"/>
  <c r="L662" i="4"/>
  <c r="H662" i="4"/>
  <c r="I662" i="4" s="1"/>
  <c r="J662" i="4" s="1"/>
  <c r="G662" i="4"/>
  <c r="E662" i="4"/>
  <c r="D662" i="4"/>
  <c r="C662" i="4"/>
  <c r="B662" i="4"/>
  <c r="L661" i="4"/>
  <c r="H661" i="4"/>
  <c r="I661" i="4" s="1"/>
  <c r="J661" i="4" s="1"/>
  <c r="G661" i="4"/>
  <c r="E661" i="4"/>
  <c r="D661" i="4"/>
  <c r="C661" i="4"/>
  <c r="B661" i="4"/>
  <c r="L660" i="4"/>
  <c r="I660" i="4"/>
  <c r="J660" i="4" s="1"/>
  <c r="H660" i="4"/>
  <c r="G660" i="4"/>
  <c r="E660" i="4"/>
  <c r="D660" i="4"/>
  <c r="C660" i="4"/>
  <c r="B660" i="4"/>
  <c r="L659" i="4"/>
  <c r="J659" i="4"/>
  <c r="I659" i="4"/>
  <c r="H659" i="4"/>
  <c r="G659" i="4"/>
  <c r="E659" i="4"/>
  <c r="D659" i="4"/>
  <c r="C659" i="4"/>
  <c r="B659" i="4"/>
  <c r="L658" i="4"/>
  <c r="H658" i="4"/>
  <c r="I658" i="4" s="1"/>
  <c r="J658" i="4" s="1"/>
  <c r="G658" i="4"/>
  <c r="E658" i="4"/>
  <c r="D658" i="4"/>
  <c r="C658" i="4"/>
  <c r="B658" i="4"/>
  <c r="L657" i="4"/>
  <c r="H657" i="4"/>
  <c r="I657" i="4" s="1"/>
  <c r="J657" i="4" s="1"/>
  <c r="G657" i="4"/>
  <c r="E657" i="4"/>
  <c r="D657" i="4"/>
  <c r="C657" i="4"/>
  <c r="B657" i="4"/>
  <c r="L656" i="4"/>
  <c r="I656" i="4"/>
  <c r="J656" i="4" s="1"/>
  <c r="H656" i="4"/>
  <c r="G656" i="4"/>
  <c r="E656" i="4"/>
  <c r="D656" i="4"/>
  <c r="C656" i="4"/>
  <c r="B656" i="4"/>
  <c r="L655" i="4"/>
  <c r="J655" i="4"/>
  <c r="I655" i="4"/>
  <c r="H655" i="4"/>
  <c r="G655" i="4"/>
  <c r="E655" i="4"/>
  <c r="D655" i="4"/>
  <c r="C655" i="4"/>
  <c r="B655" i="4"/>
  <c r="L654" i="4"/>
  <c r="H654" i="4"/>
  <c r="I654" i="4" s="1"/>
  <c r="J654" i="4" s="1"/>
  <c r="G654" i="4"/>
  <c r="E654" i="4"/>
  <c r="D654" i="4"/>
  <c r="C654" i="4"/>
  <c r="B654" i="4"/>
  <c r="L653" i="4"/>
  <c r="H653" i="4"/>
  <c r="I653" i="4" s="1"/>
  <c r="J653" i="4" s="1"/>
  <c r="G653" i="4"/>
  <c r="E653" i="4"/>
  <c r="D653" i="4"/>
  <c r="C653" i="4"/>
  <c r="B653" i="4"/>
  <c r="L652" i="4"/>
  <c r="I652" i="4"/>
  <c r="J652" i="4" s="1"/>
  <c r="H652" i="4"/>
  <c r="G652" i="4"/>
  <c r="E652" i="4"/>
  <c r="D652" i="4"/>
  <c r="C652" i="4"/>
  <c r="B652" i="4"/>
  <c r="L651" i="4"/>
  <c r="J651" i="4"/>
  <c r="I651" i="4"/>
  <c r="H651" i="4"/>
  <c r="G651" i="4"/>
  <c r="E651" i="4"/>
  <c r="D651" i="4"/>
  <c r="C651" i="4"/>
  <c r="B651" i="4"/>
  <c r="L650" i="4"/>
  <c r="H650" i="4"/>
  <c r="I650" i="4" s="1"/>
  <c r="J650" i="4" s="1"/>
  <c r="G650" i="4"/>
  <c r="E650" i="4"/>
  <c r="D650" i="4"/>
  <c r="C650" i="4"/>
  <c r="B650" i="4"/>
  <c r="L649" i="4"/>
  <c r="H649" i="4"/>
  <c r="I649" i="4" s="1"/>
  <c r="J649" i="4" s="1"/>
  <c r="G649" i="4"/>
  <c r="E649" i="4"/>
  <c r="D649" i="4"/>
  <c r="C649" i="4"/>
  <c r="B649" i="4"/>
  <c r="L648" i="4"/>
  <c r="I648" i="4"/>
  <c r="J648" i="4" s="1"/>
  <c r="H648" i="4"/>
  <c r="G648" i="4"/>
  <c r="E648" i="4"/>
  <c r="D648" i="4"/>
  <c r="C648" i="4"/>
  <c r="B648" i="4"/>
  <c r="L647" i="4"/>
  <c r="J647" i="4"/>
  <c r="I647" i="4"/>
  <c r="H647" i="4"/>
  <c r="G647" i="4"/>
  <c r="E647" i="4"/>
  <c r="D647" i="4"/>
  <c r="C647" i="4"/>
  <c r="B647" i="4"/>
  <c r="L646" i="4"/>
  <c r="H646" i="4"/>
  <c r="I646" i="4" s="1"/>
  <c r="J646" i="4" s="1"/>
  <c r="G646" i="4"/>
  <c r="E646" i="4"/>
  <c r="D646" i="4"/>
  <c r="C646" i="4"/>
  <c r="B646" i="4"/>
  <c r="L645" i="4"/>
  <c r="H645" i="4"/>
  <c r="I645" i="4" s="1"/>
  <c r="J645" i="4" s="1"/>
  <c r="G645" i="4"/>
  <c r="E645" i="4"/>
  <c r="D645" i="4"/>
  <c r="C645" i="4"/>
  <c r="B645" i="4"/>
  <c r="L644" i="4"/>
  <c r="I644" i="4"/>
  <c r="J644" i="4" s="1"/>
  <c r="H644" i="4"/>
  <c r="G644" i="4"/>
  <c r="E644" i="4"/>
  <c r="D644" i="4"/>
  <c r="C644" i="4"/>
  <c r="B644" i="4"/>
  <c r="L643" i="4"/>
  <c r="J643" i="4"/>
  <c r="I643" i="4"/>
  <c r="H643" i="4"/>
  <c r="G643" i="4"/>
  <c r="E643" i="4"/>
  <c r="D643" i="4"/>
  <c r="C643" i="4"/>
  <c r="B643" i="4"/>
  <c r="L642" i="4"/>
  <c r="H642" i="4"/>
  <c r="I642" i="4" s="1"/>
  <c r="J642" i="4" s="1"/>
  <c r="G642" i="4"/>
  <c r="E642" i="4"/>
  <c r="D642" i="4"/>
  <c r="C642" i="4"/>
  <c r="B642" i="4"/>
  <c r="L641" i="4"/>
  <c r="H641" i="4"/>
  <c r="I641" i="4" s="1"/>
  <c r="J641" i="4" s="1"/>
  <c r="G641" i="4"/>
  <c r="E641" i="4"/>
  <c r="D641" i="4"/>
  <c r="C641" i="4"/>
  <c r="B641" i="4"/>
  <c r="L640" i="4"/>
  <c r="I640" i="4"/>
  <c r="J640" i="4" s="1"/>
  <c r="H640" i="4"/>
  <c r="G640" i="4"/>
  <c r="E640" i="4"/>
  <c r="D640" i="4"/>
  <c r="C640" i="4"/>
  <c r="B640" i="4"/>
  <c r="L639" i="4"/>
  <c r="J639" i="4"/>
  <c r="I639" i="4"/>
  <c r="H639" i="4"/>
  <c r="G639" i="4"/>
  <c r="E639" i="4"/>
  <c r="D639" i="4"/>
  <c r="C639" i="4"/>
  <c r="B639" i="4"/>
  <c r="L638" i="4"/>
  <c r="H638" i="4"/>
  <c r="I638" i="4" s="1"/>
  <c r="J638" i="4" s="1"/>
  <c r="G638" i="4"/>
  <c r="E638" i="4"/>
  <c r="D638" i="4"/>
  <c r="C638" i="4"/>
  <c r="B638" i="4"/>
  <c r="L637" i="4"/>
  <c r="H637" i="4"/>
  <c r="I637" i="4" s="1"/>
  <c r="J637" i="4" s="1"/>
  <c r="G637" i="4"/>
  <c r="E637" i="4"/>
  <c r="D637" i="4"/>
  <c r="C637" i="4"/>
  <c r="B637" i="4"/>
  <c r="L636" i="4"/>
  <c r="I636" i="4"/>
  <c r="J636" i="4" s="1"/>
  <c r="H636" i="4"/>
  <c r="G636" i="4"/>
  <c r="E636" i="4"/>
  <c r="D636" i="4"/>
  <c r="C636" i="4"/>
  <c r="B636" i="4"/>
  <c r="L635" i="4"/>
  <c r="J635" i="4"/>
  <c r="I635" i="4"/>
  <c r="H635" i="4"/>
  <c r="G635" i="4"/>
  <c r="E635" i="4"/>
  <c r="D635" i="4"/>
  <c r="C635" i="4"/>
  <c r="B635" i="4"/>
  <c r="L634" i="4"/>
  <c r="H634" i="4"/>
  <c r="I634" i="4" s="1"/>
  <c r="J634" i="4" s="1"/>
  <c r="G634" i="4"/>
  <c r="E634" i="4"/>
  <c r="D634" i="4"/>
  <c r="C634" i="4"/>
  <c r="B634" i="4"/>
  <c r="L633" i="4"/>
  <c r="H633" i="4"/>
  <c r="I633" i="4" s="1"/>
  <c r="J633" i="4" s="1"/>
  <c r="G633" i="4"/>
  <c r="E633" i="4"/>
  <c r="D633" i="4"/>
  <c r="C633" i="4"/>
  <c r="B633" i="4"/>
  <c r="L632" i="4"/>
  <c r="I632" i="4"/>
  <c r="J632" i="4" s="1"/>
  <c r="H632" i="4"/>
  <c r="G632" i="4"/>
  <c r="E632" i="4"/>
  <c r="D632" i="4"/>
  <c r="C632" i="4"/>
  <c r="B632" i="4"/>
  <c r="L631" i="4"/>
  <c r="J631" i="4"/>
  <c r="I631" i="4"/>
  <c r="H631" i="4"/>
  <c r="G631" i="4"/>
  <c r="E631" i="4"/>
  <c r="D631" i="4"/>
  <c r="C631" i="4"/>
  <c r="B631" i="4"/>
  <c r="L630" i="4"/>
  <c r="H630" i="4"/>
  <c r="I630" i="4" s="1"/>
  <c r="J630" i="4" s="1"/>
  <c r="G630" i="4"/>
  <c r="E630" i="4"/>
  <c r="D630" i="4"/>
  <c r="C630" i="4"/>
  <c r="B630" i="4"/>
  <c r="L629" i="4"/>
  <c r="H629" i="4"/>
  <c r="I629" i="4" s="1"/>
  <c r="J629" i="4" s="1"/>
  <c r="G629" i="4"/>
  <c r="E629" i="4"/>
  <c r="D629" i="4"/>
  <c r="C629" i="4"/>
  <c r="B629" i="4"/>
  <c r="L628" i="4"/>
  <c r="I628" i="4"/>
  <c r="J628" i="4" s="1"/>
  <c r="H628" i="4"/>
  <c r="G628" i="4"/>
  <c r="E628" i="4"/>
  <c r="D628" i="4"/>
  <c r="C628" i="4"/>
  <c r="B628" i="4"/>
  <c r="L627" i="4"/>
  <c r="J627" i="4"/>
  <c r="I627" i="4"/>
  <c r="H627" i="4"/>
  <c r="G627" i="4"/>
  <c r="E627" i="4"/>
  <c r="D627" i="4"/>
  <c r="C627" i="4"/>
  <c r="B627" i="4"/>
  <c r="L626" i="4"/>
  <c r="H626" i="4"/>
  <c r="I626" i="4" s="1"/>
  <c r="J626" i="4" s="1"/>
  <c r="G626" i="4"/>
  <c r="E626" i="4"/>
  <c r="D626" i="4"/>
  <c r="C626" i="4"/>
  <c r="B626" i="4"/>
  <c r="L625" i="4"/>
  <c r="H625" i="4"/>
  <c r="I625" i="4" s="1"/>
  <c r="J625" i="4" s="1"/>
  <c r="G625" i="4"/>
  <c r="E625" i="4"/>
  <c r="D625" i="4"/>
  <c r="C625" i="4"/>
  <c r="B625" i="4"/>
  <c r="L624" i="4"/>
  <c r="I624" i="4"/>
  <c r="J624" i="4" s="1"/>
  <c r="H624" i="4"/>
  <c r="G624" i="4"/>
  <c r="E624" i="4"/>
  <c r="D624" i="4"/>
  <c r="C624" i="4"/>
  <c r="B624" i="4"/>
  <c r="L623" i="4"/>
  <c r="J623" i="4"/>
  <c r="I623" i="4"/>
  <c r="H623" i="4"/>
  <c r="G623" i="4"/>
  <c r="E623" i="4"/>
  <c r="D623" i="4"/>
  <c r="C623" i="4"/>
  <c r="B623" i="4"/>
  <c r="L622" i="4"/>
  <c r="H622" i="4"/>
  <c r="I622" i="4" s="1"/>
  <c r="J622" i="4" s="1"/>
  <c r="G622" i="4"/>
  <c r="E622" i="4"/>
  <c r="D622" i="4"/>
  <c r="C622" i="4"/>
  <c r="B622" i="4"/>
  <c r="L621" i="4"/>
  <c r="H621" i="4"/>
  <c r="I621" i="4" s="1"/>
  <c r="J621" i="4" s="1"/>
  <c r="G621" i="4"/>
  <c r="E621" i="4"/>
  <c r="D621" i="4"/>
  <c r="C621" i="4"/>
  <c r="B621" i="4"/>
  <c r="L620" i="4"/>
  <c r="I620" i="4"/>
  <c r="J620" i="4" s="1"/>
  <c r="H620" i="4"/>
  <c r="G620" i="4"/>
  <c r="E620" i="4"/>
  <c r="D620" i="4"/>
  <c r="C620" i="4"/>
  <c r="B620" i="4"/>
  <c r="L619" i="4"/>
  <c r="J619" i="4"/>
  <c r="I619" i="4"/>
  <c r="H619" i="4"/>
  <c r="G619" i="4"/>
  <c r="E619" i="4"/>
  <c r="D619" i="4"/>
  <c r="C619" i="4"/>
  <c r="B619" i="4"/>
  <c r="L618" i="4"/>
  <c r="H618" i="4"/>
  <c r="I618" i="4" s="1"/>
  <c r="J618" i="4" s="1"/>
  <c r="G618" i="4"/>
  <c r="E618" i="4"/>
  <c r="D618" i="4"/>
  <c r="C618" i="4"/>
  <c r="B618" i="4"/>
  <c r="L617" i="4"/>
  <c r="H617" i="4"/>
  <c r="I617" i="4" s="1"/>
  <c r="J617" i="4" s="1"/>
  <c r="G617" i="4"/>
  <c r="E617" i="4"/>
  <c r="D617" i="4"/>
  <c r="C617" i="4"/>
  <c r="B617" i="4"/>
  <c r="L616" i="4"/>
  <c r="I616" i="4"/>
  <c r="J616" i="4" s="1"/>
  <c r="H616" i="4"/>
  <c r="G616" i="4"/>
  <c r="E616" i="4"/>
  <c r="D616" i="4"/>
  <c r="C616" i="4"/>
  <c r="B616" i="4"/>
  <c r="L615" i="4"/>
  <c r="J615" i="4"/>
  <c r="I615" i="4"/>
  <c r="H615" i="4"/>
  <c r="G615" i="4"/>
  <c r="E615" i="4"/>
  <c r="D615" i="4"/>
  <c r="C615" i="4"/>
  <c r="B615" i="4"/>
  <c r="L614" i="4"/>
  <c r="H614" i="4"/>
  <c r="I614" i="4" s="1"/>
  <c r="J614" i="4" s="1"/>
  <c r="G614" i="4"/>
  <c r="E614" i="4"/>
  <c r="D614" i="4"/>
  <c r="C614" i="4"/>
  <c r="B614" i="4"/>
  <c r="L613" i="4"/>
  <c r="H613" i="4"/>
  <c r="I613" i="4" s="1"/>
  <c r="J613" i="4" s="1"/>
  <c r="G613" i="4"/>
  <c r="E613" i="4"/>
  <c r="D613" i="4"/>
  <c r="C613" i="4"/>
  <c r="B613" i="4"/>
  <c r="L612" i="4"/>
  <c r="I612" i="4"/>
  <c r="J612" i="4" s="1"/>
  <c r="H612" i="4"/>
  <c r="G612" i="4"/>
  <c r="E612" i="4"/>
  <c r="D612" i="4"/>
  <c r="C612" i="4"/>
  <c r="B612" i="4"/>
  <c r="L611" i="4"/>
  <c r="J611" i="4"/>
  <c r="I611" i="4"/>
  <c r="H611" i="4"/>
  <c r="G611" i="4"/>
  <c r="E611" i="4"/>
  <c r="D611" i="4"/>
  <c r="C611" i="4"/>
  <c r="B611" i="4"/>
  <c r="L610" i="4"/>
  <c r="H610" i="4"/>
  <c r="I610" i="4" s="1"/>
  <c r="J610" i="4" s="1"/>
  <c r="G610" i="4"/>
  <c r="E610" i="4"/>
  <c r="D610" i="4"/>
  <c r="C610" i="4"/>
  <c r="B610" i="4"/>
  <c r="L609" i="4"/>
  <c r="H609" i="4"/>
  <c r="I609" i="4" s="1"/>
  <c r="J609" i="4" s="1"/>
  <c r="G609" i="4"/>
  <c r="E609" i="4"/>
  <c r="D609" i="4"/>
  <c r="C609" i="4"/>
  <c r="B609" i="4"/>
  <c r="L608" i="4"/>
  <c r="I608" i="4"/>
  <c r="J608" i="4" s="1"/>
  <c r="H608" i="4"/>
  <c r="G608" i="4"/>
  <c r="E608" i="4"/>
  <c r="D608" i="4"/>
  <c r="C608" i="4"/>
  <c r="B608" i="4"/>
  <c r="L607" i="4"/>
  <c r="J607" i="4"/>
  <c r="I607" i="4"/>
  <c r="H607" i="4"/>
  <c r="G607" i="4"/>
  <c r="E607" i="4"/>
  <c r="D607" i="4"/>
  <c r="C607" i="4"/>
  <c r="B607" i="4"/>
  <c r="L606" i="4"/>
  <c r="H606" i="4"/>
  <c r="I606" i="4" s="1"/>
  <c r="J606" i="4" s="1"/>
  <c r="G606" i="4"/>
  <c r="E606" i="4"/>
  <c r="D606" i="4"/>
  <c r="C606" i="4"/>
  <c r="B606" i="4"/>
  <c r="L605" i="4"/>
  <c r="H605" i="4"/>
  <c r="I605" i="4" s="1"/>
  <c r="J605" i="4" s="1"/>
  <c r="G605" i="4"/>
  <c r="E605" i="4"/>
  <c r="D605" i="4"/>
  <c r="C605" i="4"/>
  <c r="B605" i="4"/>
  <c r="L604" i="4"/>
  <c r="I604" i="4"/>
  <c r="J604" i="4" s="1"/>
  <c r="H604" i="4"/>
  <c r="G604" i="4"/>
  <c r="E604" i="4"/>
  <c r="D604" i="4"/>
  <c r="C604" i="4"/>
  <c r="B604" i="4"/>
  <c r="L603" i="4"/>
  <c r="J603" i="4"/>
  <c r="I603" i="4"/>
  <c r="H603" i="4"/>
  <c r="G603" i="4"/>
  <c r="E603" i="4"/>
  <c r="D603" i="4"/>
  <c r="C603" i="4"/>
  <c r="B603" i="4"/>
  <c r="L602" i="4"/>
  <c r="H602" i="4"/>
  <c r="I602" i="4" s="1"/>
  <c r="J602" i="4" s="1"/>
  <c r="G602" i="4"/>
  <c r="E602" i="4"/>
  <c r="D602" i="4"/>
  <c r="C602" i="4"/>
  <c r="B602" i="4"/>
  <c r="L601" i="4"/>
  <c r="H601" i="4"/>
  <c r="I601" i="4" s="1"/>
  <c r="J601" i="4" s="1"/>
  <c r="G601" i="4"/>
  <c r="E601" i="4"/>
  <c r="D601" i="4"/>
  <c r="C601" i="4"/>
  <c r="B601" i="4"/>
  <c r="L600" i="4"/>
  <c r="I600" i="4"/>
  <c r="J600" i="4" s="1"/>
  <c r="H600" i="4"/>
  <c r="G600" i="4"/>
  <c r="E600" i="4"/>
  <c r="D600" i="4"/>
  <c r="C600" i="4"/>
  <c r="B600" i="4"/>
  <c r="L599" i="4"/>
  <c r="J599" i="4"/>
  <c r="I599" i="4"/>
  <c r="H599" i="4"/>
  <c r="G599" i="4"/>
  <c r="E599" i="4"/>
  <c r="D599" i="4"/>
  <c r="C599" i="4"/>
  <c r="B599" i="4"/>
  <c r="L598" i="4"/>
  <c r="H598" i="4"/>
  <c r="I598" i="4" s="1"/>
  <c r="J598" i="4" s="1"/>
  <c r="G598" i="4"/>
  <c r="E598" i="4"/>
  <c r="D598" i="4"/>
  <c r="C598" i="4"/>
  <c r="B598" i="4"/>
  <c r="L597" i="4"/>
  <c r="H597" i="4"/>
  <c r="I597" i="4" s="1"/>
  <c r="J597" i="4" s="1"/>
  <c r="G597" i="4"/>
  <c r="E597" i="4"/>
  <c r="D597" i="4"/>
  <c r="C597" i="4"/>
  <c r="B597" i="4"/>
  <c r="L596" i="4"/>
  <c r="I596" i="4"/>
  <c r="J596" i="4" s="1"/>
  <c r="H596" i="4"/>
  <c r="G596" i="4"/>
  <c r="E596" i="4"/>
  <c r="D596" i="4"/>
  <c r="C596" i="4"/>
  <c r="B596" i="4"/>
  <c r="L595" i="4"/>
  <c r="J595" i="4"/>
  <c r="I595" i="4"/>
  <c r="H595" i="4"/>
  <c r="G595" i="4"/>
  <c r="E595" i="4"/>
  <c r="D595" i="4"/>
  <c r="C595" i="4"/>
  <c r="B595" i="4"/>
  <c r="L594" i="4"/>
  <c r="H594" i="4"/>
  <c r="I594" i="4" s="1"/>
  <c r="J594" i="4" s="1"/>
  <c r="G594" i="4"/>
  <c r="E594" i="4"/>
  <c r="D594" i="4"/>
  <c r="C594" i="4"/>
  <c r="B594" i="4"/>
  <c r="L593" i="4"/>
  <c r="H593" i="4"/>
  <c r="I593" i="4" s="1"/>
  <c r="J593" i="4" s="1"/>
  <c r="G593" i="4"/>
  <c r="E593" i="4"/>
  <c r="D593" i="4"/>
  <c r="C593" i="4"/>
  <c r="B593" i="4"/>
  <c r="L592" i="4"/>
  <c r="I592" i="4"/>
  <c r="J592" i="4" s="1"/>
  <c r="H592" i="4"/>
  <c r="G592" i="4"/>
  <c r="E592" i="4"/>
  <c r="D592" i="4"/>
  <c r="C592" i="4"/>
  <c r="B592" i="4"/>
  <c r="L591" i="4"/>
  <c r="J591" i="4"/>
  <c r="I591" i="4"/>
  <c r="H591" i="4"/>
  <c r="G591" i="4"/>
  <c r="E591" i="4"/>
  <c r="D591" i="4"/>
  <c r="C591" i="4"/>
  <c r="B591" i="4"/>
  <c r="L590" i="4"/>
  <c r="H590" i="4"/>
  <c r="I590" i="4" s="1"/>
  <c r="J590" i="4" s="1"/>
  <c r="G590" i="4"/>
  <c r="E590" i="4"/>
  <c r="D590" i="4"/>
  <c r="C590" i="4"/>
  <c r="B590" i="4"/>
  <c r="L589" i="4"/>
  <c r="H589" i="4"/>
  <c r="I589" i="4" s="1"/>
  <c r="J589" i="4" s="1"/>
  <c r="G589" i="4"/>
  <c r="E589" i="4"/>
  <c r="D589" i="4"/>
  <c r="C589" i="4"/>
  <c r="B589" i="4"/>
  <c r="L588" i="4"/>
  <c r="I588" i="4"/>
  <c r="J588" i="4" s="1"/>
  <c r="H588" i="4"/>
  <c r="G588" i="4"/>
  <c r="E588" i="4"/>
  <c r="D588" i="4"/>
  <c r="C588" i="4"/>
  <c r="B588" i="4"/>
  <c r="L587" i="4"/>
  <c r="J587" i="4"/>
  <c r="I587" i="4"/>
  <c r="H587" i="4"/>
  <c r="G587" i="4"/>
  <c r="E587" i="4"/>
  <c r="D587" i="4"/>
  <c r="C587" i="4"/>
  <c r="B587" i="4"/>
  <c r="L586" i="4"/>
  <c r="H586" i="4"/>
  <c r="I586" i="4" s="1"/>
  <c r="J586" i="4" s="1"/>
  <c r="G586" i="4"/>
  <c r="E586" i="4"/>
  <c r="D586" i="4"/>
  <c r="C586" i="4"/>
  <c r="B586" i="4"/>
  <c r="L585" i="4"/>
  <c r="H585" i="4"/>
  <c r="I585" i="4" s="1"/>
  <c r="J585" i="4" s="1"/>
  <c r="G585" i="4"/>
  <c r="E585" i="4"/>
  <c r="D585" i="4"/>
  <c r="C585" i="4"/>
  <c r="B585" i="4"/>
  <c r="L584" i="4"/>
  <c r="I584" i="4"/>
  <c r="J584" i="4" s="1"/>
  <c r="H584" i="4"/>
  <c r="G584" i="4"/>
  <c r="E584" i="4"/>
  <c r="D584" i="4"/>
  <c r="C584" i="4"/>
  <c r="B584" i="4"/>
  <c r="L583" i="4"/>
  <c r="J583" i="4"/>
  <c r="I583" i="4"/>
  <c r="H583" i="4"/>
  <c r="G583" i="4"/>
  <c r="E583" i="4"/>
  <c r="D583" i="4"/>
  <c r="C583" i="4"/>
  <c r="B583" i="4"/>
  <c r="L582" i="4"/>
  <c r="H582" i="4"/>
  <c r="I582" i="4" s="1"/>
  <c r="J582" i="4" s="1"/>
  <c r="G582" i="4"/>
  <c r="E582" i="4"/>
  <c r="D582" i="4"/>
  <c r="C582" i="4"/>
  <c r="B582" i="4"/>
  <c r="L581" i="4"/>
  <c r="H581" i="4"/>
  <c r="I581" i="4" s="1"/>
  <c r="J581" i="4" s="1"/>
  <c r="G581" i="4"/>
  <c r="E581" i="4"/>
  <c r="D581" i="4"/>
  <c r="C581" i="4"/>
  <c r="B581" i="4"/>
  <c r="L580" i="4"/>
  <c r="I580" i="4"/>
  <c r="J580" i="4" s="1"/>
  <c r="H580" i="4"/>
  <c r="G580" i="4"/>
  <c r="E580" i="4"/>
  <c r="D580" i="4"/>
  <c r="C580" i="4"/>
  <c r="B580" i="4"/>
  <c r="L579" i="4"/>
  <c r="J579" i="4"/>
  <c r="I579" i="4"/>
  <c r="H579" i="4"/>
  <c r="G579" i="4"/>
  <c r="E579" i="4"/>
  <c r="D579" i="4"/>
  <c r="C579" i="4"/>
  <c r="B579" i="4"/>
  <c r="L578" i="4"/>
  <c r="H578" i="4"/>
  <c r="I578" i="4" s="1"/>
  <c r="J578" i="4" s="1"/>
  <c r="G578" i="4"/>
  <c r="E578" i="4"/>
  <c r="D578" i="4"/>
  <c r="C578" i="4"/>
  <c r="B578" i="4"/>
  <c r="L577" i="4"/>
  <c r="H577" i="4"/>
  <c r="I577" i="4" s="1"/>
  <c r="J577" i="4" s="1"/>
  <c r="G577" i="4"/>
  <c r="E577" i="4"/>
  <c r="D577" i="4"/>
  <c r="C577" i="4"/>
  <c r="B577" i="4"/>
  <c r="L576" i="4"/>
  <c r="I576" i="4"/>
  <c r="J576" i="4" s="1"/>
  <c r="H576" i="4"/>
  <c r="G576" i="4"/>
  <c r="E576" i="4"/>
  <c r="D576" i="4"/>
  <c r="C576" i="4"/>
  <c r="B576" i="4"/>
  <c r="L575" i="4"/>
  <c r="J575" i="4"/>
  <c r="I575" i="4"/>
  <c r="H575" i="4"/>
  <c r="G575" i="4"/>
  <c r="E575" i="4"/>
  <c r="D575" i="4"/>
  <c r="C575" i="4"/>
  <c r="B575" i="4"/>
  <c r="L574" i="4"/>
  <c r="H574" i="4"/>
  <c r="I574" i="4" s="1"/>
  <c r="J574" i="4" s="1"/>
  <c r="G574" i="4"/>
  <c r="E574" i="4"/>
  <c r="D574" i="4"/>
  <c r="C574" i="4"/>
  <c r="B574" i="4"/>
  <c r="L573" i="4"/>
  <c r="H573" i="4"/>
  <c r="I573" i="4" s="1"/>
  <c r="J573" i="4" s="1"/>
  <c r="G573" i="4"/>
  <c r="E573" i="4"/>
  <c r="D573" i="4"/>
  <c r="C573" i="4"/>
  <c r="B573" i="4"/>
  <c r="L572" i="4"/>
  <c r="I572" i="4"/>
  <c r="J572" i="4" s="1"/>
  <c r="H572" i="4"/>
  <c r="G572" i="4"/>
  <c r="E572" i="4"/>
  <c r="D572" i="4"/>
  <c r="C572" i="4"/>
  <c r="B572" i="4"/>
  <c r="L571" i="4"/>
  <c r="J571" i="4"/>
  <c r="I571" i="4"/>
  <c r="H571" i="4"/>
  <c r="G571" i="4"/>
  <c r="E571" i="4"/>
  <c r="D571" i="4"/>
  <c r="C571" i="4"/>
  <c r="B571" i="4"/>
  <c r="L570" i="4"/>
  <c r="H570" i="4"/>
  <c r="I570" i="4" s="1"/>
  <c r="J570" i="4" s="1"/>
  <c r="G570" i="4"/>
  <c r="E570" i="4"/>
  <c r="D570" i="4"/>
  <c r="C570" i="4"/>
  <c r="B570" i="4"/>
  <c r="L569" i="4"/>
  <c r="H569" i="4"/>
  <c r="I569" i="4" s="1"/>
  <c r="J569" i="4" s="1"/>
  <c r="G569" i="4"/>
  <c r="E569" i="4"/>
  <c r="D569" i="4"/>
  <c r="C569" i="4"/>
  <c r="B569" i="4"/>
  <c r="L568" i="4"/>
  <c r="I568" i="4"/>
  <c r="J568" i="4" s="1"/>
  <c r="H568" i="4"/>
  <c r="G568" i="4"/>
  <c r="E568" i="4"/>
  <c r="D568" i="4"/>
  <c r="C568" i="4"/>
  <c r="B568" i="4"/>
  <c r="L567" i="4"/>
  <c r="J567" i="4"/>
  <c r="I567" i="4"/>
  <c r="H567" i="4"/>
  <c r="G567" i="4"/>
  <c r="E567" i="4"/>
  <c r="D567" i="4"/>
  <c r="C567" i="4"/>
  <c r="B567" i="4"/>
  <c r="L566" i="4"/>
  <c r="H566" i="4"/>
  <c r="I566" i="4" s="1"/>
  <c r="J566" i="4" s="1"/>
  <c r="G566" i="4"/>
  <c r="E566" i="4"/>
  <c r="D566" i="4"/>
  <c r="C566" i="4"/>
  <c r="B566" i="4"/>
  <c r="L565" i="4"/>
  <c r="H565" i="4"/>
  <c r="I565" i="4" s="1"/>
  <c r="J565" i="4" s="1"/>
  <c r="G565" i="4"/>
  <c r="E565" i="4"/>
  <c r="D565" i="4"/>
  <c r="C565" i="4"/>
  <c r="B565" i="4"/>
  <c r="L564" i="4"/>
  <c r="I564" i="4"/>
  <c r="J564" i="4" s="1"/>
  <c r="H564" i="4"/>
  <c r="G564" i="4"/>
  <c r="E564" i="4"/>
  <c r="D564" i="4"/>
  <c r="C564" i="4"/>
  <c r="B564" i="4"/>
  <c r="L563" i="4"/>
  <c r="J563" i="4"/>
  <c r="I563" i="4"/>
  <c r="H563" i="4"/>
  <c r="G563" i="4"/>
  <c r="E563" i="4"/>
  <c r="D563" i="4"/>
  <c r="C563" i="4"/>
  <c r="B563" i="4"/>
  <c r="L562" i="4"/>
  <c r="H562" i="4"/>
  <c r="I562" i="4" s="1"/>
  <c r="J562" i="4" s="1"/>
  <c r="G562" i="4"/>
  <c r="E562" i="4"/>
  <c r="D562" i="4"/>
  <c r="C562" i="4"/>
  <c r="B562" i="4"/>
  <c r="L561" i="4"/>
  <c r="H561" i="4"/>
  <c r="I561" i="4" s="1"/>
  <c r="J561" i="4" s="1"/>
  <c r="G561" i="4"/>
  <c r="E561" i="4"/>
  <c r="D561" i="4"/>
  <c r="C561" i="4"/>
  <c r="B561" i="4"/>
  <c r="L560" i="4"/>
  <c r="I560" i="4"/>
  <c r="J560" i="4" s="1"/>
  <c r="H560" i="4"/>
  <c r="G560" i="4"/>
  <c r="E560" i="4"/>
  <c r="D560" i="4"/>
  <c r="C560" i="4"/>
  <c r="B560" i="4"/>
  <c r="L559" i="4"/>
  <c r="J559" i="4"/>
  <c r="I559" i="4"/>
  <c r="H559" i="4"/>
  <c r="G559" i="4"/>
  <c r="E559" i="4"/>
  <c r="D559" i="4"/>
  <c r="C559" i="4"/>
  <c r="B559" i="4"/>
  <c r="L558" i="4"/>
  <c r="H558" i="4"/>
  <c r="I558" i="4" s="1"/>
  <c r="J558" i="4" s="1"/>
  <c r="G558" i="4"/>
  <c r="E558" i="4"/>
  <c r="D558" i="4"/>
  <c r="C558" i="4"/>
  <c r="B558" i="4"/>
  <c r="L557" i="4"/>
  <c r="H557" i="4"/>
  <c r="I557" i="4" s="1"/>
  <c r="J557" i="4" s="1"/>
  <c r="G557" i="4"/>
  <c r="E557" i="4"/>
  <c r="D557" i="4"/>
  <c r="C557" i="4"/>
  <c r="B557" i="4"/>
  <c r="L556" i="4"/>
  <c r="I556" i="4"/>
  <c r="J556" i="4" s="1"/>
  <c r="H556" i="4"/>
  <c r="G556" i="4"/>
  <c r="E556" i="4"/>
  <c r="D556" i="4"/>
  <c r="C556" i="4"/>
  <c r="B556" i="4"/>
  <c r="L555" i="4"/>
  <c r="J555" i="4"/>
  <c r="I555" i="4"/>
  <c r="H555" i="4"/>
  <c r="G555" i="4"/>
  <c r="E555" i="4"/>
  <c r="D555" i="4"/>
  <c r="C555" i="4"/>
  <c r="B555" i="4"/>
  <c r="L554" i="4"/>
  <c r="H554" i="4"/>
  <c r="I554" i="4" s="1"/>
  <c r="J554" i="4" s="1"/>
  <c r="G554" i="4"/>
  <c r="E554" i="4"/>
  <c r="D554" i="4"/>
  <c r="C554" i="4"/>
  <c r="B554" i="4"/>
  <c r="L553" i="4"/>
  <c r="H553" i="4"/>
  <c r="I553" i="4" s="1"/>
  <c r="J553" i="4" s="1"/>
  <c r="G553" i="4"/>
  <c r="E553" i="4"/>
  <c r="D553" i="4"/>
  <c r="C553" i="4"/>
  <c r="B553" i="4"/>
  <c r="L552" i="4"/>
  <c r="I552" i="4"/>
  <c r="J552" i="4" s="1"/>
  <c r="H552" i="4"/>
  <c r="G552" i="4"/>
  <c r="E552" i="4"/>
  <c r="D552" i="4"/>
  <c r="C552" i="4"/>
  <c r="B552" i="4"/>
  <c r="L551" i="4"/>
  <c r="J551" i="4"/>
  <c r="I551" i="4"/>
  <c r="H551" i="4"/>
  <c r="G551" i="4"/>
  <c r="E551" i="4"/>
  <c r="D551" i="4"/>
  <c r="C551" i="4"/>
  <c r="B551" i="4"/>
  <c r="L550" i="4"/>
  <c r="H550" i="4"/>
  <c r="I550" i="4" s="1"/>
  <c r="J550" i="4" s="1"/>
  <c r="G550" i="4"/>
  <c r="E550" i="4"/>
  <c r="D550" i="4"/>
  <c r="C550" i="4"/>
  <c r="B550" i="4"/>
  <c r="L549" i="4"/>
  <c r="H549" i="4"/>
  <c r="I549" i="4" s="1"/>
  <c r="J549" i="4" s="1"/>
  <c r="G549" i="4"/>
  <c r="E549" i="4"/>
  <c r="D549" i="4"/>
  <c r="C549" i="4"/>
  <c r="B549" i="4"/>
  <c r="L548" i="4"/>
  <c r="I548" i="4"/>
  <c r="J548" i="4" s="1"/>
  <c r="H548" i="4"/>
  <c r="G548" i="4"/>
  <c r="E548" i="4"/>
  <c r="D548" i="4"/>
  <c r="C548" i="4"/>
  <c r="B548" i="4"/>
  <c r="L547" i="4"/>
  <c r="J547" i="4"/>
  <c r="I547" i="4"/>
  <c r="H547" i="4"/>
  <c r="G547" i="4"/>
  <c r="E547" i="4"/>
  <c r="D547" i="4"/>
  <c r="C547" i="4"/>
  <c r="B547" i="4"/>
  <c r="L546" i="4"/>
  <c r="H546" i="4"/>
  <c r="I546" i="4" s="1"/>
  <c r="J546" i="4" s="1"/>
  <c r="G546" i="4"/>
  <c r="E546" i="4"/>
  <c r="D546" i="4"/>
  <c r="C546" i="4"/>
  <c r="B546" i="4"/>
  <c r="L545" i="4"/>
  <c r="H545" i="4"/>
  <c r="I545" i="4" s="1"/>
  <c r="J545" i="4" s="1"/>
  <c r="G545" i="4"/>
  <c r="E545" i="4"/>
  <c r="D545" i="4"/>
  <c r="C545" i="4"/>
  <c r="B545" i="4"/>
  <c r="L544" i="4"/>
  <c r="I544" i="4"/>
  <c r="J544" i="4" s="1"/>
  <c r="H544" i="4"/>
  <c r="G544" i="4"/>
  <c r="E544" i="4"/>
  <c r="D544" i="4"/>
  <c r="C544" i="4"/>
  <c r="B544" i="4"/>
  <c r="L543" i="4"/>
  <c r="J543" i="4"/>
  <c r="I543" i="4"/>
  <c r="H543" i="4"/>
  <c r="G543" i="4"/>
  <c r="E543" i="4"/>
  <c r="D543" i="4"/>
  <c r="C543" i="4"/>
  <c r="B543" i="4"/>
  <c r="L542" i="4"/>
  <c r="H542" i="4"/>
  <c r="I542" i="4" s="1"/>
  <c r="J542" i="4" s="1"/>
  <c r="G542" i="4"/>
  <c r="E542" i="4"/>
  <c r="D542" i="4"/>
  <c r="C542" i="4"/>
  <c r="B542" i="4"/>
  <c r="L541" i="4"/>
  <c r="H541" i="4"/>
  <c r="I541" i="4" s="1"/>
  <c r="J541" i="4" s="1"/>
  <c r="G541" i="4"/>
  <c r="E541" i="4"/>
  <c r="D541" i="4"/>
  <c r="C541" i="4"/>
  <c r="B541" i="4"/>
  <c r="L540" i="4"/>
  <c r="I540" i="4"/>
  <c r="J540" i="4" s="1"/>
  <c r="H540" i="4"/>
  <c r="G540" i="4"/>
  <c r="E540" i="4"/>
  <c r="D540" i="4"/>
  <c r="C540" i="4"/>
  <c r="B540" i="4"/>
  <c r="L539" i="4"/>
  <c r="J539" i="4"/>
  <c r="I539" i="4"/>
  <c r="H539" i="4"/>
  <c r="G539" i="4"/>
  <c r="E539" i="4"/>
  <c r="D539" i="4"/>
  <c r="C539" i="4"/>
  <c r="B539" i="4"/>
  <c r="L538" i="4"/>
  <c r="H538" i="4"/>
  <c r="I538" i="4" s="1"/>
  <c r="J538" i="4" s="1"/>
  <c r="G538" i="4"/>
  <c r="E538" i="4"/>
  <c r="D538" i="4"/>
  <c r="C538" i="4"/>
  <c r="B538" i="4"/>
  <c r="L537" i="4"/>
  <c r="H537" i="4"/>
  <c r="I537" i="4" s="1"/>
  <c r="J537" i="4" s="1"/>
  <c r="G537" i="4"/>
  <c r="E537" i="4"/>
  <c r="D537" i="4"/>
  <c r="C537" i="4"/>
  <c r="B537" i="4"/>
  <c r="L536" i="4"/>
  <c r="I536" i="4"/>
  <c r="J536" i="4" s="1"/>
  <c r="H536" i="4"/>
  <c r="G536" i="4"/>
  <c r="E536" i="4"/>
  <c r="D536" i="4"/>
  <c r="C536" i="4"/>
  <c r="B536" i="4"/>
  <c r="L535" i="4"/>
  <c r="J535" i="4"/>
  <c r="I535" i="4"/>
  <c r="H535" i="4"/>
  <c r="G535" i="4"/>
  <c r="E535" i="4"/>
  <c r="D535" i="4"/>
  <c r="C535" i="4"/>
  <c r="B535" i="4"/>
  <c r="L534" i="4"/>
  <c r="H534" i="4"/>
  <c r="I534" i="4" s="1"/>
  <c r="J534" i="4" s="1"/>
  <c r="G534" i="4"/>
  <c r="E534" i="4"/>
  <c r="D534" i="4"/>
  <c r="C534" i="4"/>
  <c r="B534" i="4"/>
  <c r="L533" i="4"/>
  <c r="H533" i="4"/>
  <c r="I533" i="4" s="1"/>
  <c r="J533" i="4" s="1"/>
  <c r="G533" i="4"/>
  <c r="E533" i="4"/>
  <c r="D533" i="4"/>
  <c r="C533" i="4"/>
  <c r="B533" i="4"/>
  <c r="L532" i="4"/>
  <c r="I532" i="4"/>
  <c r="J532" i="4" s="1"/>
  <c r="H532" i="4"/>
  <c r="G532" i="4"/>
  <c r="E532" i="4"/>
  <c r="D532" i="4"/>
  <c r="C532" i="4"/>
  <c r="B532" i="4"/>
  <c r="L531" i="4"/>
  <c r="J531" i="4"/>
  <c r="I531" i="4"/>
  <c r="H531" i="4"/>
  <c r="G531" i="4"/>
  <c r="E531" i="4"/>
  <c r="D531" i="4"/>
  <c r="C531" i="4"/>
  <c r="B531" i="4"/>
  <c r="L530" i="4"/>
  <c r="H530" i="4"/>
  <c r="I530" i="4" s="1"/>
  <c r="J530" i="4" s="1"/>
  <c r="G530" i="4"/>
  <c r="E530" i="4"/>
  <c r="D530" i="4"/>
  <c r="C530" i="4"/>
  <c r="B530" i="4"/>
  <c r="L529" i="4"/>
  <c r="H529" i="4"/>
  <c r="I529" i="4" s="1"/>
  <c r="J529" i="4" s="1"/>
  <c r="G529" i="4"/>
  <c r="E529" i="4"/>
  <c r="D529" i="4"/>
  <c r="C529" i="4"/>
  <c r="B529" i="4"/>
  <c r="L528" i="4"/>
  <c r="I528" i="4"/>
  <c r="J528" i="4" s="1"/>
  <c r="H528" i="4"/>
  <c r="G528" i="4"/>
  <c r="E528" i="4"/>
  <c r="D528" i="4"/>
  <c r="C528" i="4"/>
  <c r="B528" i="4"/>
  <c r="L527" i="4"/>
  <c r="J527" i="4"/>
  <c r="I527" i="4"/>
  <c r="H527" i="4"/>
  <c r="G527" i="4"/>
  <c r="E527" i="4"/>
  <c r="D527" i="4"/>
  <c r="C527" i="4"/>
  <c r="B527" i="4"/>
  <c r="L526" i="4"/>
  <c r="H526" i="4"/>
  <c r="I526" i="4" s="1"/>
  <c r="J526" i="4" s="1"/>
  <c r="G526" i="4"/>
  <c r="E526" i="4"/>
  <c r="D526" i="4"/>
  <c r="C526" i="4"/>
  <c r="B526" i="4"/>
  <c r="L525" i="4"/>
  <c r="H525" i="4"/>
  <c r="I525" i="4" s="1"/>
  <c r="J525" i="4" s="1"/>
  <c r="G525" i="4"/>
  <c r="E525" i="4"/>
  <c r="D525" i="4"/>
  <c r="C525" i="4"/>
  <c r="B525" i="4"/>
  <c r="L524" i="4"/>
  <c r="I524" i="4"/>
  <c r="J524" i="4" s="1"/>
  <c r="H524" i="4"/>
  <c r="G524" i="4"/>
  <c r="E524" i="4"/>
  <c r="D524" i="4"/>
  <c r="C524" i="4"/>
  <c r="B524" i="4"/>
  <c r="L523" i="4"/>
  <c r="J523" i="4"/>
  <c r="I523" i="4"/>
  <c r="H523" i="4"/>
  <c r="G523" i="4"/>
  <c r="E523" i="4"/>
  <c r="D523" i="4"/>
  <c r="C523" i="4"/>
  <c r="B523" i="4"/>
  <c r="L522" i="4"/>
  <c r="H522" i="4"/>
  <c r="I522" i="4" s="1"/>
  <c r="J522" i="4" s="1"/>
  <c r="G522" i="4"/>
  <c r="E522" i="4"/>
  <c r="D522" i="4"/>
  <c r="C522" i="4"/>
  <c r="B522" i="4"/>
  <c r="L521" i="4"/>
  <c r="H521" i="4"/>
  <c r="I521" i="4" s="1"/>
  <c r="J521" i="4" s="1"/>
  <c r="G521" i="4"/>
  <c r="E521" i="4"/>
  <c r="D521" i="4"/>
  <c r="C521" i="4"/>
  <c r="B521" i="4"/>
  <c r="L520" i="4"/>
  <c r="I520" i="4"/>
  <c r="J520" i="4" s="1"/>
  <c r="H520" i="4"/>
  <c r="G520" i="4"/>
  <c r="E520" i="4"/>
  <c r="D520" i="4"/>
  <c r="C520" i="4"/>
  <c r="B520" i="4"/>
  <c r="L519" i="4"/>
  <c r="J519" i="4"/>
  <c r="I519" i="4"/>
  <c r="H519" i="4"/>
  <c r="G519" i="4"/>
  <c r="E519" i="4"/>
  <c r="D519" i="4"/>
  <c r="C519" i="4"/>
  <c r="B519" i="4"/>
  <c r="L518" i="4"/>
  <c r="H518" i="4"/>
  <c r="I518" i="4" s="1"/>
  <c r="J518" i="4" s="1"/>
  <c r="G518" i="4"/>
  <c r="E518" i="4"/>
  <c r="D518" i="4"/>
  <c r="C518" i="4"/>
  <c r="B518" i="4"/>
  <c r="L517" i="4"/>
  <c r="H517" i="4"/>
  <c r="I517" i="4" s="1"/>
  <c r="J517" i="4" s="1"/>
  <c r="G517" i="4"/>
  <c r="E517" i="4"/>
  <c r="D517" i="4"/>
  <c r="C517" i="4"/>
  <c r="B517" i="4"/>
  <c r="L516" i="4"/>
  <c r="I516" i="4"/>
  <c r="J516" i="4" s="1"/>
  <c r="H516" i="4"/>
  <c r="G516" i="4"/>
  <c r="E516" i="4"/>
  <c r="D516" i="4"/>
  <c r="C516" i="4"/>
  <c r="B516" i="4"/>
  <c r="L515" i="4"/>
  <c r="J515" i="4"/>
  <c r="I515" i="4"/>
  <c r="H515" i="4"/>
  <c r="G515" i="4"/>
  <c r="E515" i="4"/>
  <c r="D515" i="4"/>
  <c r="C515" i="4"/>
  <c r="B515" i="4"/>
  <c r="L514" i="4"/>
  <c r="H514" i="4"/>
  <c r="I514" i="4" s="1"/>
  <c r="J514" i="4" s="1"/>
  <c r="G514" i="4"/>
  <c r="E514" i="4"/>
  <c r="D514" i="4"/>
  <c r="C514" i="4"/>
  <c r="B514" i="4"/>
  <c r="L513" i="4"/>
  <c r="H513" i="4"/>
  <c r="I513" i="4" s="1"/>
  <c r="J513" i="4" s="1"/>
  <c r="G513" i="4"/>
  <c r="E513" i="4"/>
  <c r="D513" i="4"/>
  <c r="C513" i="4"/>
  <c r="B513" i="4"/>
  <c r="N512" i="4"/>
  <c r="M512" i="4"/>
  <c r="L512" i="4"/>
  <c r="H512" i="4"/>
  <c r="I512" i="4" s="1"/>
  <c r="J512" i="4" s="1"/>
  <c r="K1015" i="4" s="1"/>
  <c r="G512" i="4"/>
  <c r="E512" i="4"/>
  <c r="D512" i="4"/>
  <c r="C512" i="4"/>
  <c r="B512" i="4"/>
  <c r="N509" i="4"/>
  <c r="K509" i="4"/>
  <c r="J509" i="4"/>
  <c r="I509" i="4"/>
  <c r="H509" i="4"/>
  <c r="G509" i="4"/>
  <c r="E509" i="4"/>
  <c r="D509" i="4"/>
  <c r="C509" i="4"/>
  <c r="B509" i="4"/>
  <c r="N508" i="4"/>
  <c r="K508" i="4"/>
  <c r="H508" i="4"/>
  <c r="I508" i="4" s="1"/>
  <c r="J508" i="4" s="1"/>
  <c r="G508" i="4"/>
  <c r="E508" i="4"/>
  <c r="D508" i="4"/>
  <c r="C508" i="4"/>
  <c r="B508" i="4"/>
  <c r="N507" i="4"/>
  <c r="K507" i="4"/>
  <c r="J507" i="4"/>
  <c r="I507" i="4"/>
  <c r="H507" i="4"/>
  <c r="G507" i="4"/>
  <c r="E507" i="4"/>
  <c r="D507" i="4"/>
  <c r="C507" i="4"/>
  <c r="B507" i="4"/>
  <c r="N506" i="4"/>
  <c r="K506" i="4"/>
  <c r="H506" i="4"/>
  <c r="I506" i="4" s="1"/>
  <c r="J506" i="4" s="1"/>
  <c r="G506" i="4"/>
  <c r="E506" i="4"/>
  <c r="D506" i="4"/>
  <c r="C506" i="4"/>
  <c r="B506" i="4"/>
  <c r="N505" i="4"/>
  <c r="K505" i="4"/>
  <c r="J505" i="4"/>
  <c r="I505" i="4"/>
  <c r="H505" i="4"/>
  <c r="G505" i="4"/>
  <c r="E505" i="4"/>
  <c r="D505" i="4"/>
  <c r="C505" i="4"/>
  <c r="B505" i="4"/>
  <c r="N504" i="4"/>
  <c r="K504" i="4"/>
  <c r="H504" i="4"/>
  <c r="I504" i="4" s="1"/>
  <c r="J504" i="4" s="1"/>
  <c r="G504" i="4"/>
  <c r="E504" i="4"/>
  <c r="D504" i="4"/>
  <c r="C504" i="4"/>
  <c r="B504" i="4"/>
  <c r="N503" i="4"/>
  <c r="K503" i="4"/>
  <c r="J503" i="4"/>
  <c r="I503" i="4"/>
  <c r="H503" i="4"/>
  <c r="G503" i="4"/>
  <c r="E503" i="4"/>
  <c r="D503" i="4"/>
  <c r="C503" i="4"/>
  <c r="B503" i="4"/>
  <c r="N502" i="4"/>
  <c r="K502" i="4"/>
  <c r="H502" i="4"/>
  <c r="I502" i="4" s="1"/>
  <c r="J502" i="4" s="1"/>
  <c r="G502" i="4"/>
  <c r="E502" i="4"/>
  <c r="D502" i="4"/>
  <c r="C502" i="4"/>
  <c r="B502" i="4"/>
  <c r="N501" i="4"/>
  <c r="K501" i="4"/>
  <c r="J501" i="4"/>
  <c r="I501" i="4"/>
  <c r="H501" i="4"/>
  <c r="G501" i="4"/>
  <c r="E501" i="4"/>
  <c r="D501" i="4"/>
  <c r="C501" i="4"/>
  <c r="B501" i="4"/>
  <c r="N500" i="4"/>
  <c r="K500" i="4"/>
  <c r="H500" i="4"/>
  <c r="I500" i="4" s="1"/>
  <c r="J500" i="4" s="1"/>
  <c r="G500" i="4"/>
  <c r="E500" i="4"/>
  <c r="D500" i="4"/>
  <c r="C500" i="4"/>
  <c r="B500" i="4"/>
  <c r="N499" i="4"/>
  <c r="K499" i="4"/>
  <c r="J499" i="4"/>
  <c r="I499" i="4"/>
  <c r="H499" i="4"/>
  <c r="G499" i="4"/>
  <c r="E499" i="4"/>
  <c r="D499" i="4"/>
  <c r="C499" i="4"/>
  <c r="B499" i="4"/>
  <c r="N498" i="4"/>
  <c r="K498" i="4"/>
  <c r="H498" i="4"/>
  <c r="I498" i="4" s="1"/>
  <c r="J498" i="4" s="1"/>
  <c r="G498" i="4"/>
  <c r="E498" i="4"/>
  <c r="D498" i="4"/>
  <c r="C498" i="4"/>
  <c r="B498" i="4"/>
  <c r="N497" i="4"/>
  <c r="K497" i="4"/>
  <c r="J497" i="4"/>
  <c r="I497" i="4"/>
  <c r="H497" i="4"/>
  <c r="G497" i="4"/>
  <c r="E497" i="4"/>
  <c r="D497" i="4"/>
  <c r="C497" i="4"/>
  <c r="B497" i="4"/>
  <c r="N496" i="4"/>
  <c r="K496" i="4"/>
  <c r="H496" i="4"/>
  <c r="I496" i="4" s="1"/>
  <c r="J496" i="4" s="1"/>
  <c r="G496" i="4"/>
  <c r="E496" i="4"/>
  <c r="D496" i="4"/>
  <c r="C496" i="4"/>
  <c r="B496" i="4"/>
  <c r="N495" i="4"/>
  <c r="K495" i="4"/>
  <c r="J495" i="4"/>
  <c r="I495" i="4"/>
  <c r="H495" i="4"/>
  <c r="G495" i="4"/>
  <c r="E495" i="4"/>
  <c r="D495" i="4"/>
  <c r="C495" i="4"/>
  <c r="B495" i="4"/>
  <c r="N494" i="4"/>
  <c r="K494" i="4"/>
  <c r="H494" i="4"/>
  <c r="I494" i="4" s="1"/>
  <c r="J494" i="4" s="1"/>
  <c r="G494" i="4"/>
  <c r="E494" i="4"/>
  <c r="D494" i="4"/>
  <c r="C494" i="4"/>
  <c r="B494" i="4"/>
  <c r="N493" i="4"/>
  <c r="K493" i="4"/>
  <c r="J493" i="4"/>
  <c r="I493" i="4"/>
  <c r="H493" i="4"/>
  <c r="G493" i="4"/>
  <c r="E493" i="4"/>
  <c r="D493" i="4"/>
  <c r="C493" i="4"/>
  <c r="B493" i="4"/>
  <c r="N492" i="4"/>
  <c r="K492" i="4"/>
  <c r="H492" i="4"/>
  <c r="I492" i="4" s="1"/>
  <c r="J492" i="4" s="1"/>
  <c r="G492" i="4"/>
  <c r="E492" i="4"/>
  <c r="D492" i="4"/>
  <c r="C492" i="4"/>
  <c r="B492" i="4"/>
  <c r="N491" i="4"/>
  <c r="K491" i="4"/>
  <c r="J491" i="4"/>
  <c r="I491" i="4"/>
  <c r="H491" i="4"/>
  <c r="G491" i="4"/>
  <c r="E491" i="4"/>
  <c r="D491" i="4"/>
  <c r="C491" i="4"/>
  <c r="B491" i="4"/>
  <c r="N490" i="4"/>
  <c r="K490" i="4"/>
  <c r="H490" i="4"/>
  <c r="I490" i="4" s="1"/>
  <c r="J490" i="4" s="1"/>
  <c r="G490" i="4"/>
  <c r="E490" i="4"/>
  <c r="D490" i="4"/>
  <c r="C490" i="4"/>
  <c r="B490" i="4"/>
  <c r="N489" i="4"/>
  <c r="K489" i="4"/>
  <c r="J489" i="4"/>
  <c r="I489" i="4"/>
  <c r="H489" i="4"/>
  <c r="G489" i="4"/>
  <c r="E489" i="4"/>
  <c r="D489" i="4"/>
  <c r="C489" i="4"/>
  <c r="B489" i="4"/>
  <c r="N488" i="4"/>
  <c r="K488" i="4"/>
  <c r="H488" i="4"/>
  <c r="I488" i="4" s="1"/>
  <c r="J488" i="4" s="1"/>
  <c r="G488" i="4"/>
  <c r="E488" i="4"/>
  <c r="D488" i="4"/>
  <c r="C488" i="4"/>
  <c r="B488" i="4"/>
  <c r="N487" i="4"/>
  <c r="K487" i="4"/>
  <c r="J487" i="4"/>
  <c r="I487" i="4"/>
  <c r="H487" i="4"/>
  <c r="G487" i="4"/>
  <c r="E487" i="4"/>
  <c r="D487" i="4"/>
  <c r="C487" i="4"/>
  <c r="B487" i="4"/>
  <c r="N486" i="4"/>
  <c r="K486" i="4"/>
  <c r="H486" i="4"/>
  <c r="I486" i="4" s="1"/>
  <c r="J486" i="4" s="1"/>
  <c r="G486" i="4"/>
  <c r="E486" i="4"/>
  <c r="D486" i="4"/>
  <c r="C486" i="4"/>
  <c r="B486" i="4"/>
  <c r="N485" i="4"/>
  <c r="K485" i="4"/>
  <c r="J485" i="4"/>
  <c r="I485" i="4"/>
  <c r="H485" i="4"/>
  <c r="G485" i="4"/>
  <c r="E485" i="4"/>
  <c r="D485" i="4"/>
  <c r="C485" i="4"/>
  <c r="B485" i="4"/>
  <c r="N484" i="4"/>
  <c r="K484" i="4"/>
  <c r="H484" i="4"/>
  <c r="I484" i="4" s="1"/>
  <c r="J484" i="4" s="1"/>
  <c r="G484" i="4"/>
  <c r="E484" i="4"/>
  <c r="D484" i="4"/>
  <c r="C484" i="4"/>
  <c r="B484" i="4"/>
  <c r="N483" i="4"/>
  <c r="K483" i="4"/>
  <c r="J483" i="4"/>
  <c r="I483" i="4"/>
  <c r="H483" i="4"/>
  <c r="G483" i="4"/>
  <c r="E483" i="4"/>
  <c r="D483" i="4"/>
  <c r="C483" i="4"/>
  <c r="B483" i="4"/>
  <c r="N482" i="4"/>
  <c r="K482" i="4"/>
  <c r="H482" i="4"/>
  <c r="I482" i="4" s="1"/>
  <c r="J482" i="4" s="1"/>
  <c r="G482" i="4"/>
  <c r="E482" i="4"/>
  <c r="D482" i="4"/>
  <c r="C482" i="4"/>
  <c r="B482" i="4"/>
  <c r="N481" i="4"/>
  <c r="K481" i="4"/>
  <c r="J481" i="4"/>
  <c r="I481" i="4"/>
  <c r="H481" i="4"/>
  <c r="G481" i="4"/>
  <c r="E481" i="4"/>
  <c r="D481" i="4"/>
  <c r="C481" i="4"/>
  <c r="B481" i="4"/>
  <c r="N480" i="4"/>
  <c r="K480" i="4"/>
  <c r="H480" i="4"/>
  <c r="I480" i="4" s="1"/>
  <c r="J480" i="4" s="1"/>
  <c r="G480" i="4"/>
  <c r="E480" i="4"/>
  <c r="D480" i="4"/>
  <c r="C480" i="4"/>
  <c r="B480" i="4"/>
  <c r="N479" i="4"/>
  <c r="K479" i="4"/>
  <c r="J479" i="4"/>
  <c r="I479" i="4"/>
  <c r="H479" i="4"/>
  <c r="G479" i="4"/>
  <c r="E479" i="4"/>
  <c r="D479" i="4"/>
  <c r="C479" i="4"/>
  <c r="B479" i="4"/>
  <c r="N478" i="4"/>
  <c r="K478" i="4"/>
  <c r="H478" i="4"/>
  <c r="I478" i="4" s="1"/>
  <c r="J478" i="4" s="1"/>
  <c r="G478" i="4"/>
  <c r="E478" i="4"/>
  <c r="D478" i="4"/>
  <c r="C478" i="4"/>
  <c r="B478" i="4"/>
  <c r="N477" i="4"/>
  <c r="K477" i="4"/>
  <c r="J477" i="4"/>
  <c r="I477" i="4"/>
  <c r="H477" i="4"/>
  <c r="G477" i="4"/>
  <c r="E477" i="4"/>
  <c r="D477" i="4"/>
  <c r="C477" i="4"/>
  <c r="B477" i="4"/>
  <c r="N476" i="4"/>
  <c r="K476" i="4"/>
  <c r="H476" i="4"/>
  <c r="I476" i="4" s="1"/>
  <c r="J476" i="4" s="1"/>
  <c r="G476" i="4"/>
  <c r="E476" i="4"/>
  <c r="D476" i="4"/>
  <c r="C476" i="4"/>
  <c r="B476" i="4"/>
  <c r="N475" i="4"/>
  <c r="K475" i="4"/>
  <c r="J475" i="4"/>
  <c r="I475" i="4"/>
  <c r="H475" i="4"/>
  <c r="G475" i="4"/>
  <c r="E475" i="4"/>
  <c r="D475" i="4"/>
  <c r="C475" i="4"/>
  <c r="B475" i="4"/>
  <c r="N474" i="4"/>
  <c r="K474" i="4"/>
  <c r="H474" i="4"/>
  <c r="I474" i="4" s="1"/>
  <c r="J474" i="4" s="1"/>
  <c r="G474" i="4"/>
  <c r="E474" i="4"/>
  <c r="D474" i="4"/>
  <c r="C474" i="4"/>
  <c r="B474" i="4"/>
  <c r="N473" i="4"/>
  <c r="K473" i="4"/>
  <c r="J473" i="4"/>
  <c r="I473" i="4"/>
  <c r="H473" i="4"/>
  <c r="G473" i="4"/>
  <c r="E473" i="4"/>
  <c r="D473" i="4"/>
  <c r="C473" i="4"/>
  <c r="B473" i="4"/>
  <c r="N472" i="4"/>
  <c r="K472" i="4"/>
  <c r="H472" i="4"/>
  <c r="I472" i="4" s="1"/>
  <c r="J472" i="4" s="1"/>
  <c r="G472" i="4"/>
  <c r="E472" i="4"/>
  <c r="D472" i="4"/>
  <c r="C472" i="4"/>
  <c r="B472" i="4"/>
  <c r="N471" i="4"/>
  <c r="K471" i="4"/>
  <c r="J471" i="4"/>
  <c r="I471" i="4"/>
  <c r="H471" i="4"/>
  <c r="G471" i="4"/>
  <c r="E471" i="4"/>
  <c r="D471" i="4"/>
  <c r="C471" i="4"/>
  <c r="B471" i="4"/>
  <c r="N470" i="4"/>
  <c r="K470" i="4"/>
  <c r="H470" i="4"/>
  <c r="I470" i="4" s="1"/>
  <c r="J470" i="4" s="1"/>
  <c r="G470" i="4"/>
  <c r="E470" i="4"/>
  <c r="D470" i="4"/>
  <c r="C470" i="4"/>
  <c r="B470" i="4"/>
  <c r="N469" i="4"/>
  <c r="K469" i="4"/>
  <c r="J469" i="4"/>
  <c r="I469" i="4"/>
  <c r="H469" i="4"/>
  <c r="G469" i="4"/>
  <c r="E469" i="4"/>
  <c r="D469" i="4"/>
  <c r="C469" i="4"/>
  <c r="B469" i="4"/>
  <c r="N468" i="4"/>
  <c r="K468" i="4"/>
  <c r="H468" i="4"/>
  <c r="I468" i="4" s="1"/>
  <c r="J468" i="4" s="1"/>
  <c r="G468" i="4"/>
  <c r="E468" i="4"/>
  <c r="D468" i="4"/>
  <c r="C468" i="4"/>
  <c r="B468" i="4"/>
  <c r="N467" i="4"/>
  <c r="K467" i="4"/>
  <c r="J467" i="4"/>
  <c r="I467" i="4"/>
  <c r="H467" i="4"/>
  <c r="G467" i="4"/>
  <c r="E467" i="4"/>
  <c r="D467" i="4"/>
  <c r="C467" i="4"/>
  <c r="B467" i="4"/>
  <c r="N466" i="4"/>
  <c r="K466" i="4"/>
  <c r="H466" i="4"/>
  <c r="I466" i="4" s="1"/>
  <c r="J466" i="4" s="1"/>
  <c r="G466" i="4"/>
  <c r="E466" i="4"/>
  <c r="D466" i="4"/>
  <c r="C466" i="4"/>
  <c r="B466" i="4"/>
  <c r="N465" i="4"/>
  <c r="K465" i="4"/>
  <c r="J465" i="4"/>
  <c r="I465" i="4"/>
  <c r="H465" i="4"/>
  <c r="G465" i="4"/>
  <c r="E465" i="4"/>
  <c r="D465" i="4"/>
  <c r="C465" i="4"/>
  <c r="B465" i="4"/>
  <c r="N464" i="4"/>
  <c r="K464" i="4"/>
  <c r="H464" i="4"/>
  <c r="I464" i="4" s="1"/>
  <c r="J464" i="4" s="1"/>
  <c r="G464" i="4"/>
  <c r="E464" i="4"/>
  <c r="D464" i="4"/>
  <c r="C464" i="4"/>
  <c r="B464" i="4"/>
  <c r="N463" i="4"/>
  <c r="K463" i="4"/>
  <c r="J463" i="4"/>
  <c r="I463" i="4"/>
  <c r="H463" i="4"/>
  <c r="G463" i="4"/>
  <c r="E463" i="4"/>
  <c r="D463" i="4"/>
  <c r="C463" i="4"/>
  <c r="B463" i="4"/>
  <c r="N462" i="4"/>
  <c r="K462" i="4"/>
  <c r="H462" i="4"/>
  <c r="I462" i="4" s="1"/>
  <c r="J462" i="4" s="1"/>
  <c r="G462" i="4"/>
  <c r="E462" i="4"/>
  <c r="D462" i="4"/>
  <c r="C462" i="4"/>
  <c r="B462" i="4"/>
  <c r="N461" i="4"/>
  <c r="K461" i="4"/>
  <c r="J461" i="4"/>
  <c r="I461" i="4"/>
  <c r="H461" i="4"/>
  <c r="G461" i="4"/>
  <c r="E461" i="4"/>
  <c r="D461" i="4"/>
  <c r="C461" i="4"/>
  <c r="B461" i="4"/>
  <c r="N460" i="4"/>
  <c r="K460" i="4"/>
  <c r="H460" i="4"/>
  <c r="I460" i="4" s="1"/>
  <c r="J460" i="4" s="1"/>
  <c r="G460" i="4"/>
  <c r="E460" i="4"/>
  <c r="D460" i="4"/>
  <c r="C460" i="4"/>
  <c r="B460" i="4"/>
  <c r="N459" i="4"/>
  <c r="K459" i="4"/>
  <c r="J459" i="4"/>
  <c r="I459" i="4"/>
  <c r="H459" i="4"/>
  <c r="G459" i="4"/>
  <c r="E459" i="4"/>
  <c r="D459" i="4"/>
  <c r="C459" i="4"/>
  <c r="B459" i="4"/>
  <c r="N458" i="4"/>
  <c r="K458" i="4"/>
  <c r="H458" i="4"/>
  <c r="I458" i="4" s="1"/>
  <c r="J458" i="4" s="1"/>
  <c r="G458" i="4"/>
  <c r="E458" i="4"/>
  <c r="D458" i="4"/>
  <c r="C458" i="4"/>
  <c r="B458" i="4"/>
  <c r="N457" i="4"/>
  <c r="K457" i="4"/>
  <c r="J457" i="4"/>
  <c r="I457" i="4"/>
  <c r="H457" i="4"/>
  <c r="G457" i="4"/>
  <c r="E457" i="4"/>
  <c r="D457" i="4"/>
  <c r="C457" i="4"/>
  <c r="B457" i="4"/>
  <c r="N456" i="4"/>
  <c r="K456" i="4"/>
  <c r="H456" i="4"/>
  <c r="I456" i="4" s="1"/>
  <c r="J456" i="4" s="1"/>
  <c r="G456" i="4"/>
  <c r="E456" i="4"/>
  <c r="D456" i="4"/>
  <c r="C456" i="4"/>
  <c r="B456" i="4"/>
  <c r="N455" i="4"/>
  <c r="K455" i="4"/>
  <c r="J455" i="4"/>
  <c r="I455" i="4"/>
  <c r="H455" i="4"/>
  <c r="G455" i="4"/>
  <c r="E455" i="4"/>
  <c r="D455" i="4"/>
  <c r="C455" i="4"/>
  <c r="B455" i="4"/>
  <c r="N454" i="4"/>
  <c r="K454" i="4"/>
  <c r="H454" i="4"/>
  <c r="I454" i="4" s="1"/>
  <c r="J454" i="4" s="1"/>
  <c r="G454" i="4"/>
  <c r="E454" i="4"/>
  <c r="D454" i="4"/>
  <c r="C454" i="4"/>
  <c r="B454" i="4"/>
  <c r="N453" i="4"/>
  <c r="K453" i="4"/>
  <c r="J453" i="4"/>
  <c r="I453" i="4"/>
  <c r="H453" i="4"/>
  <c r="G453" i="4"/>
  <c r="E453" i="4"/>
  <c r="D453" i="4"/>
  <c r="C453" i="4"/>
  <c r="B453" i="4"/>
  <c r="N452" i="4"/>
  <c r="K452" i="4"/>
  <c r="H452" i="4"/>
  <c r="I452" i="4" s="1"/>
  <c r="J452" i="4" s="1"/>
  <c r="G452" i="4"/>
  <c r="E452" i="4"/>
  <c r="D452" i="4"/>
  <c r="C452" i="4"/>
  <c r="B452" i="4"/>
  <c r="N451" i="4"/>
  <c r="K451" i="4"/>
  <c r="J451" i="4"/>
  <c r="I451" i="4"/>
  <c r="H451" i="4"/>
  <c r="G451" i="4"/>
  <c r="E451" i="4"/>
  <c r="D451" i="4"/>
  <c r="C451" i="4"/>
  <c r="B451" i="4"/>
  <c r="N450" i="4"/>
  <c r="K450" i="4"/>
  <c r="H450" i="4"/>
  <c r="I450" i="4" s="1"/>
  <c r="J450" i="4" s="1"/>
  <c r="G450" i="4"/>
  <c r="E450" i="4"/>
  <c r="D450" i="4"/>
  <c r="C450" i="4"/>
  <c r="B450" i="4"/>
  <c r="N449" i="4"/>
  <c r="K449" i="4"/>
  <c r="J449" i="4"/>
  <c r="I449" i="4"/>
  <c r="H449" i="4"/>
  <c r="G449" i="4"/>
  <c r="E449" i="4"/>
  <c r="D449" i="4"/>
  <c r="C449" i="4"/>
  <c r="B449" i="4"/>
  <c r="N448" i="4"/>
  <c r="K448" i="4"/>
  <c r="H448" i="4"/>
  <c r="I448" i="4" s="1"/>
  <c r="J448" i="4" s="1"/>
  <c r="G448" i="4"/>
  <c r="E448" i="4"/>
  <c r="D448" i="4"/>
  <c r="C448" i="4"/>
  <c r="B448" i="4"/>
  <c r="N447" i="4"/>
  <c r="K447" i="4"/>
  <c r="J447" i="4"/>
  <c r="I447" i="4"/>
  <c r="H447" i="4"/>
  <c r="G447" i="4"/>
  <c r="E447" i="4"/>
  <c r="D447" i="4"/>
  <c r="C447" i="4"/>
  <c r="B447" i="4"/>
  <c r="N446" i="4"/>
  <c r="K446" i="4"/>
  <c r="H446" i="4"/>
  <c r="I446" i="4" s="1"/>
  <c r="J446" i="4" s="1"/>
  <c r="G446" i="4"/>
  <c r="E446" i="4"/>
  <c r="D446" i="4"/>
  <c r="C446" i="4"/>
  <c r="B446" i="4"/>
  <c r="N445" i="4"/>
  <c r="K445" i="4"/>
  <c r="J445" i="4"/>
  <c r="I445" i="4"/>
  <c r="H445" i="4"/>
  <c r="G445" i="4"/>
  <c r="E445" i="4"/>
  <c r="D445" i="4"/>
  <c r="C445" i="4"/>
  <c r="B445" i="4"/>
  <c r="N444" i="4"/>
  <c r="K444" i="4"/>
  <c r="H444" i="4"/>
  <c r="I444" i="4" s="1"/>
  <c r="J444" i="4" s="1"/>
  <c r="G444" i="4"/>
  <c r="E444" i="4"/>
  <c r="D444" i="4"/>
  <c r="C444" i="4"/>
  <c r="B444" i="4"/>
  <c r="N443" i="4"/>
  <c r="K443" i="4"/>
  <c r="J443" i="4"/>
  <c r="I443" i="4"/>
  <c r="H443" i="4"/>
  <c r="G443" i="4"/>
  <c r="E443" i="4"/>
  <c r="D443" i="4"/>
  <c r="C443" i="4"/>
  <c r="B443" i="4"/>
  <c r="N442" i="4"/>
  <c r="K442" i="4"/>
  <c r="H442" i="4"/>
  <c r="I442" i="4" s="1"/>
  <c r="J442" i="4" s="1"/>
  <c r="G442" i="4"/>
  <c r="E442" i="4"/>
  <c r="D442" i="4"/>
  <c r="C442" i="4"/>
  <c r="B442" i="4"/>
  <c r="N441" i="4"/>
  <c r="K441" i="4"/>
  <c r="J441" i="4"/>
  <c r="I441" i="4"/>
  <c r="H441" i="4"/>
  <c r="G441" i="4"/>
  <c r="E441" i="4"/>
  <c r="D441" i="4"/>
  <c r="C441" i="4"/>
  <c r="B441" i="4"/>
  <c r="N440" i="4"/>
  <c r="K440" i="4"/>
  <c r="H440" i="4"/>
  <c r="I440" i="4" s="1"/>
  <c r="J440" i="4" s="1"/>
  <c r="G440" i="4"/>
  <c r="E440" i="4"/>
  <c r="D440" i="4"/>
  <c r="C440" i="4"/>
  <c r="B440" i="4"/>
  <c r="N439" i="4"/>
  <c r="K439" i="4"/>
  <c r="J439" i="4"/>
  <c r="I439" i="4"/>
  <c r="H439" i="4"/>
  <c r="G439" i="4"/>
  <c r="E439" i="4"/>
  <c r="D439" i="4"/>
  <c r="C439" i="4"/>
  <c r="B439" i="4"/>
  <c r="N438" i="4"/>
  <c r="K438" i="4"/>
  <c r="H438" i="4"/>
  <c r="I438" i="4" s="1"/>
  <c r="J438" i="4" s="1"/>
  <c r="G438" i="4"/>
  <c r="E438" i="4"/>
  <c r="D438" i="4"/>
  <c r="C438" i="4"/>
  <c r="B438" i="4"/>
  <c r="N437" i="4"/>
  <c r="K437" i="4"/>
  <c r="J437" i="4"/>
  <c r="I437" i="4"/>
  <c r="H437" i="4"/>
  <c r="G437" i="4"/>
  <c r="E437" i="4"/>
  <c r="D437" i="4"/>
  <c r="C437" i="4"/>
  <c r="B437" i="4"/>
  <c r="N436" i="4"/>
  <c r="K436" i="4"/>
  <c r="H436" i="4"/>
  <c r="I436" i="4" s="1"/>
  <c r="J436" i="4" s="1"/>
  <c r="G436" i="4"/>
  <c r="E436" i="4"/>
  <c r="D436" i="4"/>
  <c r="C436" i="4"/>
  <c r="B436" i="4"/>
  <c r="N435" i="4"/>
  <c r="K435" i="4"/>
  <c r="J435" i="4"/>
  <c r="I435" i="4"/>
  <c r="H435" i="4"/>
  <c r="G435" i="4"/>
  <c r="E435" i="4"/>
  <c r="D435" i="4"/>
  <c r="C435" i="4"/>
  <c r="B435" i="4"/>
  <c r="N434" i="4"/>
  <c r="K434" i="4"/>
  <c r="H434" i="4"/>
  <c r="I434" i="4" s="1"/>
  <c r="J434" i="4" s="1"/>
  <c r="G434" i="4"/>
  <c r="E434" i="4"/>
  <c r="D434" i="4"/>
  <c r="C434" i="4"/>
  <c r="B434" i="4"/>
  <c r="N433" i="4"/>
  <c r="K433" i="4"/>
  <c r="J433" i="4"/>
  <c r="I433" i="4"/>
  <c r="H433" i="4"/>
  <c r="G433" i="4"/>
  <c r="E433" i="4"/>
  <c r="D433" i="4"/>
  <c r="C433" i="4"/>
  <c r="B433" i="4"/>
  <c r="N432" i="4"/>
  <c r="K432" i="4"/>
  <c r="H432" i="4"/>
  <c r="I432" i="4" s="1"/>
  <c r="J432" i="4" s="1"/>
  <c r="G432" i="4"/>
  <c r="E432" i="4"/>
  <c r="D432" i="4"/>
  <c r="C432" i="4"/>
  <c r="B432" i="4"/>
  <c r="N431" i="4"/>
  <c r="K431" i="4"/>
  <c r="J431" i="4"/>
  <c r="I431" i="4"/>
  <c r="H431" i="4"/>
  <c r="G431" i="4"/>
  <c r="E431" i="4"/>
  <c r="D431" i="4"/>
  <c r="C431" i="4"/>
  <c r="B431" i="4"/>
  <c r="N430" i="4"/>
  <c r="K430" i="4"/>
  <c r="H430" i="4"/>
  <c r="I430" i="4" s="1"/>
  <c r="J430" i="4" s="1"/>
  <c r="G430" i="4"/>
  <c r="E430" i="4"/>
  <c r="D430" i="4"/>
  <c r="C430" i="4"/>
  <c r="B430" i="4"/>
  <c r="N429" i="4"/>
  <c r="K429" i="4"/>
  <c r="J429" i="4"/>
  <c r="I429" i="4"/>
  <c r="H429" i="4"/>
  <c r="G429" i="4"/>
  <c r="E429" i="4"/>
  <c r="D429" i="4"/>
  <c r="C429" i="4"/>
  <c r="B429" i="4"/>
  <c r="N428" i="4"/>
  <c r="K428" i="4"/>
  <c r="H428" i="4"/>
  <c r="I428" i="4" s="1"/>
  <c r="J428" i="4" s="1"/>
  <c r="G428" i="4"/>
  <c r="E428" i="4"/>
  <c r="D428" i="4"/>
  <c r="C428" i="4"/>
  <c r="B428" i="4"/>
  <c r="N427" i="4"/>
  <c r="K427" i="4"/>
  <c r="J427" i="4"/>
  <c r="I427" i="4"/>
  <c r="H427" i="4"/>
  <c r="G427" i="4"/>
  <c r="E427" i="4"/>
  <c r="D427" i="4"/>
  <c r="C427" i="4"/>
  <c r="B427" i="4"/>
  <c r="N426" i="4"/>
  <c r="K426" i="4"/>
  <c r="H426" i="4"/>
  <c r="I426" i="4" s="1"/>
  <c r="J426" i="4" s="1"/>
  <c r="G426" i="4"/>
  <c r="E426" i="4"/>
  <c r="D426" i="4"/>
  <c r="C426" i="4"/>
  <c r="B426" i="4"/>
  <c r="N425" i="4"/>
  <c r="K425" i="4"/>
  <c r="J425" i="4"/>
  <c r="I425" i="4"/>
  <c r="H425" i="4"/>
  <c r="G425" i="4"/>
  <c r="E425" i="4"/>
  <c r="D425" i="4"/>
  <c r="C425" i="4"/>
  <c r="B425" i="4"/>
  <c r="N424" i="4"/>
  <c r="K424" i="4"/>
  <c r="H424" i="4"/>
  <c r="I424" i="4" s="1"/>
  <c r="J424" i="4" s="1"/>
  <c r="G424" i="4"/>
  <c r="E424" i="4"/>
  <c r="D424" i="4"/>
  <c r="C424" i="4"/>
  <c r="B424" i="4"/>
  <c r="N423" i="4"/>
  <c r="K423" i="4"/>
  <c r="J423" i="4"/>
  <c r="I423" i="4"/>
  <c r="H423" i="4"/>
  <c r="G423" i="4"/>
  <c r="E423" i="4"/>
  <c r="D423" i="4"/>
  <c r="C423" i="4"/>
  <c r="B423" i="4"/>
  <c r="N422" i="4"/>
  <c r="K422" i="4"/>
  <c r="H422" i="4"/>
  <c r="I422" i="4" s="1"/>
  <c r="J422" i="4" s="1"/>
  <c r="G422" i="4"/>
  <c r="E422" i="4"/>
  <c r="D422" i="4"/>
  <c r="C422" i="4"/>
  <c r="B422" i="4"/>
  <c r="N421" i="4"/>
  <c r="K421" i="4"/>
  <c r="J421" i="4"/>
  <c r="I421" i="4"/>
  <c r="H421" i="4"/>
  <c r="G421" i="4"/>
  <c r="E421" i="4"/>
  <c r="D421" i="4"/>
  <c r="C421" i="4"/>
  <c r="B421" i="4"/>
  <c r="N420" i="4"/>
  <c r="K420" i="4"/>
  <c r="H420" i="4"/>
  <c r="I420" i="4" s="1"/>
  <c r="J420" i="4" s="1"/>
  <c r="G420" i="4"/>
  <c r="E420" i="4"/>
  <c r="D420" i="4"/>
  <c r="C420" i="4"/>
  <c r="B420" i="4"/>
  <c r="N419" i="4"/>
  <c r="K419" i="4"/>
  <c r="J419" i="4"/>
  <c r="I419" i="4"/>
  <c r="H419" i="4"/>
  <c r="G419" i="4"/>
  <c r="E419" i="4"/>
  <c r="D419" i="4"/>
  <c r="C419" i="4"/>
  <c r="B419" i="4"/>
  <c r="N418" i="4"/>
  <c r="K418" i="4"/>
  <c r="H418" i="4"/>
  <c r="I418" i="4" s="1"/>
  <c r="J418" i="4" s="1"/>
  <c r="G418" i="4"/>
  <c r="E418" i="4"/>
  <c r="D418" i="4"/>
  <c r="C418" i="4"/>
  <c r="B418" i="4"/>
  <c r="N417" i="4"/>
  <c r="K417" i="4"/>
  <c r="J417" i="4"/>
  <c r="I417" i="4"/>
  <c r="H417" i="4"/>
  <c r="G417" i="4"/>
  <c r="E417" i="4"/>
  <c r="D417" i="4"/>
  <c r="C417" i="4"/>
  <c r="B417" i="4"/>
  <c r="N416" i="4"/>
  <c r="K416" i="4"/>
  <c r="H416" i="4"/>
  <c r="I416" i="4" s="1"/>
  <c r="J416" i="4" s="1"/>
  <c r="G416" i="4"/>
  <c r="E416" i="4"/>
  <c r="D416" i="4"/>
  <c r="C416" i="4"/>
  <c r="B416" i="4"/>
  <c r="N415" i="4"/>
  <c r="K415" i="4"/>
  <c r="J415" i="4"/>
  <c r="I415" i="4"/>
  <c r="H415" i="4"/>
  <c r="G415" i="4"/>
  <c r="E415" i="4"/>
  <c r="D415" i="4"/>
  <c r="C415" i="4"/>
  <c r="B415" i="4"/>
  <c r="N414" i="4"/>
  <c r="K414" i="4"/>
  <c r="H414" i="4"/>
  <c r="I414" i="4" s="1"/>
  <c r="J414" i="4" s="1"/>
  <c r="G414" i="4"/>
  <c r="E414" i="4"/>
  <c r="D414" i="4"/>
  <c r="C414" i="4"/>
  <c r="B414" i="4"/>
  <c r="N413" i="4"/>
  <c r="K413" i="4"/>
  <c r="J413" i="4"/>
  <c r="I413" i="4"/>
  <c r="H413" i="4"/>
  <c r="G413" i="4"/>
  <c r="E413" i="4"/>
  <c r="D413" i="4"/>
  <c r="C413" i="4"/>
  <c r="B413" i="4"/>
  <c r="N412" i="4"/>
  <c r="K412" i="4"/>
  <c r="H412" i="4"/>
  <c r="I412" i="4" s="1"/>
  <c r="J412" i="4" s="1"/>
  <c r="G412" i="4"/>
  <c r="E412" i="4"/>
  <c r="D412" i="4"/>
  <c r="C412" i="4"/>
  <c r="B412" i="4"/>
  <c r="N411" i="4"/>
  <c r="K411" i="4"/>
  <c r="J411" i="4"/>
  <c r="I411" i="4"/>
  <c r="H411" i="4"/>
  <c r="G411" i="4"/>
  <c r="E411" i="4"/>
  <c r="D411" i="4"/>
  <c r="C411" i="4"/>
  <c r="B411" i="4"/>
  <c r="N410" i="4"/>
  <c r="K410" i="4"/>
  <c r="H410" i="4"/>
  <c r="I410" i="4" s="1"/>
  <c r="J410" i="4" s="1"/>
  <c r="G410" i="4"/>
  <c r="E410" i="4"/>
  <c r="D410" i="4"/>
  <c r="C410" i="4"/>
  <c r="B410" i="4"/>
  <c r="N409" i="4"/>
  <c r="K409" i="4"/>
  <c r="J409" i="4"/>
  <c r="I409" i="4"/>
  <c r="H409" i="4"/>
  <c r="G409" i="4"/>
  <c r="E409" i="4"/>
  <c r="D409" i="4"/>
  <c r="C409" i="4"/>
  <c r="B409" i="4"/>
  <c r="N408" i="4"/>
  <c r="K408" i="4"/>
  <c r="H408" i="4"/>
  <c r="I408" i="4" s="1"/>
  <c r="J408" i="4" s="1"/>
  <c r="G408" i="4"/>
  <c r="E408" i="4"/>
  <c r="D408" i="4"/>
  <c r="C408" i="4"/>
  <c r="B408" i="4"/>
  <c r="N407" i="4"/>
  <c r="K407" i="4"/>
  <c r="J407" i="4"/>
  <c r="I407" i="4"/>
  <c r="H407" i="4"/>
  <c r="G407" i="4"/>
  <c r="E407" i="4"/>
  <c r="D407" i="4"/>
  <c r="C407" i="4"/>
  <c r="B407" i="4"/>
  <c r="N406" i="4"/>
  <c r="K406" i="4"/>
  <c r="H406" i="4"/>
  <c r="I406" i="4" s="1"/>
  <c r="J406" i="4" s="1"/>
  <c r="G406" i="4"/>
  <c r="E406" i="4"/>
  <c r="D406" i="4"/>
  <c r="C406" i="4"/>
  <c r="B406" i="4"/>
  <c r="N405" i="4"/>
  <c r="K405" i="4"/>
  <c r="J405" i="4"/>
  <c r="I405" i="4"/>
  <c r="H405" i="4"/>
  <c r="G405" i="4"/>
  <c r="E405" i="4"/>
  <c r="D405" i="4"/>
  <c r="C405" i="4"/>
  <c r="B405" i="4"/>
  <c r="N404" i="4"/>
  <c r="K404" i="4"/>
  <c r="H404" i="4"/>
  <c r="I404" i="4" s="1"/>
  <c r="J404" i="4" s="1"/>
  <c r="G404" i="4"/>
  <c r="E404" i="4"/>
  <c r="D404" i="4"/>
  <c r="C404" i="4"/>
  <c r="B404" i="4"/>
  <c r="N403" i="4"/>
  <c r="K403" i="4"/>
  <c r="J403" i="4"/>
  <c r="I403" i="4"/>
  <c r="H403" i="4"/>
  <c r="G403" i="4"/>
  <c r="E403" i="4"/>
  <c r="D403" i="4"/>
  <c r="C403" i="4"/>
  <c r="B403" i="4"/>
  <c r="N402" i="4"/>
  <c r="K402" i="4"/>
  <c r="H402" i="4"/>
  <c r="I402" i="4" s="1"/>
  <c r="J402" i="4" s="1"/>
  <c r="G402" i="4"/>
  <c r="E402" i="4"/>
  <c r="D402" i="4"/>
  <c r="C402" i="4"/>
  <c r="B402" i="4"/>
  <c r="N401" i="4"/>
  <c r="K401" i="4"/>
  <c r="J401" i="4"/>
  <c r="I401" i="4"/>
  <c r="H401" i="4"/>
  <c r="G401" i="4"/>
  <c r="E401" i="4"/>
  <c r="D401" i="4"/>
  <c r="C401" i="4"/>
  <c r="B401" i="4"/>
  <c r="N400" i="4"/>
  <c r="K400" i="4"/>
  <c r="H400" i="4"/>
  <c r="I400" i="4" s="1"/>
  <c r="J400" i="4" s="1"/>
  <c r="G400" i="4"/>
  <c r="E400" i="4"/>
  <c r="D400" i="4"/>
  <c r="C400" i="4"/>
  <c r="B400" i="4"/>
  <c r="N399" i="4"/>
  <c r="K399" i="4"/>
  <c r="J399" i="4"/>
  <c r="I399" i="4"/>
  <c r="H399" i="4"/>
  <c r="G399" i="4"/>
  <c r="E399" i="4"/>
  <c r="D399" i="4"/>
  <c r="C399" i="4"/>
  <c r="B399" i="4"/>
  <c r="N398" i="4"/>
  <c r="K398" i="4"/>
  <c r="H398" i="4"/>
  <c r="I398" i="4" s="1"/>
  <c r="J398" i="4" s="1"/>
  <c r="G398" i="4"/>
  <c r="E398" i="4"/>
  <c r="D398" i="4"/>
  <c r="C398" i="4"/>
  <c r="B398" i="4"/>
  <c r="N397" i="4"/>
  <c r="K397" i="4"/>
  <c r="J397" i="4"/>
  <c r="I397" i="4"/>
  <c r="H397" i="4"/>
  <c r="G397" i="4"/>
  <c r="E397" i="4"/>
  <c r="D397" i="4"/>
  <c r="C397" i="4"/>
  <c r="B397" i="4"/>
  <c r="N396" i="4"/>
  <c r="K396" i="4"/>
  <c r="H396" i="4"/>
  <c r="I396" i="4" s="1"/>
  <c r="J396" i="4" s="1"/>
  <c r="G396" i="4"/>
  <c r="E396" i="4"/>
  <c r="D396" i="4"/>
  <c r="C396" i="4"/>
  <c r="B396" i="4"/>
  <c r="N395" i="4"/>
  <c r="K395" i="4"/>
  <c r="J395" i="4"/>
  <c r="I395" i="4"/>
  <c r="H395" i="4"/>
  <c r="G395" i="4"/>
  <c r="E395" i="4"/>
  <c r="D395" i="4"/>
  <c r="C395" i="4"/>
  <c r="B395" i="4"/>
  <c r="N394" i="4"/>
  <c r="K394" i="4"/>
  <c r="H394" i="4"/>
  <c r="I394" i="4" s="1"/>
  <c r="J394" i="4" s="1"/>
  <c r="G394" i="4"/>
  <c r="E394" i="4"/>
  <c r="D394" i="4"/>
  <c r="C394" i="4"/>
  <c r="B394" i="4"/>
  <c r="N393" i="4"/>
  <c r="K393" i="4"/>
  <c r="J393" i="4"/>
  <c r="I393" i="4"/>
  <c r="H393" i="4"/>
  <c r="G393" i="4"/>
  <c r="E393" i="4"/>
  <c r="D393" i="4"/>
  <c r="C393" i="4"/>
  <c r="B393" i="4"/>
  <c r="N392" i="4"/>
  <c r="K392" i="4"/>
  <c r="H392" i="4"/>
  <c r="I392" i="4" s="1"/>
  <c r="J392" i="4" s="1"/>
  <c r="G392" i="4"/>
  <c r="E392" i="4"/>
  <c r="D392" i="4"/>
  <c r="C392" i="4"/>
  <c r="B392" i="4"/>
  <c r="N391" i="4"/>
  <c r="K391" i="4"/>
  <c r="J391" i="4"/>
  <c r="I391" i="4"/>
  <c r="H391" i="4"/>
  <c r="G391" i="4"/>
  <c r="E391" i="4"/>
  <c r="D391" i="4"/>
  <c r="C391" i="4"/>
  <c r="B391" i="4"/>
  <c r="N390" i="4"/>
  <c r="K390" i="4"/>
  <c r="H390" i="4"/>
  <c r="I390" i="4" s="1"/>
  <c r="J390" i="4" s="1"/>
  <c r="G390" i="4"/>
  <c r="E390" i="4"/>
  <c r="D390" i="4"/>
  <c r="C390" i="4"/>
  <c r="B390" i="4"/>
  <c r="N389" i="4"/>
  <c r="K389" i="4"/>
  <c r="J389" i="4"/>
  <c r="I389" i="4"/>
  <c r="H389" i="4"/>
  <c r="G389" i="4"/>
  <c r="E389" i="4"/>
  <c r="D389" i="4"/>
  <c r="C389" i="4"/>
  <c r="B389" i="4"/>
  <c r="N388" i="4"/>
  <c r="K388" i="4"/>
  <c r="H388" i="4"/>
  <c r="I388" i="4" s="1"/>
  <c r="J388" i="4" s="1"/>
  <c r="G388" i="4"/>
  <c r="E388" i="4"/>
  <c r="D388" i="4"/>
  <c r="C388" i="4"/>
  <c r="B388" i="4"/>
  <c r="N387" i="4"/>
  <c r="K387" i="4"/>
  <c r="J387" i="4"/>
  <c r="I387" i="4"/>
  <c r="H387" i="4"/>
  <c r="G387" i="4"/>
  <c r="E387" i="4"/>
  <c r="D387" i="4"/>
  <c r="C387" i="4"/>
  <c r="B387" i="4"/>
  <c r="N386" i="4"/>
  <c r="K386" i="4"/>
  <c r="H386" i="4"/>
  <c r="I386" i="4" s="1"/>
  <c r="J386" i="4" s="1"/>
  <c r="G386" i="4"/>
  <c r="E386" i="4"/>
  <c r="D386" i="4"/>
  <c r="C386" i="4"/>
  <c r="B386" i="4"/>
  <c r="N385" i="4"/>
  <c r="K385" i="4"/>
  <c r="J385" i="4"/>
  <c r="I385" i="4"/>
  <c r="H385" i="4"/>
  <c r="G385" i="4"/>
  <c r="E385" i="4"/>
  <c r="D385" i="4"/>
  <c r="C385" i="4"/>
  <c r="B385" i="4"/>
  <c r="N384" i="4"/>
  <c r="K384" i="4"/>
  <c r="H384" i="4"/>
  <c r="I384" i="4" s="1"/>
  <c r="J384" i="4" s="1"/>
  <c r="G384" i="4"/>
  <c r="E384" i="4"/>
  <c r="D384" i="4"/>
  <c r="C384" i="4"/>
  <c r="B384" i="4"/>
  <c r="N383" i="4"/>
  <c r="K383" i="4"/>
  <c r="J383" i="4"/>
  <c r="I383" i="4"/>
  <c r="H383" i="4"/>
  <c r="G383" i="4"/>
  <c r="E383" i="4"/>
  <c r="D383" i="4"/>
  <c r="C383" i="4"/>
  <c r="B383" i="4"/>
  <c r="N382" i="4"/>
  <c r="K382" i="4"/>
  <c r="H382" i="4"/>
  <c r="I382" i="4" s="1"/>
  <c r="J382" i="4" s="1"/>
  <c r="G382" i="4"/>
  <c r="E382" i="4"/>
  <c r="D382" i="4"/>
  <c r="C382" i="4"/>
  <c r="B382" i="4"/>
  <c r="N381" i="4"/>
  <c r="K381" i="4"/>
  <c r="J381" i="4"/>
  <c r="I381" i="4"/>
  <c r="H381" i="4"/>
  <c r="G381" i="4"/>
  <c r="E381" i="4"/>
  <c r="D381" i="4"/>
  <c r="C381" i="4"/>
  <c r="B381" i="4"/>
  <c r="N380" i="4"/>
  <c r="K380" i="4"/>
  <c r="H380" i="4"/>
  <c r="I380" i="4" s="1"/>
  <c r="J380" i="4" s="1"/>
  <c r="G380" i="4"/>
  <c r="E380" i="4"/>
  <c r="D380" i="4"/>
  <c r="C380" i="4"/>
  <c r="B380" i="4"/>
  <c r="N379" i="4"/>
  <c r="K379" i="4"/>
  <c r="J379" i="4"/>
  <c r="I379" i="4"/>
  <c r="H379" i="4"/>
  <c r="G379" i="4"/>
  <c r="E379" i="4"/>
  <c r="D379" i="4"/>
  <c r="C379" i="4"/>
  <c r="B379" i="4"/>
  <c r="N378" i="4"/>
  <c r="K378" i="4"/>
  <c r="H378" i="4"/>
  <c r="I378" i="4" s="1"/>
  <c r="J378" i="4" s="1"/>
  <c r="G378" i="4"/>
  <c r="E378" i="4"/>
  <c r="D378" i="4"/>
  <c r="C378" i="4"/>
  <c r="B378" i="4"/>
  <c r="N377" i="4"/>
  <c r="K377" i="4"/>
  <c r="J377" i="4"/>
  <c r="I377" i="4"/>
  <c r="H377" i="4"/>
  <c r="G377" i="4"/>
  <c r="E377" i="4"/>
  <c r="D377" i="4"/>
  <c r="C377" i="4"/>
  <c r="B377" i="4"/>
  <c r="N376" i="4"/>
  <c r="K376" i="4"/>
  <c r="H376" i="4"/>
  <c r="I376" i="4" s="1"/>
  <c r="J376" i="4" s="1"/>
  <c r="G376" i="4"/>
  <c r="E376" i="4"/>
  <c r="D376" i="4"/>
  <c r="C376" i="4"/>
  <c r="B376" i="4"/>
  <c r="N375" i="4"/>
  <c r="K375" i="4"/>
  <c r="J375" i="4"/>
  <c r="I375" i="4"/>
  <c r="H375" i="4"/>
  <c r="G375" i="4"/>
  <c r="E375" i="4"/>
  <c r="D375" i="4"/>
  <c r="C375" i="4"/>
  <c r="B375" i="4"/>
  <c r="N374" i="4"/>
  <c r="K374" i="4"/>
  <c r="H374" i="4"/>
  <c r="I374" i="4" s="1"/>
  <c r="J374" i="4" s="1"/>
  <c r="G374" i="4"/>
  <c r="E374" i="4"/>
  <c r="D374" i="4"/>
  <c r="C374" i="4"/>
  <c r="B374" i="4"/>
  <c r="N373" i="4"/>
  <c r="K373" i="4"/>
  <c r="J373" i="4"/>
  <c r="I373" i="4"/>
  <c r="H373" i="4"/>
  <c r="G373" i="4"/>
  <c r="E373" i="4"/>
  <c r="D373" i="4"/>
  <c r="C373" i="4"/>
  <c r="B373" i="4"/>
  <c r="N372" i="4"/>
  <c r="K372" i="4"/>
  <c r="H372" i="4"/>
  <c r="I372" i="4" s="1"/>
  <c r="J372" i="4" s="1"/>
  <c r="G372" i="4"/>
  <c r="E372" i="4"/>
  <c r="D372" i="4"/>
  <c r="C372" i="4"/>
  <c r="B372" i="4"/>
  <c r="N371" i="4"/>
  <c r="K371" i="4"/>
  <c r="J371" i="4"/>
  <c r="I371" i="4"/>
  <c r="H371" i="4"/>
  <c r="G371" i="4"/>
  <c r="E371" i="4"/>
  <c r="D371" i="4"/>
  <c r="C371" i="4"/>
  <c r="B371" i="4"/>
  <c r="N370" i="4"/>
  <c r="K370" i="4"/>
  <c r="H370" i="4"/>
  <c r="I370" i="4" s="1"/>
  <c r="J370" i="4" s="1"/>
  <c r="G370" i="4"/>
  <c r="E370" i="4"/>
  <c r="D370" i="4"/>
  <c r="C370" i="4"/>
  <c r="B370" i="4"/>
  <c r="N369" i="4"/>
  <c r="K369" i="4"/>
  <c r="J369" i="4"/>
  <c r="I369" i="4"/>
  <c r="H369" i="4"/>
  <c r="G369" i="4"/>
  <c r="E369" i="4"/>
  <c r="D369" i="4"/>
  <c r="C369" i="4"/>
  <c r="B369" i="4"/>
  <c r="N368" i="4"/>
  <c r="K368" i="4"/>
  <c r="H368" i="4"/>
  <c r="I368" i="4" s="1"/>
  <c r="J368" i="4" s="1"/>
  <c r="G368" i="4"/>
  <c r="E368" i="4"/>
  <c r="D368" i="4"/>
  <c r="C368" i="4"/>
  <c r="B368" i="4"/>
  <c r="N367" i="4"/>
  <c r="K367" i="4"/>
  <c r="J367" i="4"/>
  <c r="I367" i="4"/>
  <c r="H367" i="4"/>
  <c r="G367" i="4"/>
  <c r="E367" i="4"/>
  <c r="D367" i="4"/>
  <c r="C367" i="4"/>
  <c r="B367" i="4"/>
  <c r="N366" i="4"/>
  <c r="K366" i="4"/>
  <c r="H366" i="4"/>
  <c r="I366" i="4" s="1"/>
  <c r="J366" i="4" s="1"/>
  <c r="G366" i="4"/>
  <c r="E366" i="4"/>
  <c r="D366" i="4"/>
  <c r="C366" i="4"/>
  <c r="B366" i="4"/>
  <c r="N365" i="4"/>
  <c r="K365" i="4"/>
  <c r="J365" i="4"/>
  <c r="I365" i="4"/>
  <c r="H365" i="4"/>
  <c r="G365" i="4"/>
  <c r="E365" i="4"/>
  <c r="D365" i="4"/>
  <c r="C365" i="4"/>
  <c r="B365" i="4"/>
  <c r="N364" i="4"/>
  <c r="K364" i="4"/>
  <c r="H364" i="4"/>
  <c r="I364" i="4" s="1"/>
  <c r="J364" i="4" s="1"/>
  <c r="G364" i="4"/>
  <c r="E364" i="4"/>
  <c r="D364" i="4"/>
  <c r="C364" i="4"/>
  <c r="B364" i="4"/>
  <c r="N363" i="4"/>
  <c r="K363" i="4"/>
  <c r="J363" i="4"/>
  <c r="I363" i="4"/>
  <c r="H363" i="4"/>
  <c r="G363" i="4"/>
  <c r="E363" i="4"/>
  <c r="D363" i="4"/>
  <c r="C363" i="4"/>
  <c r="B363" i="4"/>
  <c r="N362" i="4"/>
  <c r="K362" i="4"/>
  <c r="H362" i="4"/>
  <c r="I362" i="4" s="1"/>
  <c r="J362" i="4" s="1"/>
  <c r="G362" i="4"/>
  <c r="E362" i="4"/>
  <c r="D362" i="4"/>
  <c r="C362" i="4"/>
  <c r="B362" i="4"/>
  <c r="N361" i="4"/>
  <c r="K361" i="4"/>
  <c r="J361" i="4"/>
  <c r="I361" i="4"/>
  <c r="H361" i="4"/>
  <c r="G361" i="4"/>
  <c r="E361" i="4"/>
  <c r="D361" i="4"/>
  <c r="C361" i="4"/>
  <c r="B361" i="4"/>
  <c r="N360" i="4"/>
  <c r="K360" i="4"/>
  <c r="H360" i="4"/>
  <c r="I360" i="4" s="1"/>
  <c r="J360" i="4" s="1"/>
  <c r="G360" i="4"/>
  <c r="E360" i="4"/>
  <c r="D360" i="4"/>
  <c r="C360" i="4"/>
  <c r="B360" i="4"/>
  <c r="N359" i="4"/>
  <c r="K359" i="4"/>
  <c r="J359" i="4"/>
  <c r="I359" i="4"/>
  <c r="H359" i="4"/>
  <c r="G359" i="4"/>
  <c r="E359" i="4"/>
  <c r="D359" i="4"/>
  <c r="C359" i="4"/>
  <c r="B359" i="4"/>
  <c r="N358" i="4"/>
  <c r="K358" i="4"/>
  <c r="H358" i="4"/>
  <c r="I358" i="4" s="1"/>
  <c r="J358" i="4" s="1"/>
  <c r="G358" i="4"/>
  <c r="E358" i="4"/>
  <c r="D358" i="4"/>
  <c r="C358" i="4"/>
  <c r="B358" i="4"/>
  <c r="N357" i="4"/>
  <c r="K357" i="4"/>
  <c r="J357" i="4"/>
  <c r="I357" i="4"/>
  <c r="H357" i="4"/>
  <c r="G357" i="4"/>
  <c r="E357" i="4"/>
  <c r="D357" i="4"/>
  <c r="C357" i="4"/>
  <c r="B357" i="4"/>
  <c r="N356" i="4"/>
  <c r="K356" i="4"/>
  <c r="H356" i="4"/>
  <c r="I356" i="4" s="1"/>
  <c r="J356" i="4" s="1"/>
  <c r="G356" i="4"/>
  <c r="E356" i="4"/>
  <c r="D356" i="4"/>
  <c r="C356" i="4"/>
  <c r="B356" i="4"/>
  <c r="N355" i="4"/>
  <c r="K355" i="4"/>
  <c r="J355" i="4"/>
  <c r="I355" i="4"/>
  <c r="H355" i="4"/>
  <c r="G355" i="4"/>
  <c r="E355" i="4"/>
  <c r="D355" i="4"/>
  <c r="C355" i="4"/>
  <c r="B355" i="4"/>
  <c r="N354" i="4"/>
  <c r="K354" i="4"/>
  <c r="H354" i="4"/>
  <c r="I354" i="4" s="1"/>
  <c r="J354" i="4" s="1"/>
  <c r="G354" i="4"/>
  <c r="E354" i="4"/>
  <c r="D354" i="4"/>
  <c r="C354" i="4"/>
  <c r="B354" i="4"/>
  <c r="N353" i="4"/>
  <c r="K353" i="4"/>
  <c r="J353" i="4"/>
  <c r="I353" i="4"/>
  <c r="H353" i="4"/>
  <c r="G353" i="4"/>
  <c r="E353" i="4"/>
  <c r="D353" i="4"/>
  <c r="C353" i="4"/>
  <c r="B353" i="4"/>
  <c r="N352" i="4"/>
  <c r="K352" i="4"/>
  <c r="H352" i="4"/>
  <c r="I352" i="4" s="1"/>
  <c r="J352" i="4" s="1"/>
  <c r="G352" i="4"/>
  <c r="E352" i="4"/>
  <c r="D352" i="4"/>
  <c r="C352" i="4"/>
  <c r="B352" i="4"/>
  <c r="N351" i="4"/>
  <c r="K351" i="4"/>
  <c r="J351" i="4"/>
  <c r="I351" i="4"/>
  <c r="H351" i="4"/>
  <c r="G351" i="4"/>
  <c r="E351" i="4"/>
  <c r="D351" i="4"/>
  <c r="C351" i="4"/>
  <c r="B351" i="4"/>
  <c r="N350" i="4"/>
  <c r="K350" i="4"/>
  <c r="H350" i="4"/>
  <c r="I350" i="4" s="1"/>
  <c r="J350" i="4" s="1"/>
  <c r="G350" i="4"/>
  <c r="E350" i="4"/>
  <c r="D350" i="4"/>
  <c r="C350" i="4"/>
  <c r="B350" i="4"/>
  <c r="N349" i="4"/>
  <c r="K349" i="4"/>
  <c r="J349" i="4"/>
  <c r="I349" i="4"/>
  <c r="H349" i="4"/>
  <c r="G349" i="4"/>
  <c r="E349" i="4"/>
  <c r="D349" i="4"/>
  <c r="C349" i="4"/>
  <c r="B349" i="4"/>
  <c r="N348" i="4"/>
  <c r="K348" i="4"/>
  <c r="H348" i="4"/>
  <c r="I348" i="4" s="1"/>
  <c r="J348" i="4" s="1"/>
  <c r="G348" i="4"/>
  <c r="E348" i="4"/>
  <c r="D348" i="4"/>
  <c r="C348" i="4"/>
  <c r="B348" i="4"/>
  <c r="N347" i="4"/>
  <c r="K347" i="4"/>
  <c r="J347" i="4"/>
  <c r="I347" i="4"/>
  <c r="H347" i="4"/>
  <c r="G347" i="4"/>
  <c r="E347" i="4"/>
  <c r="D347" i="4"/>
  <c r="C347" i="4"/>
  <c r="B347" i="4"/>
  <c r="N346" i="4"/>
  <c r="K346" i="4"/>
  <c r="H346" i="4"/>
  <c r="I346" i="4" s="1"/>
  <c r="J346" i="4" s="1"/>
  <c r="G346" i="4"/>
  <c r="E346" i="4"/>
  <c r="D346" i="4"/>
  <c r="C346" i="4"/>
  <c r="B346" i="4"/>
  <c r="N345" i="4"/>
  <c r="K345" i="4"/>
  <c r="J345" i="4"/>
  <c r="I345" i="4"/>
  <c r="H345" i="4"/>
  <c r="G345" i="4"/>
  <c r="E345" i="4"/>
  <c r="D345" i="4"/>
  <c r="C345" i="4"/>
  <c r="B345" i="4"/>
  <c r="N344" i="4"/>
  <c r="M344" i="4"/>
  <c r="K344" i="4"/>
  <c r="I344" i="4"/>
  <c r="J344" i="4" s="1"/>
  <c r="H344" i="4"/>
  <c r="G344" i="4"/>
  <c r="E344" i="4"/>
  <c r="D344" i="4"/>
  <c r="C344" i="4"/>
  <c r="B344" i="4"/>
  <c r="N343" i="4"/>
  <c r="M343" i="4"/>
  <c r="K343" i="4"/>
  <c r="H343" i="4"/>
  <c r="I343" i="4" s="1"/>
  <c r="J343" i="4" s="1"/>
  <c r="G343" i="4"/>
  <c r="E343" i="4"/>
  <c r="D343" i="4"/>
  <c r="C343" i="4"/>
  <c r="B343" i="4"/>
  <c r="N342" i="4"/>
  <c r="M342" i="4"/>
  <c r="K342" i="4"/>
  <c r="H342" i="4"/>
  <c r="I342" i="4" s="1"/>
  <c r="J342" i="4" s="1"/>
  <c r="G342" i="4"/>
  <c r="E342" i="4"/>
  <c r="D342" i="4"/>
  <c r="C342" i="4"/>
  <c r="B342" i="4"/>
  <c r="N341" i="4"/>
  <c r="M341" i="4"/>
  <c r="K341" i="4"/>
  <c r="J341" i="4"/>
  <c r="I341" i="4"/>
  <c r="H341" i="4"/>
  <c r="G341" i="4"/>
  <c r="E341" i="4"/>
  <c r="D341" i="4"/>
  <c r="C341" i="4"/>
  <c r="B341" i="4"/>
  <c r="N340" i="4"/>
  <c r="M340" i="4"/>
  <c r="K340" i="4"/>
  <c r="I340" i="4"/>
  <c r="J340" i="4" s="1"/>
  <c r="H340" i="4"/>
  <c r="G340" i="4"/>
  <c r="E340" i="4"/>
  <c r="D340" i="4"/>
  <c r="C340" i="4"/>
  <c r="B340" i="4"/>
  <c r="N339" i="4"/>
  <c r="M339" i="4"/>
  <c r="K339" i="4"/>
  <c r="H339" i="4"/>
  <c r="I339" i="4" s="1"/>
  <c r="J339" i="4" s="1"/>
  <c r="G339" i="4"/>
  <c r="E339" i="4"/>
  <c r="D339" i="4"/>
  <c r="C339" i="4"/>
  <c r="B339" i="4"/>
  <c r="N338" i="4"/>
  <c r="M338" i="4"/>
  <c r="K338" i="4"/>
  <c r="H338" i="4"/>
  <c r="I338" i="4" s="1"/>
  <c r="J338" i="4" s="1"/>
  <c r="G338" i="4"/>
  <c r="E338" i="4"/>
  <c r="D338" i="4"/>
  <c r="C338" i="4"/>
  <c r="B338" i="4"/>
  <c r="N337" i="4"/>
  <c r="M337" i="4"/>
  <c r="K337" i="4"/>
  <c r="J337" i="4"/>
  <c r="I337" i="4"/>
  <c r="H337" i="4"/>
  <c r="G337" i="4"/>
  <c r="E337" i="4"/>
  <c r="D337" i="4"/>
  <c r="C337" i="4"/>
  <c r="B337" i="4"/>
  <c r="N336" i="4"/>
  <c r="M336" i="4"/>
  <c r="K336" i="4"/>
  <c r="I336" i="4"/>
  <c r="J336" i="4" s="1"/>
  <c r="H336" i="4"/>
  <c r="G336" i="4"/>
  <c r="E336" i="4"/>
  <c r="D336" i="4"/>
  <c r="C336" i="4"/>
  <c r="B336" i="4"/>
  <c r="N335" i="4"/>
  <c r="M335" i="4"/>
  <c r="K335" i="4"/>
  <c r="H335" i="4"/>
  <c r="I335" i="4" s="1"/>
  <c r="J335" i="4" s="1"/>
  <c r="G335" i="4"/>
  <c r="E335" i="4"/>
  <c r="D335" i="4"/>
  <c r="C335" i="4"/>
  <c r="B335" i="4"/>
  <c r="N334" i="4"/>
  <c r="M334" i="4"/>
  <c r="K334" i="4"/>
  <c r="H334" i="4"/>
  <c r="I334" i="4" s="1"/>
  <c r="J334" i="4" s="1"/>
  <c r="G334" i="4"/>
  <c r="E334" i="4"/>
  <c r="D334" i="4"/>
  <c r="C334" i="4"/>
  <c r="B334" i="4"/>
  <c r="N333" i="4"/>
  <c r="M333" i="4"/>
  <c r="K333" i="4"/>
  <c r="J333" i="4"/>
  <c r="I333" i="4"/>
  <c r="H333" i="4"/>
  <c r="G333" i="4"/>
  <c r="E333" i="4"/>
  <c r="D333" i="4"/>
  <c r="C333" i="4"/>
  <c r="B333" i="4"/>
  <c r="N332" i="4"/>
  <c r="M332" i="4"/>
  <c r="K332" i="4"/>
  <c r="I332" i="4"/>
  <c r="J332" i="4" s="1"/>
  <c r="H332" i="4"/>
  <c r="G332" i="4"/>
  <c r="E332" i="4"/>
  <c r="D332" i="4"/>
  <c r="C332" i="4"/>
  <c r="B332" i="4"/>
  <c r="N331" i="4"/>
  <c r="M331" i="4"/>
  <c r="K331" i="4"/>
  <c r="H331" i="4"/>
  <c r="I331" i="4" s="1"/>
  <c r="J331" i="4" s="1"/>
  <c r="G331" i="4"/>
  <c r="E331" i="4"/>
  <c r="D331" i="4"/>
  <c r="C331" i="4"/>
  <c r="B331" i="4"/>
  <c r="N330" i="4"/>
  <c r="M330" i="4"/>
  <c r="K330" i="4"/>
  <c r="H330" i="4"/>
  <c r="I330" i="4" s="1"/>
  <c r="J330" i="4" s="1"/>
  <c r="G330" i="4"/>
  <c r="E330" i="4"/>
  <c r="D330" i="4"/>
  <c r="C330" i="4"/>
  <c r="B330" i="4"/>
  <c r="N329" i="4"/>
  <c r="M329" i="4"/>
  <c r="K329" i="4"/>
  <c r="J329" i="4"/>
  <c r="I329" i="4"/>
  <c r="H329" i="4"/>
  <c r="G329" i="4"/>
  <c r="E329" i="4"/>
  <c r="D329" i="4"/>
  <c r="C329" i="4"/>
  <c r="B329" i="4"/>
  <c r="N328" i="4"/>
  <c r="M328" i="4"/>
  <c r="K328" i="4"/>
  <c r="I328" i="4"/>
  <c r="J328" i="4" s="1"/>
  <c r="H328" i="4"/>
  <c r="G328" i="4"/>
  <c r="E328" i="4"/>
  <c r="D328" i="4"/>
  <c r="C328" i="4"/>
  <c r="B328" i="4"/>
  <c r="N327" i="4"/>
  <c r="M327" i="4"/>
  <c r="K327" i="4"/>
  <c r="H327" i="4"/>
  <c r="I327" i="4" s="1"/>
  <c r="J327" i="4" s="1"/>
  <c r="G327" i="4"/>
  <c r="E327" i="4"/>
  <c r="D327" i="4"/>
  <c r="C327" i="4"/>
  <c r="B327" i="4"/>
  <c r="N326" i="4"/>
  <c r="M326" i="4"/>
  <c r="K326" i="4"/>
  <c r="H326" i="4"/>
  <c r="I326" i="4" s="1"/>
  <c r="J326" i="4" s="1"/>
  <c r="G326" i="4"/>
  <c r="E326" i="4"/>
  <c r="D326" i="4"/>
  <c r="C326" i="4"/>
  <c r="B326" i="4"/>
  <c r="N325" i="4"/>
  <c r="M325" i="4"/>
  <c r="K325" i="4"/>
  <c r="J325" i="4"/>
  <c r="I325" i="4"/>
  <c r="H325" i="4"/>
  <c r="G325" i="4"/>
  <c r="E325" i="4"/>
  <c r="D325" i="4"/>
  <c r="C325" i="4"/>
  <c r="B325" i="4"/>
  <c r="N324" i="4"/>
  <c r="M324" i="4"/>
  <c r="K324" i="4"/>
  <c r="I324" i="4"/>
  <c r="J324" i="4" s="1"/>
  <c r="H324" i="4"/>
  <c r="G324" i="4"/>
  <c r="E324" i="4"/>
  <c r="D324" i="4"/>
  <c r="C324" i="4"/>
  <c r="B324" i="4"/>
  <c r="N323" i="4"/>
  <c r="M323" i="4"/>
  <c r="K323" i="4"/>
  <c r="H323" i="4"/>
  <c r="I323" i="4" s="1"/>
  <c r="J323" i="4" s="1"/>
  <c r="G323" i="4"/>
  <c r="E323" i="4"/>
  <c r="D323" i="4"/>
  <c r="C323" i="4"/>
  <c r="B323" i="4"/>
  <c r="N322" i="4"/>
  <c r="M322" i="4"/>
  <c r="K322" i="4"/>
  <c r="H322" i="4"/>
  <c r="I322" i="4" s="1"/>
  <c r="J322" i="4" s="1"/>
  <c r="G322" i="4"/>
  <c r="E322" i="4"/>
  <c r="D322" i="4"/>
  <c r="C322" i="4"/>
  <c r="B322" i="4"/>
  <c r="N321" i="4"/>
  <c r="M321" i="4"/>
  <c r="K321" i="4"/>
  <c r="J321" i="4"/>
  <c r="I321" i="4"/>
  <c r="H321" i="4"/>
  <c r="G321" i="4"/>
  <c r="E321" i="4"/>
  <c r="D321" i="4"/>
  <c r="C321" i="4"/>
  <c r="B321" i="4"/>
  <c r="N320" i="4"/>
  <c r="M320" i="4"/>
  <c r="K320" i="4"/>
  <c r="I320" i="4"/>
  <c r="J320" i="4" s="1"/>
  <c r="H320" i="4"/>
  <c r="G320" i="4"/>
  <c r="E320" i="4"/>
  <c r="D320" i="4"/>
  <c r="C320" i="4"/>
  <c r="B320" i="4"/>
  <c r="N319" i="4"/>
  <c r="M319" i="4"/>
  <c r="K319" i="4"/>
  <c r="H319" i="4"/>
  <c r="I319" i="4" s="1"/>
  <c r="J319" i="4" s="1"/>
  <c r="G319" i="4"/>
  <c r="E319" i="4"/>
  <c r="D319" i="4"/>
  <c r="C319" i="4"/>
  <c r="B319" i="4"/>
  <c r="N318" i="4"/>
  <c r="M318" i="4"/>
  <c r="K318" i="4"/>
  <c r="H318" i="4"/>
  <c r="I318" i="4" s="1"/>
  <c r="J318" i="4" s="1"/>
  <c r="G318" i="4"/>
  <c r="E318" i="4"/>
  <c r="D318" i="4"/>
  <c r="C318" i="4"/>
  <c r="B318" i="4"/>
  <c r="N317" i="4"/>
  <c r="M317" i="4"/>
  <c r="K317" i="4"/>
  <c r="J317" i="4"/>
  <c r="I317" i="4"/>
  <c r="H317" i="4"/>
  <c r="G317" i="4"/>
  <c r="E317" i="4"/>
  <c r="D317" i="4"/>
  <c r="C317" i="4"/>
  <c r="B317" i="4"/>
  <c r="N316" i="4"/>
  <c r="M316" i="4"/>
  <c r="K316" i="4"/>
  <c r="I316" i="4"/>
  <c r="J316" i="4" s="1"/>
  <c r="H316" i="4"/>
  <c r="G316" i="4"/>
  <c r="E316" i="4"/>
  <c r="D316" i="4"/>
  <c r="C316" i="4"/>
  <c r="B316" i="4"/>
  <c r="N315" i="4"/>
  <c r="M315" i="4"/>
  <c r="K315" i="4"/>
  <c r="H315" i="4"/>
  <c r="I315" i="4" s="1"/>
  <c r="J315" i="4" s="1"/>
  <c r="G315" i="4"/>
  <c r="E315" i="4"/>
  <c r="D315" i="4"/>
  <c r="C315" i="4"/>
  <c r="B315" i="4"/>
  <c r="N314" i="4"/>
  <c r="M314" i="4"/>
  <c r="K314" i="4"/>
  <c r="H314" i="4"/>
  <c r="I314" i="4" s="1"/>
  <c r="J314" i="4" s="1"/>
  <c r="G314" i="4"/>
  <c r="E314" i="4"/>
  <c r="D314" i="4"/>
  <c r="C314" i="4"/>
  <c r="B314" i="4"/>
  <c r="N313" i="4"/>
  <c r="M313" i="4"/>
  <c r="K313" i="4"/>
  <c r="J313" i="4"/>
  <c r="I313" i="4"/>
  <c r="H313" i="4"/>
  <c r="G313" i="4"/>
  <c r="E313" i="4"/>
  <c r="D313" i="4"/>
  <c r="C313" i="4"/>
  <c r="B313" i="4"/>
  <c r="N312" i="4"/>
  <c r="M312" i="4"/>
  <c r="K312" i="4"/>
  <c r="I312" i="4"/>
  <c r="J312" i="4" s="1"/>
  <c r="H312" i="4"/>
  <c r="G312" i="4"/>
  <c r="E312" i="4"/>
  <c r="D312" i="4"/>
  <c r="C312" i="4"/>
  <c r="B312" i="4"/>
  <c r="N311" i="4"/>
  <c r="M311" i="4"/>
  <c r="K311" i="4"/>
  <c r="H311" i="4"/>
  <c r="I311" i="4" s="1"/>
  <c r="J311" i="4" s="1"/>
  <c r="G311" i="4"/>
  <c r="E311" i="4"/>
  <c r="D311" i="4"/>
  <c r="C311" i="4"/>
  <c r="B311" i="4"/>
  <c r="N310" i="4"/>
  <c r="M310" i="4"/>
  <c r="K310" i="4"/>
  <c r="H310" i="4"/>
  <c r="I310" i="4" s="1"/>
  <c r="J310" i="4" s="1"/>
  <c r="G310" i="4"/>
  <c r="E310" i="4"/>
  <c r="D310" i="4"/>
  <c r="C310" i="4"/>
  <c r="B310" i="4"/>
  <c r="K309" i="4"/>
  <c r="H309" i="4"/>
  <c r="I309" i="4" s="1"/>
  <c r="J309" i="4" s="1"/>
  <c r="G309" i="4"/>
  <c r="E309" i="4"/>
  <c r="D309" i="4"/>
  <c r="C309" i="4"/>
  <c r="B309" i="4"/>
  <c r="K308" i="4"/>
  <c r="I308" i="4"/>
  <c r="J308" i="4" s="1"/>
  <c r="H308" i="4"/>
  <c r="G308" i="4"/>
  <c r="E308" i="4"/>
  <c r="D308" i="4"/>
  <c r="C308" i="4"/>
  <c r="B308" i="4"/>
  <c r="K307" i="4"/>
  <c r="J307" i="4"/>
  <c r="I307" i="4"/>
  <c r="H307" i="4"/>
  <c r="G307" i="4"/>
  <c r="E307" i="4"/>
  <c r="D307" i="4"/>
  <c r="C307" i="4"/>
  <c r="B307" i="4"/>
  <c r="K306" i="4"/>
  <c r="H306" i="4"/>
  <c r="I306" i="4" s="1"/>
  <c r="J306" i="4" s="1"/>
  <c r="G306" i="4"/>
  <c r="E306" i="4"/>
  <c r="D306" i="4"/>
  <c r="C306" i="4"/>
  <c r="B306" i="4"/>
  <c r="K305" i="4"/>
  <c r="H305" i="4"/>
  <c r="I305" i="4" s="1"/>
  <c r="J305" i="4" s="1"/>
  <c r="G305" i="4"/>
  <c r="E305" i="4"/>
  <c r="D305" i="4"/>
  <c r="C305" i="4"/>
  <c r="B305" i="4"/>
  <c r="K304" i="4"/>
  <c r="I304" i="4"/>
  <c r="J304" i="4" s="1"/>
  <c r="H304" i="4"/>
  <c r="G304" i="4"/>
  <c r="E304" i="4"/>
  <c r="D304" i="4"/>
  <c r="C304" i="4"/>
  <c r="B304" i="4"/>
  <c r="K303" i="4"/>
  <c r="J303" i="4"/>
  <c r="I303" i="4"/>
  <c r="H303" i="4"/>
  <c r="G303" i="4"/>
  <c r="E303" i="4"/>
  <c r="D303" i="4"/>
  <c r="C303" i="4"/>
  <c r="B303" i="4"/>
  <c r="K302" i="4"/>
  <c r="H302" i="4"/>
  <c r="I302" i="4" s="1"/>
  <c r="J302" i="4" s="1"/>
  <c r="G302" i="4"/>
  <c r="E302" i="4"/>
  <c r="D302" i="4"/>
  <c r="C302" i="4"/>
  <c r="B302" i="4"/>
  <c r="K301" i="4"/>
  <c r="H301" i="4"/>
  <c r="I301" i="4" s="1"/>
  <c r="J301" i="4" s="1"/>
  <c r="G301" i="4"/>
  <c r="E301" i="4"/>
  <c r="D301" i="4"/>
  <c r="C301" i="4"/>
  <c r="B301" i="4"/>
  <c r="K300" i="4"/>
  <c r="I300" i="4"/>
  <c r="J300" i="4" s="1"/>
  <c r="H300" i="4"/>
  <c r="G300" i="4"/>
  <c r="E300" i="4"/>
  <c r="D300" i="4"/>
  <c r="C300" i="4"/>
  <c r="B300" i="4"/>
  <c r="K299" i="4"/>
  <c r="J299" i="4"/>
  <c r="I299" i="4"/>
  <c r="H299" i="4"/>
  <c r="G299" i="4"/>
  <c r="E299" i="4"/>
  <c r="D299" i="4"/>
  <c r="C299" i="4"/>
  <c r="B299" i="4"/>
  <c r="K298" i="4"/>
  <c r="H298" i="4"/>
  <c r="I298" i="4" s="1"/>
  <c r="J298" i="4" s="1"/>
  <c r="G298" i="4"/>
  <c r="E298" i="4"/>
  <c r="D298" i="4"/>
  <c r="C298" i="4"/>
  <c r="B298" i="4"/>
  <c r="K297" i="4"/>
  <c r="H297" i="4"/>
  <c r="I297" i="4" s="1"/>
  <c r="J297" i="4" s="1"/>
  <c r="G297" i="4"/>
  <c r="E297" i="4"/>
  <c r="D297" i="4"/>
  <c r="C297" i="4"/>
  <c r="B297" i="4"/>
  <c r="K296" i="4"/>
  <c r="I296" i="4"/>
  <c r="J296" i="4" s="1"/>
  <c r="H296" i="4"/>
  <c r="G296" i="4"/>
  <c r="E296" i="4"/>
  <c r="D296" i="4"/>
  <c r="C296" i="4"/>
  <c r="B296" i="4"/>
  <c r="K295" i="4"/>
  <c r="J295" i="4"/>
  <c r="I295" i="4"/>
  <c r="H295" i="4"/>
  <c r="G295" i="4"/>
  <c r="E295" i="4"/>
  <c r="D295" i="4"/>
  <c r="C295" i="4"/>
  <c r="B295" i="4"/>
  <c r="K294" i="4"/>
  <c r="H294" i="4"/>
  <c r="I294" i="4" s="1"/>
  <c r="J294" i="4" s="1"/>
  <c r="G294" i="4"/>
  <c r="E294" i="4"/>
  <c r="D294" i="4"/>
  <c r="C294" i="4"/>
  <c r="B294" i="4"/>
  <c r="K293" i="4"/>
  <c r="H293" i="4"/>
  <c r="I293" i="4" s="1"/>
  <c r="J293" i="4" s="1"/>
  <c r="G293" i="4"/>
  <c r="E293" i="4"/>
  <c r="D293" i="4"/>
  <c r="C293" i="4"/>
  <c r="B293" i="4"/>
  <c r="K292" i="4"/>
  <c r="I292" i="4"/>
  <c r="J292" i="4" s="1"/>
  <c r="H292" i="4"/>
  <c r="G292" i="4"/>
  <c r="E292" i="4"/>
  <c r="D292" i="4"/>
  <c r="C292" i="4"/>
  <c r="B292" i="4"/>
  <c r="K291" i="4"/>
  <c r="J291" i="4"/>
  <c r="I291" i="4"/>
  <c r="H291" i="4"/>
  <c r="G291" i="4"/>
  <c r="E291" i="4"/>
  <c r="D291" i="4"/>
  <c r="C291" i="4"/>
  <c r="B291" i="4"/>
  <c r="K290" i="4"/>
  <c r="H290" i="4"/>
  <c r="I290" i="4" s="1"/>
  <c r="J290" i="4" s="1"/>
  <c r="G290" i="4"/>
  <c r="E290" i="4"/>
  <c r="D290" i="4"/>
  <c r="C290" i="4"/>
  <c r="B290" i="4"/>
  <c r="K289" i="4"/>
  <c r="H289" i="4"/>
  <c r="I289" i="4" s="1"/>
  <c r="J289" i="4" s="1"/>
  <c r="G289" i="4"/>
  <c r="E289" i="4"/>
  <c r="D289" i="4"/>
  <c r="C289" i="4"/>
  <c r="B289" i="4"/>
  <c r="K288" i="4"/>
  <c r="I288" i="4"/>
  <c r="J288" i="4" s="1"/>
  <c r="H288" i="4"/>
  <c r="G288" i="4"/>
  <c r="E288" i="4"/>
  <c r="D288" i="4"/>
  <c r="C288" i="4"/>
  <c r="B288" i="4"/>
  <c r="K287" i="4"/>
  <c r="J287" i="4"/>
  <c r="I287" i="4"/>
  <c r="H287" i="4"/>
  <c r="G287" i="4"/>
  <c r="E287" i="4"/>
  <c r="D287" i="4"/>
  <c r="C287" i="4"/>
  <c r="B287" i="4"/>
  <c r="K286" i="4"/>
  <c r="H286" i="4"/>
  <c r="I286" i="4" s="1"/>
  <c r="J286" i="4" s="1"/>
  <c r="G286" i="4"/>
  <c r="E286" i="4"/>
  <c r="D286" i="4"/>
  <c r="C286" i="4"/>
  <c r="B286" i="4"/>
  <c r="K285" i="4"/>
  <c r="H285" i="4"/>
  <c r="I285" i="4" s="1"/>
  <c r="J285" i="4" s="1"/>
  <c r="G285" i="4"/>
  <c r="E285" i="4"/>
  <c r="D285" i="4"/>
  <c r="C285" i="4"/>
  <c r="B285" i="4"/>
  <c r="K284" i="4"/>
  <c r="I284" i="4"/>
  <c r="J284" i="4" s="1"/>
  <c r="H284" i="4"/>
  <c r="G284" i="4"/>
  <c r="E284" i="4"/>
  <c r="D284" i="4"/>
  <c r="C284" i="4"/>
  <c r="B284" i="4"/>
  <c r="K283" i="4"/>
  <c r="J283" i="4"/>
  <c r="I283" i="4"/>
  <c r="H283" i="4"/>
  <c r="G283" i="4"/>
  <c r="E283" i="4"/>
  <c r="D283" i="4"/>
  <c r="C283" i="4"/>
  <c r="B283" i="4"/>
  <c r="K282" i="4"/>
  <c r="H282" i="4"/>
  <c r="I282" i="4" s="1"/>
  <c r="J282" i="4" s="1"/>
  <c r="G282" i="4"/>
  <c r="E282" i="4"/>
  <c r="D282" i="4"/>
  <c r="C282" i="4"/>
  <c r="B282" i="4"/>
  <c r="K281" i="4"/>
  <c r="H281" i="4"/>
  <c r="I281" i="4" s="1"/>
  <c r="J281" i="4" s="1"/>
  <c r="G281" i="4"/>
  <c r="E281" i="4"/>
  <c r="D281" i="4"/>
  <c r="C281" i="4"/>
  <c r="B281" i="4"/>
  <c r="K280" i="4"/>
  <c r="I280" i="4"/>
  <c r="J280" i="4" s="1"/>
  <c r="H280" i="4"/>
  <c r="G280" i="4"/>
  <c r="E280" i="4"/>
  <c r="D280" i="4"/>
  <c r="C280" i="4"/>
  <c r="B280" i="4"/>
  <c r="K279" i="4"/>
  <c r="J279" i="4"/>
  <c r="I279" i="4"/>
  <c r="H279" i="4"/>
  <c r="G279" i="4"/>
  <c r="E279" i="4"/>
  <c r="D279" i="4"/>
  <c r="C279" i="4"/>
  <c r="B279" i="4"/>
  <c r="K278" i="4"/>
  <c r="H278" i="4"/>
  <c r="I278" i="4" s="1"/>
  <c r="J278" i="4" s="1"/>
  <c r="G278" i="4"/>
  <c r="E278" i="4"/>
  <c r="D278" i="4"/>
  <c r="C278" i="4"/>
  <c r="B278" i="4"/>
  <c r="K277" i="4"/>
  <c r="H277" i="4"/>
  <c r="I277" i="4" s="1"/>
  <c r="J277" i="4" s="1"/>
  <c r="G277" i="4"/>
  <c r="E277" i="4"/>
  <c r="D277" i="4"/>
  <c r="C277" i="4"/>
  <c r="B277" i="4"/>
  <c r="K276" i="4"/>
  <c r="I276" i="4"/>
  <c r="J276" i="4" s="1"/>
  <c r="H276" i="4"/>
  <c r="G276" i="4"/>
  <c r="E276" i="4"/>
  <c r="D276" i="4"/>
  <c r="C276" i="4"/>
  <c r="B276" i="4"/>
  <c r="K275" i="4"/>
  <c r="J275" i="4"/>
  <c r="I275" i="4"/>
  <c r="H275" i="4"/>
  <c r="G275" i="4"/>
  <c r="E275" i="4"/>
  <c r="D275" i="4"/>
  <c r="C275" i="4"/>
  <c r="B275" i="4"/>
  <c r="K274" i="4"/>
  <c r="H274" i="4"/>
  <c r="I274" i="4" s="1"/>
  <c r="J274" i="4" s="1"/>
  <c r="G274" i="4"/>
  <c r="E274" i="4"/>
  <c r="D274" i="4"/>
  <c r="C274" i="4"/>
  <c r="B274" i="4"/>
  <c r="K273" i="4"/>
  <c r="H273" i="4"/>
  <c r="I273" i="4" s="1"/>
  <c r="J273" i="4" s="1"/>
  <c r="G273" i="4"/>
  <c r="E273" i="4"/>
  <c r="D273" i="4"/>
  <c r="C273" i="4"/>
  <c r="B273" i="4"/>
  <c r="K272" i="4"/>
  <c r="I272" i="4"/>
  <c r="J272" i="4" s="1"/>
  <c r="H272" i="4"/>
  <c r="G272" i="4"/>
  <c r="E272" i="4"/>
  <c r="D272" i="4"/>
  <c r="C272" i="4"/>
  <c r="B272" i="4"/>
  <c r="K271" i="4"/>
  <c r="J271" i="4"/>
  <c r="I271" i="4"/>
  <c r="H271" i="4"/>
  <c r="G271" i="4"/>
  <c r="E271" i="4"/>
  <c r="D271" i="4"/>
  <c r="C271" i="4"/>
  <c r="B271" i="4"/>
  <c r="K270" i="4"/>
  <c r="H270" i="4"/>
  <c r="I270" i="4" s="1"/>
  <c r="J270" i="4" s="1"/>
  <c r="G270" i="4"/>
  <c r="E270" i="4"/>
  <c r="D270" i="4"/>
  <c r="C270" i="4"/>
  <c r="B270" i="4"/>
  <c r="K269" i="4"/>
  <c r="H269" i="4"/>
  <c r="I269" i="4" s="1"/>
  <c r="J269" i="4" s="1"/>
  <c r="G269" i="4"/>
  <c r="E269" i="4"/>
  <c r="D269" i="4"/>
  <c r="C269" i="4"/>
  <c r="B269" i="4"/>
  <c r="K268" i="4"/>
  <c r="I268" i="4"/>
  <c r="J268" i="4" s="1"/>
  <c r="H268" i="4"/>
  <c r="G268" i="4"/>
  <c r="E268" i="4"/>
  <c r="D268" i="4"/>
  <c r="C268" i="4"/>
  <c r="B268" i="4"/>
  <c r="K267" i="4"/>
  <c r="J267" i="4"/>
  <c r="I267" i="4"/>
  <c r="H267" i="4"/>
  <c r="G267" i="4"/>
  <c r="E267" i="4"/>
  <c r="D267" i="4"/>
  <c r="C267" i="4"/>
  <c r="B267" i="4"/>
  <c r="K266" i="4"/>
  <c r="H266" i="4"/>
  <c r="I266" i="4" s="1"/>
  <c r="J266" i="4" s="1"/>
  <c r="G266" i="4"/>
  <c r="E266" i="4"/>
  <c r="D266" i="4"/>
  <c r="C266" i="4"/>
  <c r="B266" i="4"/>
  <c r="K265" i="4"/>
  <c r="H265" i="4"/>
  <c r="I265" i="4" s="1"/>
  <c r="J265" i="4" s="1"/>
  <c r="G265" i="4"/>
  <c r="E265" i="4"/>
  <c r="D265" i="4"/>
  <c r="C265" i="4"/>
  <c r="B265" i="4"/>
  <c r="K264" i="4"/>
  <c r="I264" i="4"/>
  <c r="J264" i="4" s="1"/>
  <c r="H264" i="4"/>
  <c r="G264" i="4"/>
  <c r="E264" i="4"/>
  <c r="D264" i="4"/>
  <c r="C264" i="4"/>
  <c r="B264" i="4"/>
  <c r="K263" i="4"/>
  <c r="J263" i="4"/>
  <c r="I263" i="4"/>
  <c r="H263" i="4"/>
  <c r="G263" i="4"/>
  <c r="E263" i="4"/>
  <c r="D263" i="4"/>
  <c r="C263" i="4"/>
  <c r="B263" i="4"/>
  <c r="K262" i="4"/>
  <c r="H262" i="4"/>
  <c r="I262" i="4" s="1"/>
  <c r="J262" i="4" s="1"/>
  <c r="G262" i="4"/>
  <c r="E262" i="4"/>
  <c r="D262" i="4"/>
  <c r="C262" i="4"/>
  <c r="B262" i="4"/>
  <c r="K261" i="4"/>
  <c r="H261" i="4"/>
  <c r="I261" i="4" s="1"/>
  <c r="J261" i="4" s="1"/>
  <c r="G261" i="4"/>
  <c r="E261" i="4"/>
  <c r="D261" i="4"/>
  <c r="C261" i="4"/>
  <c r="B261" i="4"/>
  <c r="K260" i="4"/>
  <c r="I260" i="4"/>
  <c r="J260" i="4" s="1"/>
  <c r="H260" i="4"/>
  <c r="G260" i="4"/>
  <c r="E260" i="4"/>
  <c r="D260" i="4"/>
  <c r="C260" i="4"/>
  <c r="B260" i="4"/>
  <c r="K259" i="4"/>
  <c r="J259" i="4"/>
  <c r="I259" i="4"/>
  <c r="H259" i="4"/>
  <c r="G259" i="4"/>
  <c r="E259" i="4"/>
  <c r="D259" i="4"/>
  <c r="C259" i="4"/>
  <c r="B259" i="4"/>
  <c r="K258" i="4"/>
  <c r="H258" i="4"/>
  <c r="I258" i="4" s="1"/>
  <c r="J258" i="4" s="1"/>
  <c r="G258" i="4"/>
  <c r="E258" i="4"/>
  <c r="D258" i="4"/>
  <c r="C258" i="4"/>
  <c r="B258" i="4"/>
  <c r="K257" i="4"/>
  <c r="H257" i="4"/>
  <c r="I257" i="4" s="1"/>
  <c r="J257" i="4" s="1"/>
  <c r="G257" i="4"/>
  <c r="E257" i="4"/>
  <c r="D257" i="4"/>
  <c r="C257" i="4"/>
  <c r="B257" i="4"/>
  <c r="K256" i="4"/>
  <c r="I256" i="4"/>
  <c r="J256" i="4" s="1"/>
  <c r="H256" i="4"/>
  <c r="G256" i="4"/>
  <c r="E256" i="4"/>
  <c r="D256" i="4"/>
  <c r="C256" i="4"/>
  <c r="B256" i="4"/>
  <c r="K255" i="4"/>
  <c r="J255" i="4"/>
  <c r="I255" i="4"/>
  <c r="H255" i="4"/>
  <c r="G255" i="4"/>
  <c r="E255" i="4"/>
  <c r="D255" i="4"/>
  <c r="C255" i="4"/>
  <c r="B255" i="4"/>
  <c r="K254" i="4"/>
  <c r="H254" i="4"/>
  <c r="I254" i="4" s="1"/>
  <c r="J254" i="4" s="1"/>
  <c r="G254" i="4"/>
  <c r="E254" i="4"/>
  <c r="D254" i="4"/>
  <c r="C254" i="4"/>
  <c r="B254" i="4"/>
  <c r="K253" i="4"/>
  <c r="H253" i="4"/>
  <c r="I253" i="4" s="1"/>
  <c r="J253" i="4" s="1"/>
  <c r="G253" i="4"/>
  <c r="E253" i="4"/>
  <c r="D253" i="4"/>
  <c r="C253" i="4"/>
  <c r="B253" i="4"/>
  <c r="K252" i="4"/>
  <c r="I252" i="4"/>
  <c r="J252" i="4" s="1"/>
  <c r="H252" i="4"/>
  <c r="G252" i="4"/>
  <c r="E252" i="4"/>
  <c r="D252" i="4"/>
  <c r="C252" i="4"/>
  <c r="B252" i="4"/>
  <c r="K251" i="4"/>
  <c r="J251" i="4"/>
  <c r="I251" i="4"/>
  <c r="H251" i="4"/>
  <c r="G251" i="4"/>
  <c r="E251" i="4"/>
  <c r="D251" i="4"/>
  <c r="C251" i="4"/>
  <c r="B251" i="4"/>
  <c r="K250" i="4"/>
  <c r="H250" i="4"/>
  <c r="I250" i="4" s="1"/>
  <c r="J250" i="4" s="1"/>
  <c r="G250" i="4"/>
  <c r="E250" i="4"/>
  <c r="D250" i="4"/>
  <c r="C250" i="4"/>
  <c r="B250" i="4"/>
  <c r="K249" i="4"/>
  <c r="H249" i="4"/>
  <c r="I249" i="4" s="1"/>
  <c r="J249" i="4" s="1"/>
  <c r="G249" i="4"/>
  <c r="E249" i="4"/>
  <c r="D249" i="4"/>
  <c r="C249" i="4"/>
  <c r="B249" i="4"/>
  <c r="K248" i="4"/>
  <c r="I248" i="4"/>
  <c r="J248" i="4" s="1"/>
  <c r="H248" i="4"/>
  <c r="G248" i="4"/>
  <c r="E248" i="4"/>
  <c r="D248" i="4"/>
  <c r="C248" i="4"/>
  <c r="B248" i="4"/>
  <c r="K247" i="4"/>
  <c r="J247" i="4"/>
  <c r="I247" i="4"/>
  <c r="H247" i="4"/>
  <c r="G247" i="4"/>
  <c r="E247" i="4"/>
  <c r="D247" i="4"/>
  <c r="C247" i="4"/>
  <c r="B247" i="4"/>
  <c r="K246" i="4"/>
  <c r="H246" i="4"/>
  <c r="I246" i="4" s="1"/>
  <c r="J246" i="4" s="1"/>
  <c r="G246" i="4"/>
  <c r="E246" i="4"/>
  <c r="D246" i="4"/>
  <c r="C246" i="4"/>
  <c r="B246" i="4"/>
  <c r="K245" i="4"/>
  <c r="H245" i="4"/>
  <c r="I245" i="4" s="1"/>
  <c r="J245" i="4" s="1"/>
  <c r="G245" i="4"/>
  <c r="E245" i="4"/>
  <c r="D245" i="4"/>
  <c r="C245" i="4"/>
  <c r="B245" i="4"/>
  <c r="K244" i="4"/>
  <c r="I244" i="4"/>
  <c r="J244" i="4" s="1"/>
  <c r="H244" i="4"/>
  <c r="G244" i="4"/>
  <c r="E244" i="4"/>
  <c r="D244" i="4"/>
  <c r="C244" i="4"/>
  <c r="B244" i="4"/>
  <c r="K243" i="4"/>
  <c r="J243" i="4"/>
  <c r="I243" i="4"/>
  <c r="H243" i="4"/>
  <c r="G243" i="4"/>
  <c r="E243" i="4"/>
  <c r="D243" i="4"/>
  <c r="C243" i="4"/>
  <c r="B243" i="4"/>
  <c r="K242" i="4"/>
  <c r="H242" i="4"/>
  <c r="I242" i="4" s="1"/>
  <c r="J242" i="4" s="1"/>
  <c r="G242" i="4"/>
  <c r="E242" i="4"/>
  <c r="D242" i="4"/>
  <c r="C242" i="4"/>
  <c r="B242" i="4"/>
  <c r="K241" i="4"/>
  <c r="H241" i="4"/>
  <c r="I241" i="4" s="1"/>
  <c r="J241" i="4" s="1"/>
  <c r="G241" i="4"/>
  <c r="E241" i="4"/>
  <c r="D241" i="4"/>
  <c r="C241" i="4"/>
  <c r="B241" i="4"/>
  <c r="K240" i="4"/>
  <c r="I240" i="4"/>
  <c r="J240" i="4" s="1"/>
  <c r="H240" i="4"/>
  <c r="G240" i="4"/>
  <c r="E240" i="4"/>
  <c r="D240" i="4"/>
  <c r="C240" i="4"/>
  <c r="B240" i="4"/>
  <c r="K239" i="4"/>
  <c r="J239" i="4"/>
  <c r="I239" i="4"/>
  <c r="H239" i="4"/>
  <c r="G239" i="4"/>
  <c r="E239" i="4"/>
  <c r="D239" i="4"/>
  <c r="C239" i="4"/>
  <c r="B239" i="4"/>
  <c r="K238" i="4"/>
  <c r="H238" i="4"/>
  <c r="I238" i="4" s="1"/>
  <c r="J238" i="4" s="1"/>
  <c r="G238" i="4"/>
  <c r="E238" i="4"/>
  <c r="D238" i="4"/>
  <c r="C238" i="4"/>
  <c r="B238" i="4"/>
  <c r="K237" i="4"/>
  <c r="H237" i="4"/>
  <c r="I237" i="4" s="1"/>
  <c r="J237" i="4" s="1"/>
  <c r="G237" i="4"/>
  <c r="E237" i="4"/>
  <c r="D237" i="4"/>
  <c r="C237" i="4"/>
  <c r="B237" i="4"/>
  <c r="K236" i="4"/>
  <c r="I236" i="4"/>
  <c r="J236" i="4" s="1"/>
  <c r="H236" i="4"/>
  <c r="G236" i="4"/>
  <c r="E236" i="4"/>
  <c r="D236" i="4"/>
  <c r="C236" i="4"/>
  <c r="B236" i="4"/>
  <c r="K235" i="4"/>
  <c r="J235" i="4"/>
  <c r="I235" i="4"/>
  <c r="H235" i="4"/>
  <c r="G235" i="4"/>
  <c r="E235" i="4"/>
  <c r="D235" i="4"/>
  <c r="C235" i="4"/>
  <c r="B235" i="4"/>
  <c r="K234" i="4"/>
  <c r="H234" i="4"/>
  <c r="I234" i="4" s="1"/>
  <c r="J234" i="4" s="1"/>
  <c r="G234" i="4"/>
  <c r="E234" i="4"/>
  <c r="D234" i="4"/>
  <c r="C234" i="4"/>
  <c r="B234" i="4"/>
  <c r="K233" i="4"/>
  <c r="H233" i="4"/>
  <c r="I233" i="4" s="1"/>
  <c r="J233" i="4" s="1"/>
  <c r="G233" i="4"/>
  <c r="E233" i="4"/>
  <c r="D233" i="4"/>
  <c r="C233" i="4"/>
  <c r="B233" i="4"/>
  <c r="K232" i="4"/>
  <c r="I232" i="4"/>
  <c r="J232" i="4" s="1"/>
  <c r="H232" i="4"/>
  <c r="G232" i="4"/>
  <c r="E232" i="4"/>
  <c r="D232" i="4"/>
  <c r="C232" i="4"/>
  <c r="B232" i="4"/>
  <c r="K231" i="4"/>
  <c r="J231" i="4"/>
  <c r="I231" i="4"/>
  <c r="H231" i="4"/>
  <c r="G231" i="4"/>
  <c r="E231" i="4"/>
  <c r="D231" i="4"/>
  <c r="C231" i="4"/>
  <c r="B231" i="4"/>
  <c r="K230" i="4"/>
  <c r="H230" i="4"/>
  <c r="I230" i="4" s="1"/>
  <c r="J230" i="4" s="1"/>
  <c r="G230" i="4"/>
  <c r="E230" i="4"/>
  <c r="D230" i="4"/>
  <c r="C230" i="4"/>
  <c r="B230" i="4"/>
  <c r="K229" i="4"/>
  <c r="H229" i="4"/>
  <c r="I229" i="4" s="1"/>
  <c r="J229" i="4" s="1"/>
  <c r="G229" i="4"/>
  <c r="E229" i="4"/>
  <c r="D229" i="4"/>
  <c r="C229" i="4"/>
  <c r="B229" i="4"/>
  <c r="K228" i="4"/>
  <c r="I228" i="4"/>
  <c r="J228" i="4" s="1"/>
  <c r="H228" i="4"/>
  <c r="G228" i="4"/>
  <c r="E228" i="4"/>
  <c r="D228" i="4"/>
  <c r="C228" i="4"/>
  <c r="B228" i="4"/>
  <c r="K227" i="4"/>
  <c r="J227" i="4"/>
  <c r="I227" i="4"/>
  <c r="H227" i="4"/>
  <c r="G227" i="4"/>
  <c r="E227" i="4"/>
  <c r="D227" i="4"/>
  <c r="C227" i="4"/>
  <c r="B227" i="4"/>
  <c r="K226" i="4"/>
  <c r="H226" i="4"/>
  <c r="I226" i="4" s="1"/>
  <c r="J226" i="4" s="1"/>
  <c r="G226" i="4"/>
  <c r="E226" i="4"/>
  <c r="D226" i="4"/>
  <c r="C226" i="4"/>
  <c r="B226" i="4"/>
  <c r="K225" i="4"/>
  <c r="H225" i="4"/>
  <c r="I225" i="4" s="1"/>
  <c r="J225" i="4" s="1"/>
  <c r="G225" i="4"/>
  <c r="E225" i="4"/>
  <c r="D225" i="4"/>
  <c r="C225" i="4"/>
  <c r="B225" i="4"/>
  <c r="K224" i="4"/>
  <c r="I224" i="4"/>
  <c r="J224" i="4" s="1"/>
  <c r="H224" i="4"/>
  <c r="G224" i="4"/>
  <c r="E224" i="4"/>
  <c r="D224" i="4"/>
  <c r="C224" i="4"/>
  <c r="B224" i="4"/>
  <c r="K223" i="4"/>
  <c r="J223" i="4"/>
  <c r="I223" i="4"/>
  <c r="H223" i="4"/>
  <c r="G223" i="4"/>
  <c r="E223" i="4"/>
  <c r="D223" i="4"/>
  <c r="C223" i="4"/>
  <c r="B223" i="4"/>
  <c r="K222" i="4"/>
  <c r="H222" i="4"/>
  <c r="I222" i="4" s="1"/>
  <c r="J222" i="4" s="1"/>
  <c r="G222" i="4"/>
  <c r="E222" i="4"/>
  <c r="D222" i="4"/>
  <c r="C222" i="4"/>
  <c r="B222" i="4"/>
  <c r="K221" i="4"/>
  <c r="H221" i="4"/>
  <c r="I221" i="4" s="1"/>
  <c r="J221" i="4" s="1"/>
  <c r="G221" i="4"/>
  <c r="E221" i="4"/>
  <c r="D221" i="4"/>
  <c r="C221" i="4"/>
  <c r="B221" i="4"/>
  <c r="K220" i="4"/>
  <c r="I220" i="4"/>
  <c r="J220" i="4" s="1"/>
  <c r="H220" i="4"/>
  <c r="G220" i="4"/>
  <c r="E220" i="4"/>
  <c r="D220" i="4"/>
  <c r="C220" i="4"/>
  <c r="B220" i="4"/>
  <c r="K219" i="4"/>
  <c r="J219" i="4"/>
  <c r="I219" i="4"/>
  <c r="H219" i="4"/>
  <c r="G219" i="4"/>
  <c r="E219" i="4"/>
  <c r="D219" i="4"/>
  <c r="C219" i="4"/>
  <c r="B219" i="4"/>
  <c r="K218" i="4"/>
  <c r="H218" i="4"/>
  <c r="I218" i="4" s="1"/>
  <c r="J218" i="4" s="1"/>
  <c r="G218" i="4"/>
  <c r="E218" i="4"/>
  <c r="D218" i="4"/>
  <c r="C218" i="4"/>
  <c r="B218" i="4"/>
  <c r="K217" i="4"/>
  <c r="H217" i="4"/>
  <c r="I217" i="4" s="1"/>
  <c r="J217" i="4" s="1"/>
  <c r="G217" i="4"/>
  <c r="E217" i="4"/>
  <c r="D217" i="4"/>
  <c r="C217" i="4"/>
  <c r="B217" i="4"/>
  <c r="K216" i="4"/>
  <c r="I216" i="4"/>
  <c r="J216" i="4" s="1"/>
  <c r="H216" i="4"/>
  <c r="G216" i="4"/>
  <c r="E216" i="4"/>
  <c r="D216" i="4"/>
  <c r="C216" i="4"/>
  <c r="B216" i="4"/>
  <c r="K215" i="4"/>
  <c r="J215" i="4"/>
  <c r="I215" i="4"/>
  <c r="H215" i="4"/>
  <c r="G215" i="4"/>
  <c r="E215" i="4"/>
  <c r="D215" i="4"/>
  <c r="C215" i="4"/>
  <c r="B215" i="4"/>
  <c r="K214" i="4"/>
  <c r="H214" i="4"/>
  <c r="I214" i="4" s="1"/>
  <c r="J214" i="4" s="1"/>
  <c r="G214" i="4"/>
  <c r="E214" i="4"/>
  <c r="D214" i="4"/>
  <c r="C214" i="4"/>
  <c r="B214" i="4"/>
  <c r="K213" i="4"/>
  <c r="H213" i="4"/>
  <c r="I213" i="4" s="1"/>
  <c r="J213" i="4" s="1"/>
  <c r="G213" i="4"/>
  <c r="E213" i="4"/>
  <c r="D213" i="4"/>
  <c r="C213" i="4"/>
  <c r="B213" i="4"/>
  <c r="K212" i="4"/>
  <c r="I212" i="4"/>
  <c r="J212" i="4" s="1"/>
  <c r="H212" i="4"/>
  <c r="G212" i="4"/>
  <c r="E212" i="4"/>
  <c r="D212" i="4"/>
  <c r="C212" i="4"/>
  <c r="B212" i="4"/>
  <c r="K211" i="4"/>
  <c r="J211" i="4"/>
  <c r="I211" i="4"/>
  <c r="H211" i="4"/>
  <c r="G211" i="4"/>
  <c r="E211" i="4"/>
  <c r="D211" i="4"/>
  <c r="C211" i="4"/>
  <c r="B211" i="4"/>
  <c r="K210" i="4"/>
  <c r="H210" i="4"/>
  <c r="I210" i="4" s="1"/>
  <c r="J210" i="4" s="1"/>
  <c r="G210" i="4"/>
  <c r="E210" i="4"/>
  <c r="D210" i="4"/>
  <c r="C210" i="4"/>
  <c r="B210" i="4"/>
  <c r="K209" i="4"/>
  <c r="H209" i="4"/>
  <c r="I209" i="4" s="1"/>
  <c r="J209" i="4" s="1"/>
  <c r="G209" i="4"/>
  <c r="E209" i="4"/>
  <c r="D209" i="4"/>
  <c r="C209" i="4"/>
  <c r="B209" i="4"/>
  <c r="K208" i="4"/>
  <c r="I208" i="4"/>
  <c r="J208" i="4" s="1"/>
  <c r="H208" i="4"/>
  <c r="G208" i="4"/>
  <c r="E208" i="4"/>
  <c r="D208" i="4"/>
  <c r="C208" i="4"/>
  <c r="B208" i="4"/>
  <c r="K207" i="4"/>
  <c r="J207" i="4"/>
  <c r="I207" i="4"/>
  <c r="H207" i="4"/>
  <c r="G207" i="4"/>
  <c r="E207" i="4"/>
  <c r="D207" i="4"/>
  <c r="C207" i="4"/>
  <c r="B207" i="4"/>
  <c r="K206" i="4"/>
  <c r="H206" i="4"/>
  <c r="I206" i="4" s="1"/>
  <c r="J206" i="4" s="1"/>
  <c r="G206" i="4"/>
  <c r="E206" i="4"/>
  <c r="D206" i="4"/>
  <c r="C206" i="4"/>
  <c r="B206" i="4"/>
  <c r="K205" i="4"/>
  <c r="H205" i="4"/>
  <c r="I205" i="4" s="1"/>
  <c r="J205" i="4" s="1"/>
  <c r="G205" i="4"/>
  <c r="E205" i="4"/>
  <c r="D205" i="4"/>
  <c r="C205" i="4"/>
  <c r="B205" i="4"/>
  <c r="K204" i="4"/>
  <c r="I204" i="4"/>
  <c r="J204" i="4" s="1"/>
  <c r="H204" i="4"/>
  <c r="G204" i="4"/>
  <c r="E204" i="4"/>
  <c r="D204" i="4"/>
  <c r="C204" i="4"/>
  <c r="B204" i="4"/>
  <c r="K203" i="4"/>
  <c r="J203" i="4"/>
  <c r="I203" i="4"/>
  <c r="H203" i="4"/>
  <c r="G203" i="4"/>
  <c r="E203" i="4"/>
  <c r="D203" i="4"/>
  <c r="C203" i="4"/>
  <c r="B203" i="4"/>
  <c r="K202" i="4"/>
  <c r="H202" i="4"/>
  <c r="I202" i="4" s="1"/>
  <c r="J202" i="4" s="1"/>
  <c r="G202" i="4"/>
  <c r="E202" i="4"/>
  <c r="D202" i="4"/>
  <c r="C202" i="4"/>
  <c r="B202" i="4"/>
  <c r="K201" i="4"/>
  <c r="H201" i="4"/>
  <c r="I201" i="4" s="1"/>
  <c r="J201" i="4" s="1"/>
  <c r="G201" i="4"/>
  <c r="E201" i="4"/>
  <c r="D201" i="4"/>
  <c r="C201" i="4"/>
  <c r="B201" i="4"/>
  <c r="K200" i="4"/>
  <c r="I200" i="4"/>
  <c r="J200" i="4" s="1"/>
  <c r="H200" i="4"/>
  <c r="G200" i="4"/>
  <c r="E200" i="4"/>
  <c r="D200" i="4"/>
  <c r="C200" i="4"/>
  <c r="B200" i="4"/>
  <c r="K199" i="4"/>
  <c r="J199" i="4"/>
  <c r="I199" i="4"/>
  <c r="H199" i="4"/>
  <c r="G199" i="4"/>
  <c r="E199" i="4"/>
  <c r="D199" i="4"/>
  <c r="C199" i="4"/>
  <c r="B199" i="4"/>
  <c r="K198" i="4"/>
  <c r="H198" i="4"/>
  <c r="I198" i="4" s="1"/>
  <c r="J198" i="4" s="1"/>
  <c r="G198" i="4"/>
  <c r="E198" i="4"/>
  <c r="D198" i="4"/>
  <c r="C198" i="4"/>
  <c r="B198" i="4"/>
  <c r="K197" i="4"/>
  <c r="H197" i="4"/>
  <c r="I197" i="4" s="1"/>
  <c r="J197" i="4" s="1"/>
  <c r="G197" i="4"/>
  <c r="E197" i="4"/>
  <c r="D197" i="4"/>
  <c r="C197" i="4"/>
  <c r="B197" i="4"/>
  <c r="K196" i="4"/>
  <c r="I196" i="4"/>
  <c r="J196" i="4" s="1"/>
  <c r="H196" i="4"/>
  <c r="G196" i="4"/>
  <c r="E196" i="4"/>
  <c r="D196" i="4"/>
  <c r="C196" i="4"/>
  <c r="B196" i="4"/>
  <c r="K195" i="4"/>
  <c r="J195" i="4"/>
  <c r="I195" i="4"/>
  <c r="H195" i="4"/>
  <c r="G195" i="4"/>
  <c r="E195" i="4"/>
  <c r="D195" i="4"/>
  <c r="C195" i="4"/>
  <c r="B195" i="4"/>
  <c r="K194" i="4"/>
  <c r="H194" i="4"/>
  <c r="I194" i="4" s="1"/>
  <c r="J194" i="4" s="1"/>
  <c r="G194" i="4"/>
  <c r="E194" i="4"/>
  <c r="D194" i="4"/>
  <c r="C194" i="4"/>
  <c r="B194" i="4"/>
  <c r="K193" i="4"/>
  <c r="H193" i="4"/>
  <c r="I193" i="4" s="1"/>
  <c r="J193" i="4" s="1"/>
  <c r="G193" i="4"/>
  <c r="E193" i="4"/>
  <c r="D193" i="4"/>
  <c r="C193" i="4"/>
  <c r="B193" i="4"/>
  <c r="K192" i="4"/>
  <c r="I192" i="4"/>
  <c r="J192" i="4" s="1"/>
  <c r="H192" i="4"/>
  <c r="G192" i="4"/>
  <c r="E192" i="4"/>
  <c r="D192" i="4"/>
  <c r="C192" i="4"/>
  <c r="B192" i="4"/>
  <c r="K191" i="4"/>
  <c r="J191" i="4"/>
  <c r="I191" i="4"/>
  <c r="H191" i="4"/>
  <c r="G191" i="4"/>
  <c r="E191" i="4"/>
  <c r="D191" i="4"/>
  <c r="C191" i="4"/>
  <c r="B191" i="4"/>
  <c r="K190" i="4"/>
  <c r="H190" i="4"/>
  <c r="I190" i="4" s="1"/>
  <c r="J190" i="4" s="1"/>
  <c r="G190" i="4"/>
  <c r="E190" i="4"/>
  <c r="D190" i="4"/>
  <c r="C190" i="4"/>
  <c r="B190" i="4"/>
  <c r="K189" i="4"/>
  <c r="H189" i="4"/>
  <c r="I189" i="4" s="1"/>
  <c r="J189" i="4" s="1"/>
  <c r="G189" i="4"/>
  <c r="E189" i="4"/>
  <c r="D189" i="4"/>
  <c r="C189" i="4"/>
  <c r="B189" i="4"/>
  <c r="K188" i="4"/>
  <c r="I188" i="4"/>
  <c r="J188" i="4" s="1"/>
  <c r="H188" i="4"/>
  <c r="G188" i="4"/>
  <c r="E188" i="4"/>
  <c r="D188" i="4"/>
  <c r="C188" i="4"/>
  <c r="B188" i="4"/>
  <c r="K187" i="4"/>
  <c r="J187" i="4"/>
  <c r="I187" i="4"/>
  <c r="H187" i="4"/>
  <c r="G187" i="4"/>
  <c r="E187" i="4"/>
  <c r="D187" i="4"/>
  <c r="C187" i="4"/>
  <c r="B187" i="4"/>
  <c r="K186" i="4"/>
  <c r="H186" i="4"/>
  <c r="I186" i="4" s="1"/>
  <c r="J186" i="4" s="1"/>
  <c r="G186" i="4"/>
  <c r="E186" i="4"/>
  <c r="D186" i="4"/>
  <c r="C186" i="4"/>
  <c r="B186" i="4"/>
  <c r="K185" i="4"/>
  <c r="H185" i="4"/>
  <c r="I185" i="4" s="1"/>
  <c r="J185" i="4" s="1"/>
  <c r="G185" i="4"/>
  <c r="E185" i="4"/>
  <c r="D185" i="4"/>
  <c r="C185" i="4"/>
  <c r="B185" i="4"/>
  <c r="K184" i="4"/>
  <c r="I184" i="4"/>
  <c r="J184" i="4" s="1"/>
  <c r="H184" i="4"/>
  <c r="G184" i="4"/>
  <c r="E184" i="4"/>
  <c r="D184" i="4"/>
  <c r="C184" i="4"/>
  <c r="B184" i="4"/>
  <c r="K183" i="4"/>
  <c r="J183" i="4"/>
  <c r="I183" i="4"/>
  <c r="H183" i="4"/>
  <c r="G183" i="4"/>
  <c r="E183" i="4"/>
  <c r="D183" i="4"/>
  <c r="C183" i="4"/>
  <c r="B183" i="4"/>
  <c r="K182" i="4"/>
  <c r="H182" i="4"/>
  <c r="I182" i="4" s="1"/>
  <c r="J182" i="4" s="1"/>
  <c r="G182" i="4"/>
  <c r="E182" i="4"/>
  <c r="D182" i="4"/>
  <c r="C182" i="4"/>
  <c r="B182" i="4"/>
  <c r="K181" i="4"/>
  <c r="H181" i="4"/>
  <c r="I181" i="4" s="1"/>
  <c r="J181" i="4" s="1"/>
  <c r="G181" i="4"/>
  <c r="E181" i="4"/>
  <c r="D181" i="4"/>
  <c r="C181" i="4"/>
  <c r="B181" i="4"/>
  <c r="K180" i="4"/>
  <c r="I180" i="4"/>
  <c r="J180" i="4" s="1"/>
  <c r="H180" i="4"/>
  <c r="G180" i="4"/>
  <c r="E180" i="4"/>
  <c r="D180" i="4"/>
  <c r="C180" i="4"/>
  <c r="B180" i="4"/>
  <c r="K179" i="4"/>
  <c r="J179" i="4"/>
  <c r="I179" i="4"/>
  <c r="H179" i="4"/>
  <c r="G179" i="4"/>
  <c r="E179" i="4"/>
  <c r="D179" i="4"/>
  <c r="C179" i="4"/>
  <c r="B179" i="4"/>
  <c r="K178" i="4"/>
  <c r="H178" i="4"/>
  <c r="I178" i="4" s="1"/>
  <c r="J178" i="4" s="1"/>
  <c r="G178" i="4"/>
  <c r="E178" i="4"/>
  <c r="D178" i="4"/>
  <c r="C178" i="4"/>
  <c r="B178" i="4"/>
  <c r="K177" i="4"/>
  <c r="H177" i="4"/>
  <c r="I177" i="4" s="1"/>
  <c r="J177" i="4" s="1"/>
  <c r="G177" i="4"/>
  <c r="E177" i="4"/>
  <c r="D177" i="4"/>
  <c r="C177" i="4"/>
  <c r="B177" i="4"/>
  <c r="K176" i="4"/>
  <c r="I176" i="4"/>
  <c r="J176" i="4" s="1"/>
  <c r="H176" i="4"/>
  <c r="G176" i="4"/>
  <c r="E176" i="4"/>
  <c r="D176" i="4"/>
  <c r="C176" i="4"/>
  <c r="B176" i="4"/>
  <c r="K175" i="4"/>
  <c r="J175" i="4"/>
  <c r="I175" i="4"/>
  <c r="H175" i="4"/>
  <c r="G175" i="4"/>
  <c r="E175" i="4"/>
  <c r="D175" i="4"/>
  <c r="C175" i="4"/>
  <c r="B175" i="4"/>
  <c r="K174" i="4"/>
  <c r="H174" i="4"/>
  <c r="I174" i="4" s="1"/>
  <c r="J174" i="4" s="1"/>
  <c r="G174" i="4"/>
  <c r="E174" i="4"/>
  <c r="D174" i="4"/>
  <c r="C174" i="4"/>
  <c r="B174" i="4"/>
  <c r="K173" i="4"/>
  <c r="H173" i="4"/>
  <c r="I173" i="4" s="1"/>
  <c r="J173" i="4" s="1"/>
  <c r="G173" i="4"/>
  <c r="E173" i="4"/>
  <c r="D173" i="4"/>
  <c r="C173" i="4"/>
  <c r="B173" i="4"/>
  <c r="K172" i="4"/>
  <c r="I172" i="4"/>
  <c r="J172" i="4" s="1"/>
  <c r="H172" i="4"/>
  <c r="G172" i="4"/>
  <c r="E172" i="4"/>
  <c r="D172" i="4"/>
  <c r="C172" i="4"/>
  <c r="B172" i="4"/>
  <c r="K171" i="4"/>
  <c r="J171" i="4"/>
  <c r="I171" i="4"/>
  <c r="H171" i="4"/>
  <c r="G171" i="4"/>
  <c r="E171" i="4"/>
  <c r="D171" i="4"/>
  <c r="C171" i="4"/>
  <c r="B171" i="4"/>
  <c r="K170" i="4"/>
  <c r="H170" i="4"/>
  <c r="I170" i="4" s="1"/>
  <c r="J170" i="4" s="1"/>
  <c r="G170" i="4"/>
  <c r="E170" i="4"/>
  <c r="D170" i="4"/>
  <c r="C170" i="4"/>
  <c r="B170" i="4"/>
  <c r="K169" i="4"/>
  <c r="H169" i="4"/>
  <c r="I169" i="4" s="1"/>
  <c r="J169" i="4" s="1"/>
  <c r="G169" i="4"/>
  <c r="E169" i="4"/>
  <c r="D169" i="4"/>
  <c r="C169" i="4"/>
  <c r="B169" i="4"/>
  <c r="K168" i="4"/>
  <c r="I168" i="4"/>
  <c r="J168" i="4" s="1"/>
  <c r="H168" i="4"/>
  <c r="G168" i="4"/>
  <c r="E168" i="4"/>
  <c r="D168" i="4"/>
  <c r="C168" i="4"/>
  <c r="B168" i="4"/>
  <c r="K167" i="4"/>
  <c r="J167" i="4"/>
  <c r="I167" i="4"/>
  <c r="H167" i="4"/>
  <c r="G167" i="4"/>
  <c r="E167" i="4"/>
  <c r="D167" i="4"/>
  <c r="C167" i="4"/>
  <c r="B167" i="4"/>
  <c r="K166" i="4"/>
  <c r="H166" i="4"/>
  <c r="I166" i="4" s="1"/>
  <c r="J166" i="4" s="1"/>
  <c r="G166" i="4"/>
  <c r="E166" i="4"/>
  <c r="D166" i="4"/>
  <c r="C166" i="4"/>
  <c r="B166" i="4"/>
  <c r="K165" i="4"/>
  <c r="H165" i="4"/>
  <c r="I165" i="4" s="1"/>
  <c r="J165" i="4" s="1"/>
  <c r="G165" i="4"/>
  <c r="E165" i="4"/>
  <c r="D165" i="4"/>
  <c r="C165" i="4"/>
  <c r="B165" i="4"/>
  <c r="K164" i="4"/>
  <c r="I164" i="4"/>
  <c r="J164" i="4" s="1"/>
  <c r="H164" i="4"/>
  <c r="G164" i="4"/>
  <c r="E164" i="4"/>
  <c r="D164" i="4"/>
  <c r="C164" i="4"/>
  <c r="B164" i="4"/>
  <c r="K163" i="4"/>
  <c r="J163" i="4"/>
  <c r="I163" i="4"/>
  <c r="H163" i="4"/>
  <c r="G163" i="4"/>
  <c r="E163" i="4"/>
  <c r="D163" i="4"/>
  <c r="C163" i="4"/>
  <c r="B163" i="4"/>
  <c r="K162" i="4"/>
  <c r="H162" i="4"/>
  <c r="I162" i="4" s="1"/>
  <c r="J162" i="4" s="1"/>
  <c r="G162" i="4"/>
  <c r="E162" i="4"/>
  <c r="D162" i="4"/>
  <c r="C162" i="4"/>
  <c r="B162" i="4"/>
  <c r="K161" i="4"/>
  <c r="H161" i="4"/>
  <c r="I161" i="4" s="1"/>
  <c r="J161" i="4" s="1"/>
  <c r="G161" i="4"/>
  <c r="E161" i="4"/>
  <c r="D161" i="4"/>
  <c r="C161" i="4"/>
  <c r="B161" i="4"/>
  <c r="K160" i="4"/>
  <c r="I160" i="4"/>
  <c r="J160" i="4" s="1"/>
  <c r="H160" i="4"/>
  <c r="G160" i="4"/>
  <c r="E160" i="4"/>
  <c r="D160" i="4"/>
  <c r="C160" i="4"/>
  <c r="B160" i="4"/>
  <c r="K159" i="4"/>
  <c r="J159" i="4"/>
  <c r="I159" i="4"/>
  <c r="H159" i="4"/>
  <c r="G159" i="4"/>
  <c r="E159" i="4"/>
  <c r="D159" i="4"/>
  <c r="C159" i="4"/>
  <c r="B159" i="4"/>
  <c r="K158" i="4"/>
  <c r="H158" i="4"/>
  <c r="I158" i="4" s="1"/>
  <c r="J158" i="4" s="1"/>
  <c r="G158" i="4"/>
  <c r="E158" i="4"/>
  <c r="D158" i="4"/>
  <c r="C158" i="4"/>
  <c r="B158" i="4"/>
  <c r="K157" i="4"/>
  <c r="H157" i="4"/>
  <c r="I157" i="4" s="1"/>
  <c r="J157" i="4" s="1"/>
  <c r="G157" i="4"/>
  <c r="E157" i="4"/>
  <c r="D157" i="4"/>
  <c r="C157" i="4"/>
  <c r="B157" i="4"/>
  <c r="K156" i="4"/>
  <c r="I156" i="4"/>
  <c r="J156" i="4" s="1"/>
  <c r="H156" i="4"/>
  <c r="G156" i="4"/>
  <c r="E156" i="4"/>
  <c r="D156" i="4"/>
  <c r="C156" i="4"/>
  <c r="B156" i="4"/>
  <c r="K155" i="4"/>
  <c r="J155" i="4"/>
  <c r="I155" i="4"/>
  <c r="H155" i="4"/>
  <c r="G155" i="4"/>
  <c r="E155" i="4"/>
  <c r="D155" i="4"/>
  <c r="C155" i="4"/>
  <c r="B155" i="4"/>
  <c r="K154" i="4"/>
  <c r="H154" i="4"/>
  <c r="I154" i="4" s="1"/>
  <c r="J154" i="4" s="1"/>
  <c r="G154" i="4"/>
  <c r="E154" i="4"/>
  <c r="D154" i="4"/>
  <c r="C154" i="4"/>
  <c r="B154" i="4"/>
  <c r="K153" i="4"/>
  <c r="H153" i="4"/>
  <c r="I153" i="4" s="1"/>
  <c r="J153" i="4" s="1"/>
  <c r="G153" i="4"/>
  <c r="E153" i="4"/>
  <c r="D153" i="4"/>
  <c r="C153" i="4"/>
  <c r="B153" i="4"/>
  <c r="K152" i="4"/>
  <c r="I152" i="4"/>
  <c r="J152" i="4" s="1"/>
  <c r="H152" i="4"/>
  <c r="G152" i="4"/>
  <c r="E152" i="4"/>
  <c r="D152" i="4"/>
  <c r="C152" i="4"/>
  <c r="B152" i="4"/>
  <c r="K151" i="4"/>
  <c r="J151" i="4"/>
  <c r="I151" i="4"/>
  <c r="H151" i="4"/>
  <c r="G151" i="4"/>
  <c r="E151" i="4"/>
  <c r="D151" i="4"/>
  <c r="C151" i="4"/>
  <c r="B151" i="4"/>
  <c r="K150" i="4"/>
  <c r="H150" i="4"/>
  <c r="I150" i="4" s="1"/>
  <c r="J150" i="4" s="1"/>
  <c r="G150" i="4"/>
  <c r="E150" i="4"/>
  <c r="D150" i="4"/>
  <c r="C150" i="4"/>
  <c r="B150" i="4"/>
  <c r="K149" i="4"/>
  <c r="H149" i="4"/>
  <c r="I149" i="4" s="1"/>
  <c r="J149" i="4" s="1"/>
  <c r="G149" i="4"/>
  <c r="E149" i="4"/>
  <c r="D149" i="4"/>
  <c r="C149" i="4"/>
  <c r="B149" i="4"/>
  <c r="K148" i="4"/>
  <c r="I148" i="4"/>
  <c r="J148" i="4" s="1"/>
  <c r="H148" i="4"/>
  <c r="G148" i="4"/>
  <c r="E148" i="4"/>
  <c r="D148" i="4"/>
  <c r="C148" i="4"/>
  <c r="B148" i="4"/>
  <c r="K147" i="4"/>
  <c r="J147" i="4"/>
  <c r="I147" i="4"/>
  <c r="H147" i="4"/>
  <c r="G147" i="4"/>
  <c r="E147" i="4"/>
  <c r="D147" i="4"/>
  <c r="C147" i="4"/>
  <c r="B147" i="4"/>
  <c r="K146" i="4"/>
  <c r="H146" i="4"/>
  <c r="I146" i="4" s="1"/>
  <c r="J146" i="4" s="1"/>
  <c r="G146" i="4"/>
  <c r="E146" i="4"/>
  <c r="D146" i="4"/>
  <c r="C146" i="4"/>
  <c r="B146" i="4"/>
  <c r="K145" i="4"/>
  <c r="H145" i="4"/>
  <c r="I145" i="4" s="1"/>
  <c r="J145" i="4" s="1"/>
  <c r="G145" i="4"/>
  <c r="E145" i="4"/>
  <c r="D145" i="4"/>
  <c r="C145" i="4"/>
  <c r="B145" i="4"/>
  <c r="K144" i="4"/>
  <c r="I144" i="4"/>
  <c r="J144" i="4" s="1"/>
  <c r="H144" i="4"/>
  <c r="G144" i="4"/>
  <c r="E144" i="4"/>
  <c r="D144" i="4"/>
  <c r="C144" i="4"/>
  <c r="B144" i="4"/>
  <c r="K143" i="4"/>
  <c r="J143" i="4"/>
  <c r="I143" i="4"/>
  <c r="H143" i="4"/>
  <c r="G143" i="4"/>
  <c r="E143" i="4"/>
  <c r="D143" i="4"/>
  <c r="C143" i="4"/>
  <c r="B143" i="4"/>
  <c r="K142" i="4"/>
  <c r="H142" i="4"/>
  <c r="I142" i="4" s="1"/>
  <c r="J142" i="4" s="1"/>
  <c r="G142" i="4"/>
  <c r="E142" i="4"/>
  <c r="D142" i="4"/>
  <c r="C142" i="4"/>
  <c r="B142" i="4"/>
  <c r="K141" i="4"/>
  <c r="H141" i="4"/>
  <c r="I141" i="4" s="1"/>
  <c r="J141" i="4" s="1"/>
  <c r="G141" i="4"/>
  <c r="E141" i="4"/>
  <c r="D141" i="4"/>
  <c r="C141" i="4"/>
  <c r="B141" i="4"/>
  <c r="K140" i="4"/>
  <c r="I140" i="4"/>
  <c r="J140" i="4" s="1"/>
  <c r="H140" i="4"/>
  <c r="G140" i="4"/>
  <c r="E140" i="4"/>
  <c r="D140" i="4"/>
  <c r="C140" i="4"/>
  <c r="B140" i="4"/>
  <c r="K139" i="4"/>
  <c r="J139" i="4"/>
  <c r="I139" i="4"/>
  <c r="H139" i="4"/>
  <c r="G139" i="4"/>
  <c r="E139" i="4"/>
  <c r="D139" i="4"/>
  <c r="C139" i="4"/>
  <c r="B139" i="4"/>
  <c r="K138" i="4"/>
  <c r="H138" i="4"/>
  <c r="I138" i="4" s="1"/>
  <c r="J138" i="4" s="1"/>
  <c r="G138" i="4"/>
  <c r="E138" i="4"/>
  <c r="D138" i="4"/>
  <c r="C138" i="4"/>
  <c r="B138" i="4"/>
  <c r="K137" i="4"/>
  <c r="H137" i="4"/>
  <c r="I137" i="4" s="1"/>
  <c r="J137" i="4" s="1"/>
  <c r="G137" i="4"/>
  <c r="E137" i="4"/>
  <c r="D137" i="4"/>
  <c r="C137" i="4"/>
  <c r="B137" i="4"/>
  <c r="K136" i="4"/>
  <c r="I136" i="4"/>
  <c r="J136" i="4" s="1"/>
  <c r="H136" i="4"/>
  <c r="G136" i="4"/>
  <c r="E136" i="4"/>
  <c r="D136" i="4"/>
  <c r="C136" i="4"/>
  <c r="B136" i="4"/>
  <c r="K135" i="4"/>
  <c r="J135" i="4"/>
  <c r="I135" i="4"/>
  <c r="H135" i="4"/>
  <c r="G135" i="4"/>
  <c r="E135" i="4"/>
  <c r="D135" i="4"/>
  <c r="C135" i="4"/>
  <c r="B135" i="4"/>
  <c r="K134" i="4"/>
  <c r="H134" i="4"/>
  <c r="I134" i="4" s="1"/>
  <c r="J134" i="4" s="1"/>
  <c r="G134" i="4"/>
  <c r="E134" i="4"/>
  <c r="D134" i="4"/>
  <c r="C134" i="4"/>
  <c r="B134" i="4"/>
  <c r="K133" i="4"/>
  <c r="H133" i="4"/>
  <c r="I133" i="4" s="1"/>
  <c r="J133" i="4" s="1"/>
  <c r="G133" i="4"/>
  <c r="E133" i="4"/>
  <c r="D133" i="4"/>
  <c r="C133" i="4"/>
  <c r="B133" i="4"/>
  <c r="K132" i="4"/>
  <c r="I132" i="4"/>
  <c r="J132" i="4" s="1"/>
  <c r="H132" i="4"/>
  <c r="G132" i="4"/>
  <c r="E132" i="4"/>
  <c r="D132" i="4"/>
  <c r="C132" i="4"/>
  <c r="B132" i="4"/>
  <c r="K131" i="4"/>
  <c r="J131" i="4"/>
  <c r="I131" i="4"/>
  <c r="H131" i="4"/>
  <c r="G131" i="4"/>
  <c r="E131" i="4"/>
  <c r="D131" i="4"/>
  <c r="C131" i="4"/>
  <c r="B131" i="4"/>
  <c r="K130" i="4"/>
  <c r="H130" i="4"/>
  <c r="I130" i="4" s="1"/>
  <c r="J130" i="4" s="1"/>
  <c r="G130" i="4"/>
  <c r="E130" i="4"/>
  <c r="D130" i="4"/>
  <c r="C130" i="4"/>
  <c r="B130" i="4"/>
  <c r="K129" i="4"/>
  <c r="H129" i="4"/>
  <c r="I129" i="4" s="1"/>
  <c r="J129" i="4" s="1"/>
  <c r="G129" i="4"/>
  <c r="E129" i="4"/>
  <c r="D129" i="4"/>
  <c r="C129" i="4"/>
  <c r="B129" i="4"/>
  <c r="K128" i="4"/>
  <c r="I128" i="4"/>
  <c r="J128" i="4" s="1"/>
  <c r="H128" i="4"/>
  <c r="G128" i="4"/>
  <c r="E128" i="4"/>
  <c r="D128" i="4"/>
  <c r="C128" i="4"/>
  <c r="B128" i="4"/>
  <c r="K127" i="4"/>
  <c r="J127" i="4"/>
  <c r="I127" i="4"/>
  <c r="H127" i="4"/>
  <c r="G127" i="4"/>
  <c r="E127" i="4"/>
  <c r="D127" i="4"/>
  <c r="C127" i="4"/>
  <c r="B127" i="4"/>
  <c r="K126" i="4"/>
  <c r="H126" i="4"/>
  <c r="I126" i="4" s="1"/>
  <c r="J126" i="4" s="1"/>
  <c r="G126" i="4"/>
  <c r="E126" i="4"/>
  <c r="D126" i="4"/>
  <c r="C126" i="4"/>
  <c r="B126" i="4"/>
  <c r="K125" i="4"/>
  <c r="H125" i="4"/>
  <c r="I125" i="4" s="1"/>
  <c r="J125" i="4" s="1"/>
  <c r="G125" i="4"/>
  <c r="E125" i="4"/>
  <c r="D125" i="4"/>
  <c r="C125" i="4"/>
  <c r="B125" i="4"/>
  <c r="K124" i="4"/>
  <c r="I124" i="4"/>
  <c r="J124" i="4" s="1"/>
  <c r="H124" i="4"/>
  <c r="G124" i="4"/>
  <c r="E124" i="4"/>
  <c r="D124" i="4"/>
  <c r="C124" i="4"/>
  <c r="B124" i="4"/>
  <c r="K123" i="4"/>
  <c r="J123" i="4"/>
  <c r="I123" i="4"/>
  <c r="H123" i="4"/>
  <c r="G123" i="4"/>
  <c r="E123" i="4"/>
  <c r="D123" i="4"/>
  <c r="C123" i="4"/>
  <c r="B123" i="4"/>
  <c r="K122" i="4"/>
  <c r="H122" i="4"/>
  <c r="I122" i="4" s="1"/>
  <c r="J122" i="4" s="1"/>
  <c r="G122" i="4"/>
  <c r="E122" i="4"/>
  <c r="D122" i="4"/>
  <c r="C122" i="4"/>
  <c r="B122" i="4"/>
  <c r="K121" i="4"/>
  <c r="H121" i="4"/>
  <c r="I121" i="4" s="1"/>
  <c r="J121" i="4" s="1"/>
  <c r="G121" i="4"/>
  <c r="E121" i="4"/>
  <c r="D121" i="4"/>
  <c r="C121" i="4"/>
  <c r="B121" i="4"/>
  <c r="K120" i="4"/>
  <c r="I120" i="4"/>
  <c r="J120" i="4" s="1"/>
  <c r="H120" i="4"/>
  <c r="G120" i="4"/>
  <c r="E120" i="4"/>
  <c r="D120" i="4"/>
  <c r="C120" i="4"/>
  <c r="B120" i="4"/>
  <c r="K119" i="4"/>
  <c r="J119" i="4"/>
  <c r="I119" i="4"/>
  <c r="H119" i="4"/>
  <c r="G119" i="4"/>
  <c r="E119" i="4"/>
  <c r="D119" i="4"/>
  <c r="C119" i="4"/>
  <c r="B119" i="4"/>
  <c r="K118" i="4"/>
  <c r="H118" i="4"/>
  <c r="I118" i="4" s="1"/>
  <c r="J118" i="4" s="1"/>
  <c r="G118" i="4"/>
  <c r="E118" i="4"/>
  <c r="D118" i="4"/>
  <c r="C118" i="4"/>
  <c r="B118" i="4"/>
  <c r="K117" i="4"/>
  <c r="H117" i="4"/>
  <c r="I117" i="4" s="1"/>
  <c r="J117" i="4" s="1"/>
  <c r="G117" i="4"/>
  <c r="E117" i="4"/>
  <c r="D117" i="4"/>
  <c r="C117" i="4"/>
  <c r="B117" i="4"/>
  <c r="K116" i="4"/>
  <c r="I116" i="4"/>
  <c r="J116" i="4" s="1"/>
  <c r="H116" i="4"/>
  <c r="G116" i="4"/>
  <c r="E116" i="4"/>
  <c r="D116" i="4"/>
  <c r="C116" i="4"/>
  <c r="B116" i="4"/>
  <c r="K115" i="4"/>
  <c r="J115" i="4"/>
  <c r="I115" i="4"/>
  <c r="H115" i="4"/>
  <c r="G115" i="4"/>
  <c r="E115" i="4"/>
  <c r="D115" i="4"/>
  <c r="C115" i="4"/>
  <c r="B115" i="4"/>
  <c r="K114" i="4"/>
  <c r="H114" i="4"/>
  <c r="I114" i="4" s="1"/>
  <c r="J114" i="4" s="1"/>
  <c r="G114" i="4"/>
  <c r="E114" i="4"/>
  <c r="D114" i="4"/>
  <c r="C114" i="4"/>
  <c r="B114" i="4"/>
  <c r="K113" i="4"/>
  <c r="H113" i="4"/>
  <c r="I113" i="4" s="1"/>
  <c r="J113" i="4" s="1"/>
  <c r="G113" i="4"/>
  <c r="E113" i="4"/>
  <c r="D113" i="4"/>
  <c r="C113" i="4"/>
  <c r="B113" i="4"/>
  <c r="K112" i="4"/>
  <c r="I112" i="4"/>
  <c r="J112" i="4" s="1"/>
  <c r="H112" i="4"/>
  <c r="G112" i="4"/>
  <c r="E112" i="4"/>
  <c r="D112" i="4"/>
  <c r="C112" i="4"/>
  <c r="B112" i="4"/>
  <c r="K111" i="4"/>
  <c r="J111" i="4"/>
  <c r="I111" i="4"/>
  <c r="H111" i="4"/>
  <c r="G111" i="4"/>
  <c r="E111" i="4"/>
  <c r="D111" i="4"/>
  <c r="C111" i="4"/>
  <c r="B111" i="4"/>
  <c r="K110" i="4"/>
  <c r="H110" i="4"/>
  <c r="I110" i="4" s="1"/>
  <c r="J110" i="4" s="1"/>
  <c r="G110" i="4"/>
  <c r="E110" i="4"/>
  <c r="D110" i="4"/>
  <c r="C110" i="4"/>
  <c r="B110" i="4"/>
  <c r="K109" i="4"/>
  <c r="H109" i="4"/>
  <c r="I109" i="4" s="1"/>
  <c r="J109" i="4" s="1"/>
  <c r="G109" i="4"/>
  <c r="E109" i="4"/>
  <c r="D109" i="4"/>
  <c r="C109" i="4"/>
  <c r="B109" i="4"/>
  <c r="K108" i="4"/>
  <c r="I108" i="4"/>
  <c r="J108" i="4" s="1"/>
  <c r="H108" i="4"/>
  <c r="G108" i="4"/>
  <c r="E108" i="4"/>
  <c r="D108" i="4"/>
  <c r="C108" i="4"/>
  <c r="B108" i="4"/>
  <c r="K107" i="4"/>
  <c r="J107" i="4"/>
  <c r="I107" i="4"/>
  <c r="H107" i="4"/>
  <c r="G107" i="4"/>
  <c r="E107" i="4"/>
  <c r="D107" i="4"/>
  <c r="C107" i="4"/>
  <c r="B107" i="4"/>
  <c r="K106" i="4"/>
  <c r="H106" i="4"/>
  <c r="I106" i="4" s="1"/>
  <c r="J106" i="4" s="1"/>
  <c r="G106" i="4"/>
  <c r="E106" i="4"/>
  <c r="D106" i="4"/>
  <c r="C106" i="4"/>
  <c r="B106" i="4"/>
  <c r="K105" i="4"/>
  <c r="H105" i="4"/>
  <c r="I105" i="4" s="1"/>
  <c r="J105" i="4" s="1"/>
  <c r="G105" i="4"/>
  <c r="E105" i="4"/>
  <c r="D105" i="4"/>
  <c r="C105" i="4"/>
  <c r="B105" i="4"/>
  <c r="K104" i="4"/>
  <c r="I104" i="4"/>
  <c r="J104" i="4" s="1"/>
  <c r="H104" i="4"/>
  <c r="G104" i="4"/>
  <c r="E104" i="4"/>
  <c r="D104" i="4"/>
  <c r="C104" i="4"/>
  <c r="B104" i="4"/>
  <c r="K103" i="4"/>
  <c r="J103" i="4"/>
  <c r="I103" i="4"/>
  <c r="H103" i="4"/>
  <c r="G103" i="4"/>
  <c r="E103" i="4"/>
  <c r="D103" i="4"/>
  <c r="C103" i="4"/>
  <c r="B103" i="4"/>
  <c r="K102" i="4"/>
  <c r="H102" i="4"/>
  <c r="I102" i="4" s="1"/>
  <c r="J102" i="4" s="1"/>
  <c r="G102" i="4"/>
  <c r="E102" i="4"/>
  <c r="D102" i="4"/>
  <c r="C102" i="4"/>
  <c r="B102" i="4"/>
  <c r="K101" i="4"/>
  <c r="H101" i="4"/>
  <c r="I101" i="4" s="1"/>
  <c r="J101" i="4" s="1"/>
  <c r="G101" i="4"/>
  <c r="E101" i="4"/>
  <c r="D101" i="4"/>
  <c r="C101" i="4"/>
  <c r="B101" i="4"/>
  <c r="K100" i="4"/>
  <c r="I100" i="4"/>
  <c r="J100" i="4" s="1"/>
  <c r="H100" i="4"/>
  <c r="G100" i="4"/>
  <c r="E100" i="4"/>
  <c r="D100" i="4"/>
  <c r="C100" i="4"/>
  <c r="B100" i="4"/>
  <c r="N99" i="4"/>
  <c r="M99" i="4"/>
  <c r="K99" i="4"/>
  <c r="H99" i="4"/>
  <c r="I99" i="4" s="1"/>
  <c r="J99" i="4" s="1"/>
  <c r="G99" i="4"/>
  <c r="E99" i="4"/>
  <c r="D99" i="4"/>
  <c r="C99" i="4"/>
  <c r="B99" i="4"/>
  <c r="N98" i="4"/>
  <c r="M98" i="4"/>
  <c r="K98" i="4"/>
  <c r="H98" i="4"/>
  <c r="I98" i="4" s="1"/>
  <c r="J98" i="4" s="1"/>
  <c r="G98" i="4"/>
  <c r="E98" i="4"/>
  <c r="D98" i="4"/>
  <c r="C98" i="4"/>
  <c r="B98" i="4"/>
  <c r="N97" i="4"/>
  <c r="M97" i="4"/>
  <c r="K97" i="4"/>
  <c r="J97" i="4"/>
  <c r="I97" i="4"/>
  <c r="H97" i="4"/>
  <c r="G97" i="4"/>
  <c r="E97" i="4"/>
  <c r="D97" i="4"/>
  <c r="C97" i="4"/>
  <c r="B97" i="4"/>
  <c r="N96" i="4"/>
  <c r="M96" i="4"/>
  <c r="K96" i="4"/>
  <c r="I96" i="4"/>
  <c r="J96" i="4" s="1"/>
  <c r="H96" i="4"/>
  <c r="G96" i="4"/>
  <c r="E96" i="4"/>
  <c r="D96" i="4"/>
  <c r="C96" i="4"/>
  <c r="B96" i="4"/>
  <c r="N95" i="4"/>
  <c r="M95" i="4"/>
  <c r="K95" i="4"/>
  <c r="H95" i="4"/>
  <c r="I95" i="4" s="1"/>
  <c r="J95" i="4" s="1"/>
  <c r="G95" i="4"/>
  <c r="E95" i="4"/>
  <c r="D95" i="4"/>
  <c r="C95" i="4"/>
  <c r="B95" i="4"/>
  <c r="N94" i="4"/>
  <c r="M94" i="4"/>
  <c r="K94" i="4"/>
  <c r="H94" i="4"/>
  <c r="I94" i="4" s="1"/>
  <c r="J94" i="4" s="1"/>
  <c r="G94" i="4"/>
  <c r="E94" i="4"/>
  <c r="D94" i="4"/>
  <c r="C94" i="4"/>
  <c r="B94" i="4"/>
  <c r="N93" i="4"/>
  <c r="M93" i="4"/>
  <c r="K93" i="4"/>
  <c r="J93" i="4"/>
  <c r="I93" i="4"/>
  <c r="H93" i="4"/>
  <c r="G93" i="4"/>
  <c r="E93" i="4"/>
  <c r="D93" i="4"/>
  <c r="C93" i="4"/>
  <c r="B93" i="4"/>
  <c r="N92" i="4"/>
  <c r="M92" i="4"/>
  <c r="K92" i="4"/>
  <c r="I92" i="4"/>
  <c r="J92" i="4" s="1"/>
  <c r="H92" i="4"/>
  <c r="G92" i="4"/>
  <c r="E92" i="4"/>
  <c r="D92" i="4"/>
  <c r="C92" i="4"/>
  <c r="B92" i="4"/>
  <c r="N91" i="4"/>
  <c r="M91" i="4"/>
  <c r="K91" i="4"/>
  <c r="H91" i="4"/>
  <c r="I91" i="4" s="1"/>
  <c r="J91" i="4" s="1"/>
  <c r="G91" i="4"/>
  <c r="E91" i="4"/>
  <c r="D91" i="4"/>
  <c r="C91" i="4"/>
  <c r="B91" i="4"/>
  <c r="N90" i="4"/>
  <c r="M90" i="4"/>
  <c r="K90" i="4"/>
  <c r="H90" i="4"/>
  <c r="I90" i="4" s="1"/>
  <c r="J90" i="4" s="1"/>
  <c r="G90" i="4"/>
  <c r="E90" i="4"/>
  <c r="D90" i="4"/>
  <c r="C90" i="4"/>
  <c r="B90" i="4"/>
  <c r="N89" i="4"/>
  <c r="M89" i="4"/>
  <c r="K89" i="4"/>
  <c r="J89" i="4"/>
  <c r="I89" i="4"/>
  <c r="H89" i="4"/>
  <c r="G89" i="4"/>
  <c r="E89" i="4"/>
  <c r="D89" i="4"/>
  <c r="C89" i="4"/>
  <c r="B89" i="4"/>
  <c r="N88" i="4"/>
  <c r="M88" i="4"/>
  <c r="K88" i="4"/>
  <c r="I88" i="4"/>
  <c r="J88" i="4" s="1"/>
  <c r="H88" i="4"/>
  <c r="G88" i="4"/>
  <c r="E88" i="4"/>
  <c r="D88" i="4"/>
  <c r="C88" i="4"/>
  <c r="B88" i="4"/>
  <c r="N87" i="4"/>
  <c r="M87" i="4"/>
  <c r="K87" i="4"/>
  <c r="H87" i="4"/>
  <c r="I87" i="4" s="1"/>
  <c r="J87" i="4" s="1"/>
  <c r="G87" i="4"/>
  <c r="E87" i="4"/>
  <c r="D87" i="4"/>
  <c r="C87" i="4"/>
  <c r="B87" i="4"/>
  <c r="N86" i="4"/>
  <c r="M86" i="4"/>
  <c r="K86" i="4"/>
  <c r="H86" i="4"/>
  <c r="I86" i="4" s="1"/>
  <c r="J86" i="4" s="1"/>
  <c r="G86" i="4"/>
  <c r="E86" i="4"/>
  <c r="D86" i="4"/>
  <c r="C86" i="4"/>
  <c r="B86" i="4"/>
  <c r="N85" i="4"/>
  <c r="M85" i="4"/>
  <c r="K85" i="4"/>
  <c r="J85" i="4"/>
  <c r="I85" i="4"/>
  <c r="H85" i="4"/>
  <c r="G85" i="4"/>
  <c r="E85" i="4"/>
  <c r="D85" i="4"/>
  <c r="C85" i="4"/>
  <c r="B85" i="4"/>
  <c r="N84" i="4"/>
  <c r="M84" i="4"/>
  <c r="K84" i="4"/>
  <c r="I84" i="4"/>
  <c r="J84" i="4" s="1"/>
  <c r="H84" i="4"/>
  <c r="G84" i="4"/>
  <c r="E84" i="4"/>
  <c r="D84" i="4"/>
  <c r="C84" i="4"/>
  <c r="B84" i="4"/>
  <c r="N83" i="4"/>
  <c r="M83" i="4"/>
  <c r="K83" i="4"/>
  <c r="H83" i="4"/>
  <c r="I83" i="4" s="1"/>
  <c r="J83" i="4" s="1"/>
  <c r="G83" i="4"/>
  <c r="E83" i="4"/>
  <c r="D83" i="4"/>
  <c r="C83" i="4"/>
  <c r="B83" i="4"/>
  <c r="N82" i="4"/>
  <c r="M82" i="4"/>
  <c r="K82" i="4"/>
  <c r="H82" i="4"/>
  <c r="I82" i="4" s="1"/>
  <c r="J82" i="4" s="1"/>
  <c r="G82" i="4"/>
  <c r="E82" i="4"/>
  <c r="D82" i="4"/>
  <c r="C82" i="4"/>
  <c r="B82" i="4"/>
  <c r="N81" i="4"/>
  <c r="M81" i="4"/>
  <c r="K81" i="4"/>
  <c r="J81" i="4"/>
  <c r="I81" i="4"/>
  <c r="H81" i="4"/>
  <c r="G81" i="4"/>
  <c r="E81" i="4"/>
  <c r="D81" i="4"/>
  <c r="C81" i="4"/>
  <c r="B81" i="4"/>
  <c r="N80" i="4"/>
  <c r="M80" i="4"/>
  <c r="K80" i="4"/>
  <c r="I80" i="4"/>
  <c r="J80" i="4" s="1"/>
  <c r="H80" i="4"/>
  <c r="G80" i="4"/>
  <c r="E80" i="4"/>
  <c r="D80" i="4"/>
  <c r="C80" i="4"/>
  <c r="B80" i="4"/>
  <c r="N79" i="4"/>
  <c r="M79" i="4"/>
  <c r="K79" i="4"/>
  <c r="H79" i="4"/>
  <c r="I79" i="4" s="1"/>
  <c r="J79" i="4" s="1"/>
  <c r="G79" i="4"/>
  <c r="E79" i="4"/>
  <c r="D79" i="4"/>
  <c r="C79" i="4"/>
  <c r="B79" i="4"/>
  <c r="N78" i="4"/>
  <c r="M78" i="4"/>
  <c r="K78" i="4"/>
  <c r="H78" i="4"/>
  <c r="I78" i="4" s="1"/>
  <c r="J78" i="4" s="1"/>
  <c r="G78" i="4"/>
  <c r="E78" i="4"/>
  <c r="D78" i="4"/>
  <c r="C78" i="4"/>
  <c r="B78" i="4"/>
  <c r="N77" i="4"/>
  <c r="M77" i="4"/>
  <c r="K77" i="4"/>
  <c r="J77" i="4"/>
  <c r="I77" i="4"/>
  <c r="H77" i="4"/>
  <c r="G77" i="4"/>
  <c r="E77" i="4"/>
  <c r="D77" i="4"/>
  <c r="C77" i="4"/>
  <c r="B77" i="4"/>
  <c r="N76" i="4"/>
  <c r="M76" i="4"/>
  <c r="K76" i="4"/>
  <c r="I76" i="4"/>
  <c r="J76" i="4" s="1"/>
  <c r="H76" i="4"/>
  <c r="G76" i="4"/>
  <c r="E76" i="4"/>
  <c r="D76" i="4"/>
  <c r="C76" i="4"/>
  <c r="B76" i="4"/>
  <c r="N75" i="4"/>
  <c r="M75" i="4"/>
  <c r="K75" i="4"/>
  <c r="H75" i="4"/>
  <c r="I75" i="4" s="1"/>
  <c r="J75" i="4" s="1"/>
  <c r="G75" i="4"/>
  <c r="E75" i="4"/>
  <c r="D75" i="4"/>
  <c r="C75" i="4"/>
  <c r="B75" i="4"/>
  <c r="N74" i="4"/>
  <c r="M74" i="4"/>
  <c r="K74" i="4"/>
  <c r="H74" i="4"/>
  <c r="I74" i="4" s="1"/>
  <c r="J74" i="4" s="1"/>
  <c r="G74" i="4"/>
  <c r="E74" i="4"/>
  <c r="D74" i="4"/>
  <c r="C74" i="4"/>
  <c r="B74" i="4"/>
  <c r="N73" i="4"/>
  <c r="M73" i="4"/>
  <c r="K73" i="4"/>
  <c r="J73" i="4"/>
  <c r="I73" i="4"/>
  <c r="H73" i="4"/>
  <c r="G73" i="4"/>
  <c r="E73" i="4"/>
  <c r="D73" i="4"/>
  <c r="C73" i="4"/>
  <c r="B73" i="4"/>
  <c r="N72" i="4"/>
  <c r="M72" i="4"/>
  <c r="K72" i="4"/>
  <c r="I72" i="4"/>
  <c r="J72" i="4" s="1"/>
  <c r="H72" i="4"/>
  <c r="G72" i="4"/>
  <c r="E72" i="4"/>
  <c r="D72" i="4"/>
  <c r="C72" i="4"/>
  <c r="B72" i="4"/>
  <c r="N71" i="4"/>
  <c r="M71" i="4"/>
  <c r="K71" i="4"/>
  <c r="H71" i="4"/>
  <c r="I71" i="4" s="1"/>
  <c r="J71" i="4" s="1"/>
  <c r="G71" i="4"/>
  <c r="E71" i="4"/>
  <c r="D71" i="4"/>
  <c r="C71" i="4"/>
  <c r="B71" i="4"/>
  <c r="N70" i="4"/>
  <c r="M70" i="4"/>
  <c r="K70" i="4"/>
  <c r="H70" i="4"/>
  <c r="I70" i="4" s="1"/>
  <c r="J70" i="4" s="1"/>
  <c r="G70" i="4"/>
  <c r="E70" i="4"/>
  <c r="D70" i="4"/>
  <c r="C70" i="4"/>
  <c r="B70" i="4"/>
  <c r="N69" i="4"/>
  <c r="M69" i="4"/>
  <c r="K69" i="4"/>
  <c r="J69" i="4"/>
  <c r="I69" i="4"/>
  <c r="H69" i="4"/>
  <c r="G69" i="4"/>
  <c r="E69" i="4"/>
  <c r="D69" i="4"/>
  <c r="C69" i="4"/>
  <c r="B69" i="4"/>
  <c r="N68" i="4"/>
  <c r="M68" i="4"/>
  <c r="K68" i="4"/>
  <c r="I68" i="4"/>
  <c r="J68" i="4" s="1"/>
  <c r="H68" i="4"/>
  <c r="G68" i="4"/>
  <c r="E68" i="4"/>
  <c r="D68" i="4"/>
  <c r="C68" i="4"/>
  <c r="B68" i="4"/>
  <c r="N67" i="4"/>
  <c r="M67" i="4"/>
  <c r="K67" i="4"/>
  <c r="H67" i="4"/>
  <c r="I67" i="4" s="1"/>
  <c r="J67" i="4" s="1"/>
  <c r="G67" i="4"/>
  <c r="E67" i="4"/>
  <c r="D67" i="4"/>
  <c r="C67" i="4"/>
  <c r="B67" i="4"/>
  <c r="N66" i="4"/>
  <c r="M66" i="4"/>
  <c r="K66" i="4"/>
  <c r="H66" i="4"/>
  <c r="I66" i="4" s="1"/>
  <c r="J66" i="4" s="1"/>
  <c r="G66" i="4"/>
  <c r="E66" i="4"/>
  <c r="D66" i="4"/>
  <c r="C66" i="4"/>
  <c r="B66" i="4"/>
  <c r="N65" i="4"/>
  <c r="M65" i="4"/>
  <c r="K65" i="4"/>
  <c r="J65" i="4"/>
  <c r="I65" i="4"/>
  <c r="H65" i="4"/>
  <c r="G65" i="4"/>
  <c r="E65" i="4"/>
  <c r="D65" i="4"/>
  <c r="C65" i="4"/>
  <c r="B65" i="4"/>
  <c r="N64" i="4"/>
  <c r="M64" i="4"/>
  <c r="K64" i="4"/>
  <c r="I64" i="4"/>
  <c r="J64" i="4" s="1"/>
  <c r="H64" i="4"/>
  <c r="G64" i="4"/>
  <c r="E64" i="4"/>
  <c r="D64" i="4"/>
  <c r="C64" i="4"/>
  <c r="B64" i="4"/>
  <c r="N63" i="4"/>
  <c r="M63" i="4"/>
  <c r="K63" i="4"/>
  <c r="H63" i="4"/>
  <c r="I63" i="4" s="1"/>
  <c r="J63" i="4" s="1"/>
  <c r="G63" i="4"/>
  <c r="E63" i="4"/>
  <c r="D63" i="4"/>
  <c r="C63" i="4"/>
  <c r="B63" i="4"/>
  <c r="N62" i="4"/>
  <c r="M62" i="4"/>
  <c r="K62" i="4"/>
  <c r="H62" i="4"/>
  <c r="I62" i="4" s="1"/>
  <c r="J62" i="4" s="1"/>
  <c r="G62" i="4"/>
  <c r="E62" i="4"/>
  <c r="D62" i="4"/>
  <c r="C62" i="4"/>
  <c r="B62" i="4"/>
  <c r="N61" i="4"/>
  <c r="M61" i="4"/>
  <c r="K61" i="4"/>
  <c r="J61" i="4"/>
  <c r="I61" i="4"/>
  <c r="H61" i="4"/>
  <c r="G61" i="4"/>
  <c r="E61" i="4"/>
  <c r="D61" i="4"/>
  <c r="C61" i="4"/>
  <c r="B61" i="4"/>
  <c r="N60" i="4"/>
  <c r="M60" i="4"/>
  <c r="K60" i="4"/>
  <c r="I60" i="4"/>
  <c r="J60" i="4" s="1"/>
  <c r="H60" i="4"/>
  <c r="G60" i="4"/>
  <c r="E60" i="4"/>
  <c r="D60" i="4"/>
  <c r="C60" i="4"/>
  <c r="B60" i="4"/>
  <c r="N59" i="4"/>
  <c r="M59" i="4"/>
  <c r="K59" i="4"/>
  <c r="H59" i="4"/>
  <c r="I59" i="4" s="1"/>
  <c r="J59" i="4" s="1"/>
  <c r="G59" i="4"/>
  <c r="E59" i="4"/>
  <c r="D59" i="4"/>
  <c r="C59" i="4"/>
  <c r="B59" i="4"/>
  <c r="N58" i="4"/>
  <c r="M58" i="4"/>
  <c r="K58" i="4"/>
  <c r="H58" i="4"/>
  <c r="I58" i="4" s="1"/>
  <c r="J58" i="4" s="1"/>
  <c r="G58" i="4"/>
  <c r="E58" i="4"/>
  <c r="D58" i="4"/>
  <c r="C58" i="4"/>
  <c r="B58" i="4"/>
  <c r="N57" i="4"/>
  <c r="M57" i="4"/>
  <c r="K57" i="4"/>
  <c r="J57" i="4"/>
  <c r="I57" i="4"/>
  <c r="H57" i="4"/>
  <c r="G57" i="4"/>
  <c r="E57" i="4"/>
  <c r="D57" i="4"/>
  <c r="C57" i="4"/>
  <c r="B57" i="4"/>
  <c r="N56" i="4"/>
  <c r="M56" i="4"/>
  <c r="K56" i="4"/>
  <c r="I56" i="4"/>
  <c r="J56" i="4" s="1"/>
  <c r="H56" i="4"/>
  <c r="G56" i="4"/>
  <c r="E56" i="4"/>
  <c r="D56" i="4"/>
  <c r="C56" i="4"/>
  <c r="B56" i="4"/>
  <c r="N55" i="4"/>
  <c r="M55" i="4"/>
  <c r="K55" i="4"/>
  <c r="H55" i="4"/>
  <c r="I55" i="4" s="1"/>
  <c r="J55" i="4" s="1"/>
  <c r="G55" i="4"/>
  <c r="E55" i="4"/>
  <c r="D55" i="4"/>
  <c r="C55" i="4"/>
  <c r="B55" i="4"/>
  <c r="N54" i="4"/>
  <c r="M54" i="4"/>
  <c r="K54" i="4"/>
  <c r="H54" i="4"/>
  <c r="I54" i="4" s="1"/>
  <c r="J54" i="4" s="1"/>
  <c r="G54" i="4"/>
  <c r="E54" i="4"/>
  <c r="D54" i="4"/>
  <c r="C54" i="4"/>
  <c r="B54" i="4"/>
  <c r="N53" i="4"/>
  <c r="M53" i="4"/>
  <c r="K53" i="4"/>
  <c r="J53" i="4"/>
  <c r="I53" i="4"/>
  <c r="H53" i="4"/>
  <c r="G53" i="4"/>
  <c r="E53" i="4"/>
  <c r="D53" i="4"/>
  <c r="C53" i="4"/>
  <c r="B53" i="4"/>
  <c r="N52" i="4"/>
  <c r="M52" i="4"/>
  <c r="K52" i="4"/>
  <c r="I52" i="4"/>
  <c r="J52" i="4" s="1"/>
  <c r="H52" i="4"/>
  <c r="G52" i="4"/>
  <c r="E52" i="4"/>
  <c r="D52" i="4"/>
  <c r="C52" i="4"/>
  <c r="B52" i="4"/>
  <c r="N51" i="4"/>
  <c r="M51" i="4"/>
  <c r="K51" i="4"/>
  <c r="H51" i="4"/>
  <c r="I51" i="4" s="1"/>
  <c r="J51" i="4" s="1"/>
  <c r="G51" i="4"/>
  <c r="E51" i="4"/>
  <c r="D51" i="4"/>
  <c r="C51" i="4"/>
  <c r="B51" i="4"/>
  <c r="N50" i="4"/>
  <c r="M50" i="4"/>
  <c r="K50" i="4"/>
  <c r="H50" i="4"/>
  <c r="I50" i="4" s="1"/>
  <c r="J50" i="4" s="1"/>
  <c r="G50" i="4"/>
  <c r="E50" i="4"/>
  <c r="D50" i="4"/>
  <c r="C50" i="4"/>
  <c r="B50" i="4"/>
  <c r="N49" i="4"/>
  <c r="M49" i="4"/>
  <c r="K49" i="4"/>
  <c r="J49" i="4"/>
  <c r="I49" i="4"/>
  <c r="H49" i="4"/>
  <c r="G49" i="4"/>
  <c r="E49" i="4"/>
  <c r="D49" i="4"/>
  <c r="C49" i="4"/>
  <c r="B49" i="4"/>
  <c r="N48" i="4"/>
  <c r="M48" i="4"/>
  <c r="K48" i="4"/>
  <c r="I48" i="4"/>
  <c r="J48" i="4" s="1"/>
  <c r="H48" i="4"/>
  <c r="G48" i="4"/>
  <c r="E48" i="4"/>
  <c r="D48" i="4"/>
  <c r="C48" i="4"/>
  <c r="B48" i="4"/>
  <c r="N47" i="4"/>
  <c r="M47" i="4"/>
  <c r="K47" i="4"/>
  <c r="H47" i="4"/>
  <c r="I47" i="4" s="1"/>
  <c r="J47" i="4" s="1"/>
  <c r="G47" i="4"/>
  <c r="E47" i="4"/>
  <c r="D47" i="4"/>
  <c r="C47" i="4"/>
  <c r="B47" i="4"/>
  <c r="N46" i="4"/>
  <c r="M46" i="4"/>
  <c r="K46" i="4"/>
  <c r="H46" i="4"/>
  <c r="I46" i="4" s="1"/>
  <c r="J46" i="4" s="1"/>
  <c r="G46" i="4"/>
  <c r="E46" i="4"/>
  <c r="D46" i="4"/>
  <c r="C46" i="4"/>
  <c r="B46" i="4"/>
  <c r="N45" i="4"/>
  <c r="M45" i="4"/>
  <c r="K45" i="4"/>
  <c r="J45" i="4"/>
  <c r="I45" i="4"/>
  <c r="H45" i="4"/>
  <c r="G45" i="4"/>
  <c r="E45" i="4"/>
  <c r="D45" i="4"/>
  <c r="C45" i="4"/>
  <c r="B45" i="4"/>
  <c r="N44" i="4"/>
  <c r="M44" i="4"/>
  <c r="K44" i="4"/>
  <c r="I44" i="4"/>
  <c r="J44" i="4" s="1"/>
  <c r="H44" i="4"/>
  <c r="G44" i="4"/>
  <c r="E44" i="4"/>
  <c r="D44" i="4"/>
  <c r="C44" i="4"/>
  <c r="B44" i="4"/>
  <c r="N43" i="4"/>
  <c r="M43" i="4"/>
  <c r="K43" i="4"/>
  <c r="H43" i="4"/>
  <c r="I43" i="4" s="1"/>
  <c r="J43" i="4" s="1"/>
  <c r="G43" i="4"/>
  <c r="E43" i="4"/>
  <c r="D43" i="4"/>
  <c r="C43" i="4"/>
  <c r="B43" i="4"/>
  <c r="N42" i="4"/>
  <c r="M42" i="4"/>
  <c r="K42" i="4"/>
  <c r="H42" i="4"/>
  <c r="I42" i="4" s="1"/>
  <c r="J42" i="4" s="1"/>
  <c r="G42" i="4"/>
  <c r="E42" i="4"/>
  <c r="D42" i="4"/>
  <c r="C42" i="4"/>
  <c r="B42" i="4"/>
  <c r="N41" i="4"/>
  <c r="M41" i="4"/>
  <c r="K41" i="4"/>
  <c r="J41" i="4"/>
  <c r="I41" i="4"/>
  <c r="H41" i="4"/>
  <c r="G41" i="4"/>
  <c r="E41" i="4"/>
  <c r="D41" i="4"/>
  <c r="C41" i="4"/>
  <c r="B41" i="4"/>
  <c r="N40" i="4"/>
  <c r="M40" i="4"/>
  <c r="K40" i="4"/>
  <c r="I40" i="4"/>
  <c r="J40" i="4" s="1"/>
  <c r="H40" i="4"/>
  <c r="G40" i="4"/>
  <c r="E40" i="4"/>
  <c r="D40" i="4"/>
  <c r="C40" i="4"/>
  <c r="B40" i="4"/>
  <c r="N39" i="4"/>
  <c r="M39" i="4"/>
  <c r="K39" i="4"/>
  <c r="H39" i="4"/>
  <c r="I39" i="4" s="1"/>
  <c r="J39" i="4" s="1"/>
  <c r="G39" i="4"/>
  <c r="E39" i="4"/>
  <c r="D39" i="4"/>
  <c r="C39" i="4"/>
  <c r="B39" i="4"/>
  <c r="N38" i="4"/>
  <c r="M38" i="4"/>
  <c r="K38" i="4"/>
  <c r="H38" i="4"/>
  <c r="I38" i="4" s="1"/>
  <c r="J38" i="4" s="1"/>
  <c r="G38" i="4"/>
  <c r="E38" i="4"/>
  <c r="D38" i="4"/>
  <c r="C38" i="4"/>
  <c r="B38" i="4"/>
  <c r="N37" i="4"/>
  <c r="M37" i="4"/>
  <c r="K37" i="4"/>
  <c r="J37" i="4"/>
  <c r="I37" i="4"/>
  <c r="H37" i="4"/>
  <c r="G37" i="4"/>
  <c r="E37" i="4"/>
  <c r="D37" i="4"/>
  <c r="C37" i="4"/>
  <c r="B37" i="4"/>
  <c r="N36" i="4"/>
  <c r="M36" i="4"/>
  <c r="K36" i="4"/>
  <c r="I36" i="4"/>
  <c r="J36" i="4" s="1"/>
  <c r="H36" i="4"/>
  <c r="G36" i="4"/>
  <c r="E36" i="4"/>
  <c r="D36" i="4"/>
  <c r="C36" i="4"/>
  <c r="B36" i="4"/>
  <c r="N35" i="4"/>
  <c r="M35" i="4"/>
  <c r="K35" i="4"/>
  <c r="H35" i="4"/>
  <c r="I35" i="4" s="1"/>
  <c r="J35" i="4" s="1"/>
  <c r="G35" i="4"/>
  <c r="E35" i="4"/>
  <c r="D35" i="4"/>
  <c r="C35" i="4"/>
  <c r="B35" i="4"/>
  <c r="N34" i="4"/>
  <c r="M34" i="4"/>
  <c r="K34" i="4"/>
  <c r="H34" i="4"/>
  <c r="I34" i="4" s="1"/>
  <c r="J34" i="4" s="1"/>
  <c r="G34" i="4"/>
  <c r="E34" i="4"/>
  <c r="D34" i="4"/>
  <c r="C34" i="4"/>
  <c r="B34" i="4"/>
  <c r="N33" i="4"/>
  <c r="M33" i="4"/>
  <c r="K33" i="4"/>
  <c r="J33" i="4"/>
  <c r="I33" i="4"/>
  <c r="H33" i="4"/>
  <c r="G33" i="4"/>
  <c r="E33" i="4"/>
  <c r="D33" i="4"/>
  <c r="C33" i="4"/>
  <c r="B33" i="4"/>
  <c r="N32" i="4"/>
  <c r="M32" i="4"/>
  <c r="K32" i="4"/>
  <c r="I32" i="4"/>
  <c r="J32" i="4" s="1"/>
  <c r="H32" i="4"/>
  <c r="G32" i="4"/>
  <c r="E32" i="4"/>
  <c r="D32" i="4"/>
  <c r="C32" i="4"/>
  <c r="B32" i="4"/>
  <c r="N31" i="4"/>
  <c r="M31" i="4"/>
  <c r="K31" i="4"/>
  <c r="H31" i="4"/>
  <c r="I31" i="4" s="1"/>
  <c r="J31" i="4" s="1"/>
  <c r="G31" i="4"/>
  <c r="E31" i="4"/>
  <c r="D31" i="4"/>
  <c r="C31" i="4"/>
  <c r="B31" i="4"/>
  <c r="N30" i="4"/>
  <c r="M30" i="4"/>
  <c r="K30" i="4"/>
  <c r="H30" i="4"/>
  <c r="I30" i="4" s="1"/>
  <c r="J30" i="4" s="1"/>
  <c r="G30" i="4"/>
  <c r="E30" i="4"/>
  <c r="D30" i="4"/>
  <c r="C30" i="4"/>
  <c r="B30" i="4"/>
  <c r="N29" i="4"/>
  <c r="M29" i="4"/>
  <c r="K29" i="4"/>
  <c r="J29" i="4"/>
  <c r="I29" i="4"/>
  <c r="H29" i="4"/>
  <c r="G29" i="4"/>
  <c r="E29" i="4"/>
  <c r="D29" i="4"/>
  <c r="C29" i="4"/>
  <c r="B29" i="4"/>
  <c r="N28" i="4"/>
  <c r="M28" i="4"/>
  <c r="K28" i="4"/>
  <c r="I28" i="4"/>
  <c r="J28" i="4" s="1"/>
  <c r="H28" i="4"/>
  <c r="G28" i="4"/>
  <c r="E28" i="4"/>
  <c r="D28" i="4"/>
  <c r="C28" i="4"/>
  <c r="B28" i="4"/>
  <c r="N27" i="4"/>
  <c r="M27" i="4"/>
  <c r="K27" i="4"/>
  <c r="H27" i="4"/>
  <c r="I27" i="4" s="1"/>
  <c r="J27" i="4" s="1"/>
  <c r="G27" i="4"/>
  <c r="E27" i="4"/>
  <c r="D27" i="4"/>
  <c r="C27" i="4"/>
  <c r="B27" i="4"/>
  <c r="N26" i="4"/>
  <c r="M26" i="4"/>
  <c r="K26" i="4"/>
  <c r="H26" i="4"/>
  <c r="I26" i="4" s="1"/>
  <c r="J26" i="4" s="1"/>
  <c r="G26" i="4"/>
  <c r="E26" i="4"/>
  <c r="D26" i="4"/>
  <c r="C26" i="4"/>
  <c r="B26" i="4"/>
  <c r="N25" i="4"/>
  <c r="M25" i="4"/>
  <c r="K25" i="4"/>
  <c r="J25" i="4"/>
  <c r="I25" i="4"/>
  <c r="H25" i="4"/>
  <c r="G25" i="4"/>
  <c r="E25" i="4"/>
  <c r="D25" i="4"/>
  <c r="C25" i="4"/>
  <c r="B25" i="4"/>
  <c r="N24" i="4"/>
  <c r="M24" i="4"/>
  <c r="K24" i="4"/>
  <c r="I24" i="4"/>
  <c r="J24" i="4" s="1"/>
  <c r="H24" i="4"/>
  <c r="G24" i="4"/>
  <c r="E24" i="4"/>
  <c r="D24" i="4"/>
  <c r="C24" i="4"/>
  <c r="B24" i="4"/>
  <c r="N23" i="4"/>
  <c r="M23" i="4"/>
  <c r="K23" i="4"/>
  <c r="H23" i="4"/>
  <c r="I23" i="4" s="1"/>
  <c r="J23" i="4" s="1"/>
  <c r="G23" i="4"/>
  <c r="E23" i="4"/>
  <c r="D23" i="4"/>
  <c r="C23" i="4"/>
  <c r="B23" i="4"/>
  <c r="N22" i="4"/>
  <c r="M22" i="4"/>
  <c r="K22" i="4"/>
  <c r="H22" i="4"/>
  <c r="I22" i="4" s="1"/>
  <c r="J22" i="4" s="1"/>
  <c r="G22" i="4"/>
  <c r="E22" i="4"/>
  <c r="D22" i="4"/>
  <c r="C22" i="4"/>
  <c r="B22" i="4"/>
  <c r="N21" i="4"/>
  <c r="M21" i="4"/>
  <c r="K21" i="4"/>
  <c r="J21" i="4"/>
  <c r="I21" i="4"/>
  <c r="H21" i="4"/>
  <c r="G21" i="4"/>
  <c r="E21" i="4"/>
  <c r="D21" i="4"/>
  <c r="C21" i="4"/>
  <c r="B21" i="4"/>
  <c r="N20" i="4"/>
  <c r="M20" i="4"/>
  <c r="K20" i="4"/>
  <c r="I20" i="4"/>
  <c r="J20" i="4" s="1"/>
  <c r="H20" i="4"/>
  <c r="G20" i="4"/>
  <c r="E20" i="4"/>
  <c r="D20" i="4"/>
  <c r="C20" i="4"/>
  <c r="B20" i="4"/>
  <c r="N19" i="4"/>
  <c r="M19" i="4"/>
  <c r="K19" i="4"/>
  <c r="H19" i="4"/>
  <c r="I19" i="4" s="1"/>
  <c r="J19" i="4" s="1"/>
  <c r="G19" i="4"/>
  <c r="E19" i="4"/>
  <c r="D19" i="4"/>
  <c r="C19" i="4"/>
  <c r="B19" i="4"/>
  <c r="N18" i="4"/>
  <c r="M18" i="4"/>
  <c r="K18" i="4"/>
  <c r="H18" i="4"/>
  <c r="I18" i="4" s="1"/>
  <c r="J18" i="4" s="1"/>
  <c r="G18" i="4"/>
  <c r="E18" i="4"/>
  <c r="D18" i="4"/>
  <c r="C18" i="4"/>
  <c r="B18" i="4"/>
  <c r="N17" i="4"/>
  <c r="M17" i="4"/>
  <c r="K17" i="4"/>
  <c r="J17" i="4"/>
  <c r="I17" i="4"/>
  <c r="H17" i="4"/>
  <c r="G17" i="4"/>
  <c r="E17" i="4"/>
  <c r="D17" i="4"/>
  <c r="C17" i="4"/>
  <c r="B17" i="4"/>
  <c r="N16" i="4"/>
  <c r="M16" i="4"/>
  <c r="K16" i="4"/>
  <c r="I16" i="4"/>
  <c r="J16" i="4" s="1"/>
  <c r="H16" i="4"/>
  <c r="G16" i="4"/>
  <c r="E16" i="4"/>
  <c r="D16" i="4"/>
  <c r="C16" i="4"/>
  <c r="B16" i="4"/>
  <c r="N15" i="4"/>
  <c r="M15" i="4"/>
  <c r="K15" i="4"/>
  <c r="H15" i="4"/>
  <c r="I15" i="4" s="1"/>
  <c r="J15" i="4" s="1"/>
  <c r="G15" i="4"/>
  <c r="E15" i="4"/>
  <c r="D15" i="4"/>
  <c r="C15" i="4"/>
  <c r="B15" i="4"/>
  <c r="N14" i="4"/>
  <c r="M14" i="4"/>
  <c r="K14" i="4"/>
  <c r="H14" i="4"/>
  <c r="I14" i="4" s="1"/>
  <c r="J14" i="4" s="1"/>
  <c r="G14" i="4"/>
  <c r="E14" i="4"/>
  <c r="D14" i="4"/>
  <c r="C14" i="4"/>
  <c r="B14" i="4"/>
  <c r="N13" i="4"/>
  <c r="M13" i="4"/>
  <c r="K13" i="4"/>
  <c r="J13" i="4"/>
  <c r="I13" i="4"/>
  <c r="H13" i="4"/>
  <c r="G13" i="4"/>
  <c r="E13" i="4"/>
  <c r="D13" i="4"/>
  <c r="C13" i="4"/>
  <c r="B13" i="4"/>
  <c r="N12" i="4"/>
  <c r="M12" i="4"/>
  <c r="K12" i="4"/>
  <c r="I12" i="4"/>
  <c r="J12" i="4" s="1"/>
  <c r="H12" i="4"/>
  <c r="G12" i="4"/>
  <c r="E12" i="4"/>
  <c r="D12" i="4"/>
  <c r="C12" i="4"/>
  <c r="B12" i="4"/>
  <c r="N11" i="4"/>
  <c r="M11" i="4"/>
  <c r="K11" i="4"/>
  <c r="H11" i="4"/>
  <c r="I11" i="4" s="1"/>
  <c r="J11" i="4" s="1"/>
  <c r="G11" i="4"/>
  <c r="E11" i="4"/>
  <c r="D11" i="4"/>
  <c r="C11" i="4"/>
  <c r="B11" i="4"/>
  <c r="N10" i="4"/>
  <c r="M10" i="4"/>
  <c r="K10" i="4"/>
  <c r="H10" i="4"/>
  <c r="I10" i="4" s="1"/>
  <c r="J10" i="4" s="1"/>
  <c r="G10" i="4"/>
  <c r="E10" i="4"/>
  <c r="D10" i="4"/>
  <c r="C10" i="4"/>
  <c r="B10" i="4"/>
  <c r="G518" i="3"/>
  <c r="CP516" i="3"/>
  <c r="CO516" i="3"/>
  <c r="CN516" i="3"/>
  <c r="CM516" i="3"/>
  <c r="CL516" i="3"/>
  <c r="CK516" i="3"/>
  <c r="CJ516" i="3"/>
  <c r="CI516" i="3"/>
  <c r="CH516" i="3"/>
  <c r="J78" i="14" s="1"/>
  <c r="CG516" i="3"/>
  <c r="CF516" i="3"/>
  <c r="CE516" i="3"/>
  <c r="CD516" i="3"/>
  <c r="CC516" i="3"/>
  <c r="CB516" i="3"/>
  <c r="CA516" i="3"/>
  <c r="BZ516" i="3"/>
  <c r="BY516" i="3"/>
  <c r="BX516" i="3"/>
  <c r="BW516" i="3"/>
  <c r="BV516" i="3"/>
  <c r="BU516" i="3"/>
  <c r="BT516" i="3"/>
  <c r="J58" i="14" s="1"/>
  <c r="BS516" i="3"/>
  <c r="BR516" i="3"/>
  <c r="BQ516" i="3"/>
  <c r="BP516" i="3"/>
  <c r="BO516" i="3"/>
  <c r="BN516" i="3"/>
  <c r="BM516" i="3"/>
  <c r="BL516" i="3"/>
  <c r="BK516" i="3"/>
  <c r="BJ516" i="3"/>
  <c r="BI516" i="3"/>
  <c r="BH516" i="3"/>
  <c r="BG516" i="3"/>
  <c r="I106" i="7" s="1"/>
  <c r="BF516" i="3"/>
  <c r="I105" i="7" s="1"/>
  <c r="BE516" i="3"/>
  <c r="I104" i="7" s="1"/>
  <c r="BD516" i="3"/>
  <c r="I103" i="7" s="1"/>
  <c r="BC516" i="3"/>
  <c r="I102" i="7" s="1"/>
  <c r="BB516" i="3"/>
  <c r="I101" i="7" s="1"/>
  <c r="BA516" i="3"/>
  <c r="I100" i="7" s="1"/>
  <c r="AY516" i="3"/>
  <c r="AX516" i="3"/>
  <c r="AW516" i="3"/>
  <c r="AV516" i="3"/>
  <c r="AU516" i="3"/>
  <c r="AT516" i="3"/>
  <c r="AS516" i="3"/>
  <c r="AR516" i="3"/>
  <c r="AQ516" i="3"/>
  <c r="AP516" i="3"/>
  <c r="I89" i="7" s="1"/>
  <c r="AO516" i="3"/>
  <c r="I88" i="7" s="1"/>
  <c r="AN516" i="3"/>
  <c r="I87" i="7" s="1"/>
  <c r="AM516" i="3"/>
  <c r="I86" i="7" s="1"/>
  <c r="AL516" i="3"/>
  <c r="I85" i="7" s="1"/>
  <c r="AK516" i="3"/>
  <c r="I84" i="7" s="1"/>
  <c r="AJ516" i="3"/>
  <c r="I83" i="7" s="1"/>
  <c r="AH516" i="3"/>
  <c r="AG516" i="3"/>
  <c r="AF516" i="3"/>
  <c r="AE516" i="3"/>
  <c r="AD516" i="3"/>
  <c r="AC516" i="3"/>
  <c r="AB516" i="3"/>
  <c r="AA516" i="3"/>
  <c r="Z516" i="3"/>
  <c r="Y516" i="3"/>
  <c r="X516" i="3"/>
  <c r="W516" i="3"/>
  <c r="V516" i="3"/>
  <c r="U516" i="3"/>
  <c r="T516" i="3"/>
  <c r="S516" i="3"/>
  <c r="R516" i="3"/>
  <c r="Q516" i="3"/>
  <c r="P516" i="3"/>
  <c r="M516" i="3"/>
  <c r="C93" i="19" s="1"/>
  <c r="L516" i="3"/>
  <c r="C91" i="19" s="1"/>
  <c r="K516" i="3"/>
  <c r="C89" i="19" s="1"/>
  <c r="G516" i="3"/>
  <c r="G520" i="3" s="1"/>
  <c r="AZ515" i="3"/>
  <c r="AI515" i="3"/>
  <c r="CQ515" i="3" s="1"/>
  <c r="J515" i="3" s="1"/>
  <c r="O515" i="3"/>
  <c r="N515" i="3"/>
  <c r="I515" i="3"/>
  <c r="AZ514" i="3"/>
  <c r="AI514" i="3"/>
  <c r="CQ514" i="3" s="1"/>
  <c r="J514" i="3" s="1"/>
  <c r="O514" i="3"/>
  <c r="N514" i="3"/>
  <c r="I514" i="3"/>
  <c r="AZ513" i="3"/>
  <c r="AI513" i="3"/>
  <c r="CQ513" i="3" s="1"/>
  <c r="J513" i="3" s="1"/>
  <c r="O513" i="3"/>
  <c r="N513" i="3"/>
  <c r="I513" i="3"/>
  <c r="AZ512" i="3"/>
  <c r="AI512" i="3"/>
  <c r="CQ512" i="3" s="1"/>
  <c r="J512" i="3" s="1"/>
  <c r="O512" i="3"/>
  <c r="N512" i="3"/>
  <c r="I512" i="3"/>
  <c r="AZ511" i="3"/>
  <c r="AI511" i="3"/>
  <c r="CQ511" i="3" s="1"/>
  <c r="J511" i="3" s="1"/>
  <c r="O511" i="3"/>
  <c r="N511" i="3"/>
  <c r="I511" i="3"/>
  <c r="AZ510" i="3"/>
  <c r="AI510" i="3"/>
  <c r="CQ510" i="3" s="1"/>
  <c r="J510" i="3" s="1"/>
  <c r="O510" i="3"/>
  <c r="N510" i="3"/>
  <c r="I510" i="3"/>
  <c r="AZ509" i="3"/>
  <c r="AI509" i="3"/>
  <c r="CQ509" i="3" s="1"/>
  <c r="J509" i="3" s="1"/>
  <c r="O509" i="3"/>
  <c r="N509" i="3"/>
  <c r="I509" i="3"/>
  <c r="AZ508" i="3"/>
  <c r="AI508" i="3"/>
  <c r="CQ508" i="3" s="1"/>
  <c r="J508" i="3" s="1"/>
  <c r="O508" i="3"/>
  <c r="N508" i="3"/>
  <c r="I508" i="3"/>
  <c r="AZ507" i="3"/>
  <c r="AI507" i="3"/>
  <c r="CQ507" i="3" s="1"/>
  <c r="J507" i="3" s="1"/>
  <c r="O507" i="3"/>
  <c r="N507" i="3"/>
  <c r="I507" i="3"/>
  <c r="AZ506" i="3"/>
  <c r="AI506" i="3"/>
  <c r="CQ506" i="3" s="1"/>
  <c r="J506" i="3" s="1"/>
  <c r="O506" i="3"/>
  <c r="N506" i="3"/>
  <c r="I506" i="3"/>
  <c r="AZ505" i="3"/>
  <c r="AI505" i="3"/>
  <c r="CQ505" i="3" s="1"/>
  <c r="J505" i="3" s="1"/>
  <c r="O505" i="3"/>
  <c r="N505" i="3"/>
  <c r="I505" i="3"/>
  <c r="AZ504" i="3"/>
  <c r="AI504" i="3"/>
  <c r="CQ504" i="3" s="1"/>
  <c r="J504" i="3" s="1"/>
  <c r="O504" i="3"/>
  <c r="N504" i="3"/>
  <c r="I504" i="3"/>
  <c r="AZ503" i="3"/>
  <c r="AI503" i="3"/>
  <c r="CQ503" i="3" s="1"/>
  <c r="J503" i="3" s="1"/>
  <c r="O503" i="3"/>
  <c r="N503" i="3"/>
  <c r="I503" i="3"/>
  <c r="AZ502" i="3"/>
  <c r="AI502" i="3"/>
  <c r="CQ502" i="3" s="1"/>
  <c r="J502" i="3" s="1"/>
  <c r="O502" i="3"/>
  <c r="N502" i="3"/>
  <c r="I502" i="3"/>
  <c r="AZ501" i="3"/>
  <c r="AI501" i="3"/>
  <c r="CQ501" i="3" s="1"/>
  <c r="J501" i="3" s="1"/>
  <c r="O501" i="3"/>
  <c r="N501" i="3"/>
  <c r="I501" i="3"/>
  <c r="AZ500" i="3"/>
  <c r="AI500" i="3"/>
  <c r="CQ500" i="3" s="1"/>
  <c r="J500" i="3" s="1"/>
  <c r="O500" i="3"/>
  <c r="N500" i="3"/>
  <c r="I500" i="3"/>
  <c r="AZ499" i="3"/>
  <c r="AI499" i="3"/>
  <c r="CQ499" i="3" s="1"/>
  <c r="J499" i="3" s="1"/>
  <c r="O499" i="3"/>
  <c r="N499" i="3"/>
  <c r="I499" i="3"/>
  <c r="AZ498" i="3"/>
  <c r="AI498" i="3"/>
  <c r="CQ498" i="3" s="1"/>
  <c r="J498" i="3" s="1"/>
  <c r="O498" i="3"/>
  <c r="N498" i="3"/>
  <c r="I498" i="3"/>
  <c r="AZ497" i="3"/>
  <c r="AI497" i="3"/>
  <c r="CQ497" i="3" s="1"/>
  <c r="J497" i="3" s="1"/>
  <c r="O497" i="3"/>
  <c r="N497" i="3"/>
  <c r="I497" i="3"/>
  <c r="AZ496" i="3"/>
  <c r="AI496" i="3"/>
  <c r="CQ496" i="3" s="1"/>
  <c r="J496" i="3" s="1"/>
  <c r="O496" i="3"/>
  <c r="N496" i="3"/>
  <c r="I496" i="3"/>
  <c r="AZ495" i="3"/>
  <c r="AI495" i="3"/>
  <c r="CQ495" i="3" s="1"/>
  <c r="J495" i="3" s="1"/>
  <c r="O495" i="3"/>
  <c r="N495" i="3"/>
  <c r="I495" i="3"/>
  <c r="AZ494" i="3"/>
  <c r="AI494" i="3"/>
  <c r="CQ494" i="3" s="1"/>
  <c r="J494" i="3" s="1"/>
  <c r="O494" i="3"/>
  <c r="N494" i="3"/>
  <c r="I494" i="3"/>
  <c r="AZ493" i="3"/>
  <c r="AI493" i="3"/>
  <c r="CQ493" i="3" s="1"/>
  <c r="J493" i="3" s="1"/>
  <c r="O493" i="3"/>
  <c r="N493" i="3"/>
  <c r="I493" i="3"/>
  <c r="AZ492" i="3"/>
  <c r="AI492" i="3"/>
  <c r="CQ492" i="3" s="1"/>
  <c r="J492" i="3" s="1"/>
  <c r="O492" i="3"/>
  <c r="N492" i="3"/>
  <c r="I492" i="3"/>
  <c r="AZ491" i="3"/>
  <c r="AI491" i="3"/>
  <c r="CQ491" i="3" s="1"/>
  <c r="J491" i="3" s="1"/>
  <c r="O491" i="3"/>
  <c r="N491" i="3"/>
  <c r="I491" i="3"/>
  <c r="AZ490" i="3"/>
  <c r="AI490" i="3"/>
  <c r="CQ490" i="3" s="1"/>
  <c r="J490" i="3" s="1"/>
  <c r="O490" i="3"/>
  <c r="N490" i="3"/>
  <c r="I490" i="3"/>
  <c r="AZ489" i="3"/>
  <c r="AI489" i="3"/>
  <c r="CQ489" i="3" s="1"/>
  <c r="J489" i="3" s="1"/>
  <c r="O489" i="3"/>
  <c r="N489" i="3"/>
  <c r="I489" i="3"/>
  <c r="AZ488" i="3"/>
  <c r="AI488" i="3"/>
  <c r="CQ488" i="3" s="1"/>
  <c r="J488" i="3" s="1"/>
  <c r="O488" i="3"/>
  <c r="N488" i="3"/>
  <c r="I488" i="3"/>
  <c r="AZ487" i="3"/>
  <c r="AI487" i="3"/>
  <c r="CQ487" i="3" s="1"/>
  <c r="J487" i="3" s="1"/>
  <c r="O487" i="3"/>
  <c r="N487" i="3"/>
  <c r="I487" i="3"/>
  <c r="AZ486" i="3"/>
  <c r="AI486" i="3"/>
  <c r="CQ486" i="3" s="1"/>
  <c r="J486" i="3" s="1"/>
  <c r="O486" i="3"/>
  <c r="N486" i="3"/>
  <c r="I486" i="3"/>
  <c r="AZ485" i="3"/>
  <c r="AI485" i="3"/>
  <c r="CQ485" i="3" s="1"/>
  <c r="J485" i="3" s="1"/>
  <c r="O485" i="3"/>
  <c r="N485" i="3"/>
  <c r="I485" i="3"/>
  <c r="AZ484" i="3"/>
  <c r="AI484" i="3"/>
  <c r="CQ484" i="3" s="1"/>
  <c r="J484" i="3" s="1"/>
  <c r="O484" i="3"/>
  <c r="N484" i="3"/>
  <c r="I484" i="3"/>
  <c r="AZ483" i="3"/>
  <c r="AI483" i="3"/>
  <c r="CQ483" i="3" s="1"/>
  <c r="J483" i="3" s="1"/>
  <c r="O483" i="3"/>
  <c r="N483" i="3"/>
  <c r="I483" i="3"/>
  <c r="AZ482" i="3"/>
  <c r="AI482" i="3"/>
  <c r="CQ482" i="3" s="1"/>
  <c r="J482" i="3" s="1"/>
  <c r="O482" i="3"/>
  <c r="N482" i="3"/>
  <c r="I482" i="3"/>
  <c r="AZ481" i="3"/>
  <c r="AI481" i="3"/>
  <c r="CQ481" i="3" s="1"/>
  <c r="J481" i="3" s="1"/>
  <c r="O481" i="3"/>
  <c r="N481" i="3"/>
  <c r="I481" i="3"/>
  <c r="AZ480" i="3"/>
  <c r="AI480" i="3"/>
  <c r="CQ480" i="3" s="1"/>
  <c r="J480" i="3" s="1"/>
  <c r="O480" i="3"/>
  <c r="N480" i="3"/>
  <c r="I480" i="3"/>
  <c r="AZ479" i="3"/>
  <c r="AI479" i="3"/>
  <c r="CQ479" i="3" s="1"/>
  <c r="J479" i="3" s="1"/>
  <c r="O479" i="3"/>
  <c r="N479" i="3"/>
  <c r="I479" i="3"/>
  <c r="AZ478" i="3"/>
  <c r="AI478" i="3"/>
  <c r="CQ478" i="3" s="1"/>
  <c r="J478" i="3" s="1"/>
  <c r="O478" i="3"/>
  <c r="N478" i="3"/>
  <c r="I478" i="3"/>
  <c r="AZ477" i="3"/>
  <c r="AI477" i="3"/>
  <c r="CQ477" i="3" s="1"/>
  <c r="J477" i="3" s="1"/>
  <c r="O477" i="3"/>
  <c r="N477" i="3"/>
  <c r="I477" i="3"/>
  <c r="AZ476" i="3"/>
  <c r="AI476" i="3"/>
  <c r="CQ476" i="3" s="1"/>
  <c r="J476" i="3" s="1"/>
  <c r="O476" i="3"/>
  <c r="N476" i="3"/>
  <c r="I476" i="3"/>
  <c r="AZ475" i="3"/>
  <c r="AI475" i="3"/>
  <c r="CQ475" i="3" s="1"/>
  <c r="J475" i="3" s="1"/>
  <c r="O475" i="3"/>
  <c r="N475" i="3"/>
  <c r="I475" i="3"/>
  <c r="AZ474" i="3"/>
  <c r="AI474" i="3"/>
  <c r="CQ474" i="3" s="1"/>
  <c r="J474" i="3" s="1"/>
  <c r="O474" i="3"/>
  <c r="N474" i="3"/>
  <c r="I474" i="3"/>
  <c r="AZ473" i="3"/>
  <c r="AI473" i="3"/>
  <c r="CQ473" i="3" s="1"/>
  <c r="J473" i="3" s="1"/>
  <c r="O473" i="3"/>
  <c r="N473" i="3"/>
  <c r="I473" i="3"/>
  <c r="AZ472" i="3"/>
  <c r="AI472" i="3"/>
  <c r="CQ472" i="3" s="1"/>
  <c r="J472" i="3" s="1"/>
  <c r="O472" i="3"/>
  <c r="N472" i="3"/>
  <c r="I472" i="3"/>
  <c r="AZ471" i="3"/>
  <c r="AI471" i="3"/>
  <c r="CQ471" i="3" s="1"/>
  <c r="J471" i="3" s="1"/>
  <c r="O471" i="3"/>
  <c r="N471" i="3"/>
  <c r="I471" i="3"/>
  <c r="AZ470" i="3"/>
  <c r="AI470" i="3"/>
  <c r="CQ470" i="3" s="1"/>
  <c r="J470" i="3" s="1"/>
  <c r="O470" i="3"/>
  <c r="N470" i="3"/>
  <c r="I470" i="3"/>
  <c r="AZ469" i="3"/>
  <c r="AI469" i="3"/>
  <c r="CQ469" i="3" s="1"/>
  <c r="J469" i="3" s="1"/>
  <c r="O469" i="3"/>
  <c r="N469" i="3"/>
  <c r="I469" i="3"/>
  <c r="AZ468" i="3"/>
  <c r="AI468" i="3"/>
  <c r="CQ468" i="3" s="1"/>
  <c r="J468" i="3" s="1"/>
  <c r="O468" i="3"/>
  <c r="N468" i="3"/>
  <c r="I468" i="3"/>
  <c r="AZ467" i="3"/>
  <c r="AI467" i="3"/>
  <c r="CQ467" i="3" s="1"/>
  <c r="J467" i="3" s="1"/>
  <c r="O467" i="3"/>
  <c r="N467" i="3"/>
  <c r="I467" i="3"/>
  <c r="AZ466" i="3"/>
  <c r="AI466" i="3"/>
  <c r="CQ466" i="3" s="1"/>
  <c r="J466" i="3" s="1"/>
  <c r="O466" i="3"/>
  <c r="N466" i="3"/>
  <c r="I466" i="3"/>
  <c r="AZ465" i="3"/>
  <c r="AI465" i="3"/>
  <c r="CQ465" i="3" s="1"/>
  <c r="J465" i="3" s="1"/>
  <c r="O465" i="3"/>
  <c r="N465" i="3"/>
  <c r="I465" i="3"/>
  <c r="AZ464" i="3"/>
  <c r="AI464" i="3"/>
  <c r="CQ464" i="3" s="1"/>
  <c r="J464" i="3" s="1"/>
  <c r="O464" i="3"/>
  <c r="N464" i="3"/>
  <c r="I464" i="3"/>
  <c r="AZ463" i="3"/>
  <c r="AI463" i="3"/>
  <c r="CQ463" i="3" s="1"/>
  <c r="J463" i="3" s="1"/>
  <c r="O463" i="3"/>
  <c r="N463" i="3"/>
  <c r="I463" i="3"/>
  <c r="AZ462" i="3"/>
  <c r="AI462" i="3"/>
  <c r="CQ462" i="3" s="1"/>
  <c r="J462" i="3" s="1"/>
  <c r="O462" i="3"/>
  <c r="N462" i="3"/>
  <c r="I462" i="3"/>
  <c r="AZ461" i="3"/>
  <c r="AI461" i="3"/>
  <c r="CQ461" i="3" s="1"/>
  <c r="J461" i="3" s="1"/>
  <c r="O461" i="3"/>
  <c r="N461" i="3"/>
  <c r="I461" i="3"/>
  <c r="AZ460" i="3"/>
  <c r="AI460" i="3"/>
  <c r="CQ460" i="3" s="1"/>
  <c r="J460" i="3" s="1"/>
  <c r="O460" i="3"/>
  <c r="N460" i="3"/>
  <c r="I460" i="3"/>
  <c r="AZ459" i="3"/>
  <c r="AI459" i="3"/>
  <c r="CQ459" i="3" s="1"/>
  <c r="J459" i="3" s="1"/>
  <c r="O459" i="3"/>
  <c r="N459" i="3"/>
  <c r="I459" i="3"/>
  <c r="AZ458" i="3"/>
  <c r="AI458" i="3"/>
  <c r="CQ458" i="3" s="1"/>
  <c r="J458" i="3" s="1"/>
  <c r="O458" i="3"/>
  <c r="N458" i="3"/>
  <c r="I458" i="3"/>
  <c r="AZ457" i="3"/>
  <c r="AI457" i="3"/>
  <c r="CQ457" i="3" s="1"/>
  <c r="J457" i="3" s="1"/>
  <c r="O457" i="3"/>
  <c r="N457" i="3"/>
  <c r="I457" i="3"/>
  <c r="AZ456" i="3"/>
  <c r="AI456" i="3"/>
  <c r="CQ456" i="3" s="1"/>
  <c r="J456" i="3" s="1"/>
  <c r="O456" i="3"/>
  <c r="N456" i="3"/>
  <c r="I456" i="3"/>
  <c r="AZ455" i="3"/>
  <c r="AI455" i="3"/>
  <c r="CQ455" i="3" s="1"/>
  <c r="J455" i="3" s="1"/>
  <c r="O455" i="3"/>
  <c r="N455" i="3"/>
  <c r="I455" i="3"/>
  <c r="AZ454" i="3"/>
  <c r="AI454" i="3"/>
  <c r="CQ454" i="3" s="1"/>
  <c r="J454" i="3" s="1"/>
  <c r="O454" i="3"/>
  <c r="N454" i="3"/>
  <c r="I454" i="3"/>
  <c r="AZ453" i="3"/>
  <c r="AI453" i="3"/>
  <c r="CQ453" i="3" s="1"/>
  <c r="J453" i="3" s="1"/>
  <c r="O453" i="3"/>
  <c r="N453" i="3"/>
  <c r="I453" i="3"/>
  <c r="AZ452" i="3"/>
  <c r="AI452" i="3"/>
  <c r="CQ452" i="3" s="1"/>
  <c r="J452" i="3" s="1"/>
  <c r="O452" i="3"/>
  <c r="N452" i="3"/>
  <c r="I452" i="3"/>
  <c r="AZ451" i="3"/>
  <c r="AI451" i="3"/>
  <c r="CQ451" i="3" s="1"/>
  <c r="J451" i="3" s="1"/>
  <c r="O451" i="3"/>
  <c r="N451" i="3"/>
  <c r="I451" i="3"/>
  <c r="AZ450" i="3"/>
  <c r="AI450" i="3"/>
  <c r="CQ450" i="3" s="1"/>
  <c r="J450" i="3" s="1"/>
  <c r="O450" i="3"/>
  <c r="N450" i="3"/>
  <c r="I450" i="3"/>
  <c r="AZ449" i="3"/>
  <c r="AI449" i="3"/>
  <c r="CQ449" i="3" s="1"/>
  <c r="J449" i="3" s="1"/>
  <c r="O449" i="3"/>
  <c r="N449" i="3"/>
  <c r="I449" i="3"/>
  <c r="AZ448" i="3"/>
  <c r="AI448" i="3"/>
  <c r="CQ448" i="3" s="1"/>
  <c r="J448" i="3" s="1"/>
  <c r="O448" i="3"/>
  <c r="N448" i="3"/>
  <c r="I448" i="3"/>
  <c r="AZ447" i="3"/>
  <c r="AI447" i="3"/>
  <c r="CQ447" i="3" s="1"/>
  <c r="J447" i="3" s="1"/>
  <c r="O447" i="3"/>
  <c r="N447" i="3"/>
  <c r="I447" i="3"/>
  <c r="AZ446" i="3"/>
  <c r="AI446" i="3"/>
  <c r="CQ446" i="3" s="1"/>
  <c r="J446" i="3" s="1"/>
  <c r="O446" i="3"/>
  <c r="N446" i="3"/>
  <c r="I446" i="3"/>
  <c r="AZ445" i="3"/>
  <c r="AI445" i="3"/>
  <c r="CQ445" i="3" s="1"/>
  <c r="J445" i="3" s="1"/>
  <c r="O445" i="3"/>
  <c r="N445" i="3"/>
  <c r="I445" i="3"/>
  <c r="AZ444" i="3"/>
  <c r="AI444" i="3"/>
  <c r="CQ444" i="3" s="1"/>
  <c r="J444" i="3" s="1"/>
  <c r="O444" i="3"/>
  <c r="N444" i="3"/>
  <c r="I444" i="3"/>
  <c r="AZ443" i="3"/>
  <c r="AI443" i="3"/>
  <c r="CQ443" i="3" s="1"/>
  <c r="J443" i="3" s="1"/>
  <c r="O443" i="3"/>
  <c r="N443" i="3"/>
  <c r="I443" i="3"/>
  <c r="AZ442" i="3"/>
  <c r="AI442" i="3"/>
  <c r="CQ442" i="3" s="1"/>
  <c r="J442" i="3" s="1"/>
  <c r="O442" i="3"/>
  <c r="N442" i="3"/>
  <c r="I442" i="3"/>
  <c r="AZ441" i="3"/>
  <c r="AI441" i="3"/>
  <c r="CQ441" i="3" s="1"/>
  <c r="J441" i="3" s="1"/>
  <c r="O441" i="3"/>
  <c r="N441" i="3"/>
  <c r="I441" i="3"/>
  <c r="AZ440" i="3"/>
  <c r="AI440" i="3"/>
  <c r="CQ440" i="3" s="1"/>
  <c r="J440" i="3" s="1"/>
  <c r="O440" i="3"/>
  <c r="N440" i="3"/>
  <c r="I440" i="3"/>
  <c r="AZ439" i="3"/>
  <c r="AI439" i="3"/>
  <c r="CQ439" i="3" s="1"/>
  <c r="J439" i="3" s="1"/>
  <c r="O439" i="3"/>
  <c r="N439" i="3"/>
  <c r="I439" i="3"/>
  <c r="AZ438" i="3"/>
  <c r="AI438" i="3"/>
  <c r="CQ438" i="3" s="1"/>
  <c r="J438" i="3" s="1"/>
  <c r="O438" i="3"/>
  <c r="N438" i="3"/>
  <c r="I438" i="3"/>
  <c r="AZ437" i="3"/>
  <c r="AI437" i="3"/>
  <c r="CQ437" i="3" s="1"/>
  <c r="J437" i="3" s="1"/>
  <c r="O437" i="3"/>
  <c r="N437" i="3"/>
  <c r="I437" i="3"/>
  <c r="AZ436" i="3"/>
  <c r="AI436" i="3"/>
  <c r="CQ436" i="3" s="1"/>
  <c r="J436" i="3" s="1"/>
  <c r="O436" i="3"/>
  <c r="N436" i="3"/>
  <c r="I436" i="3"/>
  <c r="AZ435" i="3"/>
  <c r="AI435" i="3"/>
  <c r="CQ435" i="3" s="1"/>
  <c r="J435" i="3" s="1"/>
  <c r="O435" i="3"/>
  <c r="N435" i="3"/>
  <c r="I435" i="3"/>
  <c r="AZ434" i="3"/>
  <c r="AI434" i="3"/>
  <c r="CQ434" i="3" s="1"/>
  <c r="J434" i="3" s="1"/>
  <c r="O434" i="3"/>
  <c r="N434" i="3"/>
  <c r="I434" i="3"/>
  <c r="AZ433" i="3"/>
  <c r="AI433" i="3"/>
  <c r="CQ433" i="3" s="1"/>
  <c r="J433" i="3" s="1"/>
  <c r="O433" i="3"/>
  <c r="N433" i="3"/>
  <c r="I433" i="3"/>
  <c r="AZ432" i="3"/>
  <c r="AI432" i="3"/>
  <c r="CQ432" i="3" s="1"/>
  <c r="J432" i="3" s="1"/>
  <c r="O432" i="3"/>
  <c r="N432" i="3"/>
  <c r="I432" i="3"/>
  <c r="AZ431" i="3"/>
  <c r="AI431" i="3"/>
  <c r="CQ431" i="3" s="1"/>
  <c r="J431" i="3" s="1"/>
  <c r="O431" i="3"/>
  <c r="N431" i="3"/>
  <c r="I431" i="3"/>
  <c r="AZ430" i="3"/>
  <c r="AI430" i="3"/>
  <c r="CQ430" i="3" s="1"/>
  <c r="J430" i="3" s="1"/>
  <c r="O430" i="3"/>
  <c r="N430" i="3"/>
  <c r="I430" i="3"/>
  <c r="AZ429" i="3"/>
  <c r="AI429" i="3"/>
  <c r="CQ429" i="3" s="1"/>
  <c r="J429" i="3" s="1"/>
  <c r="O429" i="3"/>
  <c r="N429" i="3"/>
  <c r="I429" i="3"/>
  <c r="AZ428" i="3"/>
  <c r="AI428" i="3"/>
  <c r="CQ428" i="3" s="1"/>
  <c r="J428" i="3" s="1"/>
  <c r="O428" i="3"/>
  <c r="N428" i="3"/>
  <c r="I428" i="3"/>
  <c r="AZ427" i="3"/>
  <c r="AI427" i="3"/>
  <c r="CQ427" i="3" s="1"/>
  <c r="J427" i="3" s="1"/>
  <c r="O427" i="3"/>
  <c r="N427" i="3"/>
  <c r="I427" i="3"/>
  <c r="AZ426" i="3"/>
  <c r="AI426" i="3"/>
  <c r="CQ426" i="3" s="1"/>
  <c r="J426" i="3" s="1"/>
  <c r="O426" i="3"/>
  <c r="N426" i="3"/>
  <c r="I426" i="3"/>
  <c r="AZ425" i="3"/>
  <c r="AI425" i="3"/>
  <c r="CQ425" i="3" s="1"/>
  <c r="J425" i="3" s="1"/>
  <c r="O425" i="3"/>
  <c r="N425" i="3"/>
  <c r="I425" i="3"/>
  <c r="AZ424" i="3"/>
  <c r="AI424" i="3"/>
  <c r="CQ424" i="3" s="1"/>
  <c r="J424" i="3" s="1"/>
  <c r="O424" i="3"/>
  <c r="N424" i="3"/>
  <c r="I424" i="3"/>
  <c r="AZ423" i="3"/>
  <c r="AI423" i="3"/>
  <c r="CQ423" i="3" s="1"/>
  <c r="J423" i="3" s="1"/>
  <c r="O423" i="3"/>
  <c r="N423" i="3"/>
  <c r="I423" i="3"/>
  <c r="AZ422" i="3"/>
  <c r="AI422" i="3"/>
  <c r="CQ422" i="3" s="1"/>
  <c r="J422" i="3" s="1"/>
  <c r="O422" i="3"/>
  <c r="N422" i="3"/>
  <c r="I422" i="3"/>
  <c r="AZ421" i="3"/>
  <c r="AI421" i="3"/>
  <c r="CQ421" i="3" s="1"/>
  <c r="J421" i="3" s="1"/>
  <c r="O421" i="3"/>
  <c r="N421" i="3"/>
  <c r="I421" i="3"/>
  <c r="AZ420" i="3"/>
  <c r="AI420" i="3"/>
  <c r="CQ420" i="3" s="1"/>
  <c r="J420" i="3" s="1"/>
  <c r="O420" i="3"/>
  <c r="N420" i="3"/>
  <c r="I420" i="3"/>
  <c r="AZ419" i="3"/>
  <c r="AI419" i="3"/>
  <c r="CQ419" i="3" s="1"/>
  <c r="J419" i="3" s="1"/>
  <c r="O419" i="3"/>
  <c r="N419" i="3"/>
  <c r="I419" i="3"/>
  <c r="AZ418" i="3"/>
  <c r="AI418" i="3"/>
  <c r="CQ418" i="3" s="1"/>
  <c r="J418" i="3" s="1"/>
  <c r="O418" i="3"/>
  <c r="N418" i="3"/>
  <c r="I418" i="3"/>
  <c r="AZ417" i="3"/>
  <c r="AI417" i="3"/>
  <c r="CQ417" i="3" s="1"/>
  <c r="J417" i="3" s="1"/>
  <c r="O417" i="3"/>
  <c r="N417" i="3"/>
  <c r="I417" i="3"/>
  <c r="AZ416" i="3"/>
  <c r="AI416" i="3"/>
  <c r="CQ416" i="3" s="1"/>
  <c r="J416" i="3" s="1"/>
  <c r="O416" i="3"/>
  <c r="N416" i="3"/>
  <c r="I416" i="3"/>
  <c r="AZ415" i="3"/>
  <c r="AI415" i="3"/>
  <c r="CQ415" i="3" s="1"/>
  <c r="J415" i="3" s="1"/>
  <c r="O415" i="3"/>
  <c r="N415" i="3"/>
  <c r="I415" i="3"/>
  <c r="AZ414" i="3"/>
  <c r="AI414" i="3"/>
  <c r="CQ414" i="3" s="1"/>
  <c r="J414" i="3" s="1"/>
  <c r="O414" i="3"/>
  <c r="N414" i="3"/>
  <c r="I414" i="3"/>
  <c r="AZ413" i="3"/>
  <c r="AI413" i="3"/>
  <c r="CQ413" i="3" s="1"/>
  <c r="J413" i="3" s="1"/>
  <c r="O413" i="3"/>
  <c r="N413" i="3"/>
  <c r="I413" i="3"/>
  <c r="AZ412" i="3"/>
  <c r="AI412" i="3"/>
  <c r="CQ412" i="3" s="1"/>
  <c r="J412" i="3" s="1"/>
  <c r="O412" i="3"/>
  <c r="N412" i="3"/>
  <c r="I412" i="3"/>
  <c r="CQ411" i="3"/>
  <c r="J411" i="3" s="1"/>
  <c r="AZ411" i="3"/>
  <c r="AI411" i="3"/>
  <c r="N411" i="3"/>
  <c r="O411" i="3" s="1"/>
  <c r="I411" i="3"/>
  <c r="CQ410" i="3"/>
  <c r="J410" i="3" s="1"/>
  <c r="AZ410" i="3"/>
  <c r="AI410" i="3"/>
  <c r="O410" i="3"/>
  <c r="N410" i="3"/>
  <c r="I410" i="3"/>
  <c r="AZ409" i="3"/>
  <c r="AI409" i="3"/>
  <c r="CQ409" i="3" s="1"/>
  <c r="J409" i="3" s="1"/>
  <c r="N409" i="3"/>
  <c r="O409" i="3" s="1"/>
  <c r="I409" i="3"/>
  <c r="AZ408" i="3"/>
  <c r="AI408" i="3"/>
  <c r="CQ408" i="3" s="1"/>
  <c r="J408" i="3" s="1"/>
  <c r="O408" i="3"/>
  <c r="N408" i="3"/>
  <c r="I408" i="3"/>
  <c r="CQ407" i="3"/>
  <c r="J407" i="3" s="1"/>
  <c r="AZ407" i="3"/>
  <c r="AI407" i="3"/>
  <c r="N407" i="3"/>
  <c r="O407" i="3" s="1"/>
  <c r="I407" i="3"/>
  <c r="CQ406" i="3"/>
  <c r="J406" i="3" s="1"/>
  <c r="AZ406" i="3"/>
  <c r="AI406" i="3"/>
  <c r="O406" i="3"/>
  <c r="N406" i="3"/>
  <c r="I406" i="3"/>
  <c r="AZ405" i="3"/>
  <c r="AI405" i="3"/>
  <c r="CQ405" i="3" s="1"/>
  <c r="J405" i="3" s="1"/>
  <c r="N405" i="3"/>
  <c r="O405" i="3" s="1"/>
  <c r="I405" i="3"/>
  <c r="AZ404" i="3"/>
  <c r="AI404" i="3"/>
  <c r="CQ404" i="3" s="1"/>
  <c r="J404" i="3" s="1"/>
  <c r="O404" i="3"/>
  <c r="N404" i="3"/>
  <c r="I404" i="3"/>
  <c r="CQ403" i="3"/>
  <c r="J403" i="3" s="1"/>
  <c r="AZ403" i="3"/>
  <c r="AI403" i="3"/>
  <c r="N403" i="3"/>
  <c r="O403" i="3" s="1"/>
  <c r="I403" i="3"/>
  <c r="CQ402" i="3"/>
  <c r="J402" i="3" s="1"/>
  <c r="AZ402" i="3"/>
  <c r="AI402" i="3"/>
  <c r="O402" i="3"/>
  <c r="N402" i="3"/>
  <c r="I402" i="3"/>
  <c r="AZ401" i="3"/>
  <c r="AI401" i="3"/>
  <c r="CQ401" i="3" s="1"/>
  <c r="J401" i="3" s="1"/>
  <c r="N401" i="3"/>
  <c r="O401" i="3" s="1"/>
  <c r="I401" i="3"/>
  <c r="AZ400" i="3"/>
  <c r="AI400" i="3"/>
  <c r="CQ400" i="3" s="1"/>
  <c r="J400" i="3" s="1"/>
  <c r="O400" i="3"/>
  <c r="N400" i="3"/>
  <c r="I400" i="3"/>
  <c r="CQ399" i="3"/>
  <c r="J399" i="3" s="1"/>
  <c r="AZ399" i="3"/>
  <c r="AI399" i="3"/>
  <c r="N399" i="3"/>
  <c r="O399" i="3" s="1"/>
  <c r="I399" i="3"/>
  <c r="CQ398" i="3"/>
  <c r="J398" i="3" s="1"/>
  <c r="AZ398" i="3"/>
  <c r="AI398" i="3"/>
  <c r="O398" i="3"/>
  <c r="N398" i="3"/>
  <c r="I398" i="3"/>
  <c r="AZ397" i="3"/>
  <c r="AI397" i="3"/>
  <c r="CQ397" i="3" s="1"/>
  <c r="J397" i="3" s="1"/>
  <c r="N397" i="3"/>
  <c r="O397" i="3" s="1"/>
  <c r="I397" i="3"/>
  <c r="AZ396" i="3"/>
  <c r="AI396" i="3"/>
  <c r="CQ396" i="3" s="1"/>
  <c r="J396" i="3" s="1"/>
  <c r="O396" i="3"/>
  <c r="N396" i="3"/>
  <c r="I396" i="3"/>
  <c r="CQ395" i="3"/>
  <c r="J395" i="3" s="1"/>
  <c r="AZ395" i="3"/>
  <c r="AI395" i="3"/>
  <c r="N395" i="3"/>
  <c r="O395" i="3" s="1"/>
  <c r="I395" i="3"/>
  <c r="CQ394" i="3"/>
  <c r="J394" i="3" s="1"/>
  <c r="AZ394" i="3"/>
  <c r="AI394" i="3"/>
  <c r="O394" i="3"/>
  <c r="N394" i="3"/>
  <c r="I394" i="3"/>
  <c r="AZ393" i="3"/>
  <c r="AI393" i="3"/>
  <c r="CQ393" i="3" s="1"/>
  <c r="J393" i="3" s="1"/>
  <c r="N393" i="3"/>
  <c r="O393" i="3" s="1"/>
  <c r="I393" i="3"/>
  <c r="AZ392" i="3"/>
  <c r="AI392" i="3"/>
  <c r="CQ392" i="3" s="1"/>
  <c r="J392" i="3" s="1"/>
  <c r="O392" i="3"/>
  <c r="N392" i="3"/>
  <c r="I392" i="3"/>
  <c r="CQ391" i="3"/>
  <c r="J391" i="3" s="1"/>
  <c r="AZ391" i="3"/>
  <c r="AI391" i="3"/>
  <c r="N391" i="3"/>
  <c r="O391" i="3" s="1"/>
  <c r="I391" i="3"/>
  <c r="CQ390" i="3"/>
  <c r="J390" i="3" s="1"/>
  <c r="AZ390" i="3"/>
  <c r="AI390" i="3"/>
  <c r="O390" i="3"/>
  <c r="N390" i="3"/>
  <c r="I390" i="3"/>
  <c r="AZ389" i="3"/>
  <c r="AI389" i="3"/>
  <c r="CQ389" i="3" s="1"/>
  <c r="J389" i="3" s="1"/>
  <c r="N389" i="3"/>
  <c r="O389" i="3" s="1"/>
  <c r="I389" i="3"/>
  <c r="AZ388" i="3"/>
  <c r="AI388" i="3"/>
  <c r="CQ388" i="3" s="1"/>
  <c r="J388" i="3" s="1"/>
  <c r="O388" i="3"/>
  <c r="N388" i="3"/>
  <c r="I388" i="3"/>
  <c r="CQ387" i="3"/>
  <c r="J387" i="3" s="1"/>
  <c r="AZ387" i="3"/>
  <c r="AI387" i="3"/>
  <c r="N387" i="3"/>
  <c r="O387" i="3" s="1"/>
  <c r="I387" i="3"/>
  <c r="CQ386" i="3"/>
  <c r="J386" i="3" s="1"/>
  <c r="AZ386" i="3"/>
  <c r="AI386" i="3"/>
  <c r="O386" i="3"/>
  <c r="N386" i="3"/>
  <c r="I386" i="3"/>
  <c r="AZ385" i="3"/>
  <c r="AI385" i="3"/>
  <c r="CQ385" i="3" s="1"/>
  <c r="J385" i="3" s="1"/>
  <c r="N385" i="3"/>
  <c r="O385" i="3" s="1"/>
  <c r="I385" i="3"/>
  <c r="AZ384" i="3"/>
  <c r="AI384" i="3"/>
  <c r="CQ384" i="3" s="1"/>
  <c r="J384" i="3" s="1"/>
  <c r="O384" i="3"/>
  <c r="N384" i="3"/>
  <c r="I384" i="3"/>
  <c r="CQ383" i="3"/>
  <c r="J383" i="3" s="1"/>
  <c r="AZ383" i="3"/>
  <c r="AI383" i="3"/>
  <c r="N383" i="3"/>
  <c r="O383" i="3" s="1"/>
  <c r="I383" i="3"/>
  <c r="CQ382" i="3"/>
  <c r="J382" i="3" s="1"/>
  <c r="AZ382" i="3"/>
  <c r="AI382" i="3"/>
  <c r="O382" i="3"/>
  <c r="N382" i="3"/>
  <c r="I382" i="3"/>
  <c r="AZ381" i="3"/>
  <c r="AI381" i="3"/>
  <c r="CQ381" i="3" s="1"/>
  <c r="J381" i="3" s="1"/>
  <c r="N381" i="3"/>
  <c r="O381" i="3" s="1"/>
  <c r="I381" i="3"/>
  <c r="AZ380" i="3"/>
  <c r="AI380" i="3"/>
  <c r="CQ380" i="3" s="1"/>
  <c r="J380" i="3" s="1"/>
  <c r="O380" i="3"/>
  <c r="N380" i="3"/>
  <c r="I380" i="3"/>
  <c r="CQ379" i="3"/>
  <c r="J379" i="3" s="1"/>
  <c r="AZ379" i="3"/>
  <c r="AI379" i="3"/>
  <c r="N379" i="3"/>
  <c r="O379" i="3" s="1"/>
  <c r="I379" i="3"/>
  <c r="CQ378" i="3"/>
  <c r="J378" i="3" s="1"/>
  <c r="AZ378" i="3"/>
  <c r="AI378" i="3"/>
  <c r="O378" i="3"/>
  <c r="N378" i="3"/>
  <c r="I378" i="3"/>
  <c r="AZ377" i="3"/>
  <c r="AI377" i="3"/>
  <c r="CQ377" i="3" s="1"/>
  <c r="J377" i="3" s="1"/>
  <c r="N377" i="3"/>
  <c r="O377" i="3" s="1"/>
  <c r="I377" i="3"/>
  <c r="AZ376" i="3"/>
  <c r="AI376" i="3"/>
  <c r="CQ376" i="3" s="1"/>
  <c r="J376" i="3" s="1"/>
  <c r="O376" i="3"/>
  <c r="N376" i="3"/>
  <c r="I376" i="3"/>
  <c r="CQ375" i="3"/>
  <c r="J375" i="3" s="1"/>
  <c r="AZ375" i="3"/>
  <c r="AI375" i="3"/>
  <c r="N375" i="3"/>
  <c r="O375" i="3" s="1"/>
  <c r="I375" i="3"/>
  <c r="CQ374" i="3"/>
  <c r="J374" i="3" s="1"/>
  <c r="AZ374" i="3"/>
  <c r="AI374" i="3"/>
  <c r="O374" i="3"/>
  <c r="N374" i="3"/>
  <c r="I374" i="3"/>
  <c r="AZ373" i="3"/>
  <c r="AI373" i="3"/>
  <c r="CQ373" i="3" s="1"/>
  <c r="J373" i="3" s="1"/>
  <c r="N373" i="3"/>
  <c r="O373" i="3" s="1"/>
  <c r="I373" i="3"/>
  <c r="AZ372" i="3"/>
  <c r="AI372" i="3"/>
  <c r="CQ372" i="3" s="1"/>
  <c r="J372" i="3" s="1"/>
  <c r="O372" i="3"/>
  <c r="N372" i="3"/>
  <c r="I372" i="3"/>
  <c r="CQ371" i="3"/>
  <c r="J371" i="3" s="1"/>
  <c r="AZ371" i="3"/>
  <c r="AI371" i="3"/>
  <c r="N371" i="3"/>
  <c r="O371" i="3" s="1"/>
  <c r="I371" i="3"/>
  <c r="CQ370" i="3"/>
  <c r="J370" i="3" s="1"/>
  <c r="AZ370" i="3"/>
  <c r="AI370" i="3"/>
  <c r="O370" i="3"/>
  <c r="N370" i="3"/>
  <c r="I370" i="3"/>
  <c r="AZ369" i="3"/>
  <c r="AI369" i="3"/>
  <c r="CQ369" i="3" s="1"/>
  <c r="J369" i="3" s="1"/>
  <c r="N369" i="3"/>
  <c r="O369" i="3" s="1"/>
  <c r="I369" i="3"/>
  <c r="AZ368" i="3"/>
  <c r="AI368" i="3"/>
  <c r="CQ368" i="3" s="1"/>
  <c r="J368" i="3" s="1"/>
  <c r="O368" i="3"/>
  <c r="N368" i="3"/>
  <c r="I368" i="3"/>
  <c r="CQ367" i="3"/>
  <c r="J367" i="3" s="1"/>
  <c r="AZ367" i="3"/>
  <c r="AI367" i="3"/>
  <c r="N367" i="3"/>
  <c r="O367" i="3" s="1"/>
  <c r="I367" i="3"/>
  <c r="CQ366" i="3"/>
  <c r="J366" i="3" s="1"/>
  <c r="AZ366" i="3"/>
  <c r="AI366" i="3"/>
  <c r="O366" i="3"/>
  <c r="N366" i="3"/>
  <c r="I366" i="3"/>
  <c r="AZ365" i="3"/>
  <c r="AI365" i="3"/>
  <c r="CQ365" i="3" s="1"/>
  <c r="J365" i="3" s="1"/>
  <c r="N365" i="3"/>
  <c r="O365" i="3" s="1"/>
  <c r="I365" i="3"/>
  <c r="AZ364" i="3"/>
  <c r="AI364" i="3"/>
  <c r="CQ364" i="3" s="1"/>
  <c r="J364" i="3" s="1"/>
  <c r="O364" i="3"/>
  <c r="N364" i="3"/>
  <c r="I364" i="3"/>
  <c r="CQ363" i="3"/>
  <c r="J363" i="3" s="1"/>
  <c r="AZ363" i="3"/>
  <c r="AI363" i="3"/>
  <c r="N363" i="3"/>
  <c r="O363" i="3" s="1"/>
  <c r="I363" i="3"/>
  <c r="CQ362" i="3"/>
  <c r="J362" i="3" s="1"/>
  <c r="AZ362" i="3"/>
  <c r="AI362" i="3"/>
  <c r="O362" i="3"/>
  <c r="N362" i="3"/>
  <c r="I362" i="3"/>
  <c r="AZ361" i="3"/>
  <c r="AI361" i="3"/>
  <c r="CQ361" i="3" s="1"/>
  <c r="J361" i="3" s="1"/>
  <c r="N361" i="3"/>
  <c r="O361" i="3" s="1"/>
  <c r="I361" i="3"/>
  <c r="AZ360" i="3"/>
  <c r="AI360" i="3"/>
  <c r="CQ360" i="3" s="1"/>
  <c r="J360" i="3" s="1"/>
  <c r="O360" i="3"/>
  <c r="N360" i="3"/>
  <c r="I360" i="3"/>
  <c r="CQ359" i="3"/>
  <c r="J359" i="3" s="1"/>
  <c r="AZ359" i="3"/>
  <c r="AI359" i="3"/>
  <c r="N359" i="3"/>
  <c r="O359" i="3" s="1"/>
  <c r="I359" i="3"/>
  <c r="CQ358" i="3"/>
  <c r="J358" i="3" s="1"/>
  <c r="AZ358" i="3"/>
  <c r="AI358" i="3"/>
  <c r="O358" i="3"/>
  <c r="N358" i="3"/>
  <c r="I358" i="3"/>
  <c r="AZ357" i="3"/>
  <c r="AI357" i="3"/>
  <c r="CQ357" i="3" s="1"/>
  <c r="J357" i="3" s="1"/>
  <c r="N357" i="3"/>
  <c r="O357" i="3" s="1"/>
  <c r="I357" i="3"/>
  <c r="AZ356" i="3"/>
  <c r="AI356" i="3"/>
  <c r="CQ356" i="3" s="1"/>
  <c r="J356" i="3" s="1"/>
  <c r="O356" i="3"/>
  <c r="N356" i="3"/>
  <c r="I356" i="3"/>
  <c r="CQ355" i="3"/>
  <c r="J355" i="3" s="1"/>
  <c r="AZ355" i="3"/>
  <c r="AI355" i="3"/>
  <c r="N355" i="3"/>
  <c r="O355" i="3" s="1"/>
  <c r="I355" i="3"/>
  <c r="CQ354" i="3"/>
  <c r="J354" i="3" s="1"/>
  <c r="AZ354" i="3"/>
  <c r="AI354" i="3"/>
  <c r="O354" i="3"/>
  <c r="N354" i="3"/>
  <c r="I354" i="3"/>
  <c r="AZ353" i="3"/>
  <c r="AI353" i="3"/>
  <c r="CQ353" i="3" s="1"/>
  <c r="J353" i="3" s="1"/>
  <c r="N353" i="3"/>
  <c r="O353" i="3" s="1"/>
  <c r="I353" i="3"/>
  <c r="AZ352" i="3"/>
  <c r="AI352" i="3"/>
  <c r="CQ352" i="3" s="1"/>
  <c r="J352" i="3" s="1"/>
  <c r="O352" i="3"/>
  <c r="N352" i="3"/>
  <c r="I352" i="3"/>
  <c r="CQ351" i="3"/>
  <c r="J351" i="3" s="1"/>
  <c r="AZ351" i="3"/>
  <c r="AI351" i="3"/>
  <c r="N351" i="3"/>
  <c r="O351" i="3" s="1"/>
  <c r="I351" i="3"/>
  <c r="CQ350" i="3"/>
  <c r="J350" i="3" s="1"/>
  <c r="AZ350" i="3"/>
  <c r="AI350" i="3"/>
  <c r="O350" i="3"/>
  <c r="N350" i="3"/>
  <c r="I350" i="3"/>
  <c r="AZ349" i="3"/>
  <c r="AI349" i="3"/>
  <c r="CQ349" i="3" s="1"/>
  <c r="J349" i="3" s="1"/>
  <c r="N349" i="3"/>
  <c r="O349" i="3" s="1"/>
  <c r="I349" i="3"/>
  <c r="AZ348" i="3"/>
  <c r="AI348" i="3"/>
  <c r="CQ348" i="3" s="1"/>
  <c r="J348" i="3" s="1"/>
  <c r="O348" i="3"/>
  <c r="N348" i="3"/>
  <c r="I348" i="3"/>
  <c r="CQ347" i="3"/>
  <c r="J347" i="3" s="1"/>
  <c r="AZ347" i="3"/>
  <c r="AI347" i="3"/>
  <c r="N347" i="3"/>
  <c r="O347" i="3" s="1"/>
  <c r="I347" i="3"/>
  <c r="CQ346" i="3"/>
  <c r="J346" i="3" s="1"/>
  <c r="AZ346" i="3"/>
  <c r="AI346" i="3"/>
  <c r="O346" i="3"/>
  <c r="N346" i="3"/>
  <c r="I346" i="3"/>
  <c r="AZ345" i="3"/>
  <c r="AI345" i="3"/>
  <c r="CQ345" i="3" s="1"/>
  <c r="J345" i="3" s="1"/>
  <c r="N345" i="3"/>
  <c r="O345" i="3" s="1"/>
  <c r="I345" i="3"/>
  <c r="AZ344" i="3"/>
  <c r="AI344" i="3"/>
  <c r="CQ344" i="3" s="1"/>
  <c r="J344" i="3" s="1"/>
  <c r="O344" i="3"/>
  <c r="N344" i="3"/>
  <c r="I344" i="3"/>
  <c r="CQ343" i="3"/>
  <c r="J343" i="3" s="1"/>
  <c r="AZ343" i="3"/>
  <c r="AI343" i="3"/>
  <c r="N343" i="3"/>
  <c r="O343" i="3" s="1"/>
  <c r="I343" i="3"/>
  <c r="CQ342" i="3"/>
  <c r="J342" i="3" s="1"/>
  <c r="AZ342" i="3"/>
  <c r="AI342" i="3"/>
  <c r="O342" i="3"/>
  <c r="N342" i="3"/>
  <c r="I342" i="3"/>
  <c r="AZ341" i="3"/>
  <c r="AI341" i="3"/>
  <c r="CQ341" i="3" s="1"/>
  <c r="J341" i="3" s="1"/>
  <c r="N341" i="3"/>
  <c r="O341" i="3" s="1"/>
  <c r="I341" i="3"/>
  <c r="AZ340" i="3"/>
  <c r="AI340" i="3"/>
  <c r="CQ340" i="3" s="1"/>
  <c r="J340" i="3" s="1"/>
  <c r="O340" i="3"/>
  <c r="N340" i="3"/>
  <c r="I340" i="3"/>
  <c r="CQ339" i="3"/>
  <c r="J339" i="3" s="1"/>
  <c r="AZ339" i="3"/>
  <c r="AI339" i="3"/>
  <c r="N339" i="3"/>
  <c r="O339" i="3" s="1"/>
  <c r="I339" i="3"/>
  <c r="CQ338" i="3"/>
  <c r="J338" i="3" s="1"/>
  <c r="AZ338" i="3"/>
  <c r="AI338" i="3"/>
  <c r="O338" i="3"/>
  <c r="N338" i="3"/>
  <c r="I338" i="3"/>
  <c r="AZ337" i="3"/>
  <c r="AI337" i="3"/>
  <c r="CQ337" i="3" s="1"/>
  <c r="J337" i="3" s="1"/>
  <c r="N337" i="3"/>
  <c r="O337" i="3" s="1"/>
  <c r="I337" i="3"/>
  <c r="AZ336" i="3"/>
  <c r="AI336" i="3"/>
  <c r="CQ336" i="3" s="1"/>
  <c r="J336" i="3" s="1"/>
  <c r="O336" i="3"/>
  <c r="N336" i="3"/>
  <c r="I336" i="3"/>
  <c r="CQ335" i="3"/>
  <c r="J335" i="3" s="1"/>
  <c r="AZ335" i="3"/>
  <c r="AI335" i="3"/>
  <c r="N335" i="3"/>
  <c r="O335" i="3" s="1"/>
  <c r="I335" i="3"/>
  <c r="CQ334" i="3"/>
  <c r="J334" i="3" s="1"/>
  <c r="AZ334" i="3"/>
  <c r="AI334" i="3"/>
  <c r="O334" i="3"/>
  <c r="N334" i="3"/>
  <c r="I334" i="3"/>
  <c r="AZ333" i="3"/>
  <c r="AI333" i="3"/>
  <c r="CQ333" i="3" s="1"/>
  <c r="J333" i="3" s="1"/>
  <c r="N333" i="3"/>
  <c r="O333" i="3" s="1"/>
  <c r="I333" i="3"/>
  <c r="AZ332" i="3"/>
  <c r="AI332" i="3"/>
  <c r="CQ332" i="3" s="1"/>
  <c r="J332" i="3" s="1"/>
  <c r="O332" i="3"/>
  <c r="N332" i="3"/>
  <c r="I332" i="3"/>
  <c r="CQ331" i="3"/>
  <c r="J331" i="3" s="1"/>
  <c r="AZ331" i="3"/>
  <c r="AI331" i="3"/>
  <c r="N331" i="3"/>
  <c r="O331" i="3" s="1"/>
  <c r="I331" i="3"/>
  <c r="CQ330" i="3"/>
  <c r="J330" i="3" s="1"/>
  <c r="AZ330" i="3"/>
  <c r="AI330" i="3"/>
  <c r="O330" i="3"/>
  <c r="N330" i="3"/>
  <c r="I330" i="3"/>
  <c r="AZ329" i="3"/>
  <c r="AI329" i="3"/>
  <c r="CQ329" i="3" s="1"/>
  <c r="J329" i="3" s="1"/>
  <c r="N329" i="3"/>
  <c r="O329" i="3" s="1"/>
  <c r="I329" i="3"/>
  <c r="AZ328" i="3"/>
  <c r="AI328" i="3"/>
  <c r="CQ328" i="3" s="1"/>
  <c r="J328" i="3" s="1"/>
  <c r="O328" i="3"/>
  <c r="N328" i="3"/>
  <c r="I328" i="3"/>
  <c r="CQ327" i="3"/>
  <c r="J327" i="3" s="1"/>
  <c r="AZ327" i="3"/>
  <c r="AI327" i="3"/>
  <c r="N327" i="3"/>
  <c r="O327" i="3" s="1"/>
  <c r="I327" i="3"/>
  <c r="CQ326" i="3"/>
  <c r="J326" i="3" s="1"/>
  <c r="AZ326" i="3"/>
  <c r="AI326" i="3"/>
  <c r="O326" i="3"/>
  <c r="N326" i="3"/>
  <c r="I326" i="3"/>
  <c r="AZ325" i="3"/>
  <c r="AI325" i="3"/>
  <c r="CQ325" i="3" s="1"/>
  <c r="J325" i="3" s="1"/>
  <c r="N325" i="3"/>
  <c r="O325" i="3" s="1"/>
  <c r="I325" i="3"/>
  <c r="AZ324" i="3"/>
  <c r="AI324" i="3"/>
  <c r="CQ324" i="3" s="1"/>
  <c r="J324" i="3" s="1"/>
  <c r="O324" i="3"/>
  <c r="N324" i="3"/>
  <c r="I324" i="3"/>
  <c r="CQ323" i="3"/>
  <c r="J323" i="3" s="1"/>
  <c r="AZ323" i="3"/>
  <c r="AI323" i="3"/>
  <c r="N323" i="3"/>
  <c r="O323" i="3" s="1"/>
  <c r="I323" i="3"/>
  <c r="CQ322" i="3"/>
  <c r="J322" i="3" s="1"/>
  <c r="AZ322" i="3"/>
  <c r="AI322" i="3"/>
  <c r="O322" i="3"/>
  <c r="N322" i="3"/>
  <c r="I322" i="3"/>
  <c r="AZ321" i="3"/>
  <c r="AI321" i="3"/>
  <c r="CQ321" i="3" s="1"/>
  <c r="J321" i="3" s="1"/>
  <c r="N321" i="3"/>
  <c r="O321" i="3" s="1"/>
  <c r="I321" i="3"/>
  <c r="AZ320" i="3"/>
  <c r="AI320" i="3"/>
  <c r="CQ320" i="3" s="1"/>
  <c r="J320" i="3" s="1"/>
  <c r="O320" i="3"/>
  <c r="N320" i="3"/>
  <c r="I320" i="3"/>
  <c r="CQ319" i="3"/>
  <c r="J319" i="3" s="1"/>
  <c r="AZ319" i="3"/>
  <c r="AI319" i="3"/>
  <c r="N319" i="3"/>
  <c r="O319" i="3" s="1"/>
  <c r="I319" i="3"/>
  <c r="CQ318" i="3"/>
  <c r="J318" i="3" s="1"/>
  <c r="AZ318" i="3"/>
  <c r="AI318" i="3"/>
  <c r="O318" i="3"/>
  <c r="N318" i="3"/>
  <c r="I318" i="3"/>
  <c r="AZ317" i="3"/>
  <c r="AI317" i="3"/>
  <c r="CQ317" i="3" s="1"/>
  <c r="J317" i="3" s="1"/>
  <c r="N317" i="3"/>
  <c r="O317" i="3" s="1"/>
  <c r="I317" i="3"/>
  <c r="AZ316" i="3"/>
  <c r="AI316" i="3"/>
  <c r="CQ316" i="3" s="1"/>
  <c r="J316" i="3" s="1"/>
  <c r="O316" i="3"/>
  <c r="N316" i="3"/>
  <c r="I316" i="3"/>
  <c r="CQ315" i="3"/>
  <c r="J315" i="3" s="1"/>
  <c r="AZ315" i="3"/>
  <c r="AI315" i="3"/>
  <c r="N315" i="3"/>
  <c r="O315" i="3" s="1"/>
  <c r="I315" i="3"/>
  <c r="CQ314" i="3"/>
  <c r="J314" i="3" s="1"/>
  <c r="AZ314" i="3"/>
  <c r="AI314" i="3"/>
  <c r="O314" i="3"/>
  <c r="N314" i="3"/>
  <c r="I314" i="3"/>
  <c r="AZ313" i="3"/>
  <c r="AI313" i="3"/>
  <c r="CQ313" i="3" s="1"/>
  <c r="J313" i="3" s="1"/>
  <c r="N313" i="3"/>
  <c r="O313" i="3" s="1"/>
  <c r="I313" i="3"/>
  <c r="AZ312" i="3"/>
  <c r="AI312" i="3"/>
  <c r="CQ312" i="3" s="1"/>
  <c r="J312" i="3" s="1"/>
  <c r="O312" i="3"/>
  <c r="N312" i="3"/>
  <c r="I312" i="3"/>
  <c r="CQ311" i="3"/>
  <c r="J311" i="3" s="1"/>
  <c r="AZ311" i="3"/>
  <c r="AI311" i="3"/>
  <c r="N311" i="3"/>
  <c r="O311" i="3" s="1"/>
  <c r="I311" i="3"/>
  <c r="CQ310" i="3"/>
  <c r="J310" i="3" s="1"/>
  <c r="AZ310" i="3"/>
  <c r="AI310" i="3"/>
  <c r="O310" i="3"/>
  <c r="N310" i="3"/>
  <c r="I310" i="3"/>
  <c r="AZ309" i="3"/>
  <c r="AI309" i="3"/>
  <c r="CQ309" i="3" s="1"/>
  <c r="J309" i="3" s="1"/>
  <c r="N309" i="3"/>
  <c r="O309" i="3" s="1"/>
  <c r="I309" i="3"/>
  <c r="AZ308" i="3"/>
  <c r="AI308" i="3"/>
  <c r="CQ308" i="3" s="1"/>
  <c r="J308" i="3" s="1"/>
  <c r="O308" i="3"/>
  <c r="N308" i="3"/>
  <c r="I308" i="3"/>
  <c r="CQ307" i="3"/>
  <c r="J307" i="3" s="1"/>
  <c r="AZ307" i="3"/>
  <c r="AI307" i="3"/>
  <c r="N307" i="3"/>
  <c r="O307" i="3" s="1"/>
  <c r="I307" i="3"/>
  <c r="CQ306" i="3"/>
  <c r="J306" i="3" s="1"/>
  <c r="AZ306" i="3"/>
  <c r="AI306" i="3"/>
  <c r="O306" i="3"/>
  <c r="N306" i="3"/>
  <c r="I306" i="3"/>
  <c r="AZ305" i="3"/>
  <c r="AI305" i="3"/>
  <c r="CQ305" i="3" s="1"/>
  <c r="J305" i="3" s="1"/>
  <c r="N305" i="3"/>
  <c r="O305" i="3" s="1"/>
  <c r="I305" i="3"/>
  <c r="AZ304" i="3"/>
  <c r="AI304" i="3"/>
  <c r="CQ304" i="3" s="1"/>
  <c r="J304" i="3" s="1"/>
  <c r="O304" i="3"/>
  <c r="N304" i="3"/>
  <c r="I304" i="3"/>
  <c r="CQ303" i="3"/>
  <c r="J303" i="3" s="1"/>
  <c r="AZ303" i="3"/>
  <c r="AI303" i="3"/>
  <c r="N303" i="3"/>
  <c r="O303" i="3" s="1"/>
  <c r="I303" i="3"/>
  <c r="CQ302" i="3"/>
  <c r="J302" i="3" s="1"/>
  <c r="AZ302" i="3"/>
  <c r="AI302" i="3"/>
  <c r="O302" i="3"/>
  <c r="N302" i="3"/>
  <c r="I302" i="3"/>
  <c r="CQ301" i="3"/>
  <c r="J301" i="3" s="1"/>
  <c r="AZ301" i="3"/>
  <c r="AI301" i="3"/>
  <c r="N301" i="3"/>
  <c r="O301" i="3" s="1"/>
  <c r="I301" i="3"/>
  <c r="AZ300" i="3"/>
  <c r="AI300" i="3"/>
  <c r="CQ300" i="3" s="1"/>
  <c r="J300" i="3" s="1"/>
  <c r="O300" i="3"/>
  <c r="N300" i="3"/>
  <c r="I300" i="3"/>
  <c r="CQ299" i="3"/>
  <c r="J299" i="3" s="1"/>
  <c r="AZ299" i="3"/>
  <c r="AI299" i="3"/>
  <c r="N299" i="3"/>
  <c r="O299" i="3" s="1"/>
  <c r="I299" i="3"/>
  <c r="AZ298" i="3"/>
  <c r="CQ298" i="3" s="1"/>
  <c r="AI298" i="3"/>
  <c r="O298" i="3"/>
  <c r="N298" i="3"/>
  <c r="J298" i="3"/>
  <c r="I298" i="3"/>
  <c r="AZ297" i="3"/>
  <c r="CQ297" i="3" s="1"/>
  <c r="AI297" i="3"/>
  <c r="O297" i="3"/>
  <c r="N297" i="3"/>
  <c r="J297" i="3"/>
  <c r="I297" i="3"/>
  <c r="AZ296" i="3"/>
  <c r="CQ296" i="3" s="1"/>
  <c r="AI296" i="3"/>
  <c r="O296" i="3"/>
  <c r="N296" i="3"/>
  <c r="J296" i="3"/>
  <c r="I296" i="3"/>
  <c r="AZ295" i="3"/>
  <c r="CQ295" i="3" s="1"/>
  <c r="AI295" i="3"/>
  <c r="O295" i="3"/>
  <c r="N295" i="3"/>
  <c r="J295" i="3"/>
  <c r="I295" i="3"/>
  <c r="AZ294" i="3"/>
  <c r="CQ294" i="3" s="1"/>
  <c r="AI294" i="3"/>
  <c r="O294" i="3"/>
  <c r="N294" i="3"/>
  <c r="J294" i="3"/>
  <c r="I294" i="3"/>
  <c r="AZ293" i="3"/>
  <c r="CQ293" i="3" s="1"/>
  <c r="AI293" i="3"/>
  <c r="O293" i="3"/>
  <c r="N293" i="3"/>
  <c r="J293" i="3"/>
  <c r="I293" i="3"/>
  <c r="AZ292" i="3"/>
  <c r="CQ292" i="3" s="1"/>
  <c r="AI292" i="3"/>
  <c r="O292" i="3"/>
  <c r="N292" i="3"/>
  <c r="J292" i="3"/>
  <c r="I292" i="3"/>
  <c r="AZ291" i="3"/>
  <c r="CQ291" i="3" s="1"/>
  <c r="AI291" i="3"/>
  <c r="O291" i="3"/>
  <c r="N291" i="3"/>
  <c r="J291" i="3"/>
  <c r="I291" i="3"/>
  <c r="AZ290" i="3"/>
  <c r="CQ290" i="3" s="1"/>
  <c r="AI290" i="3"/>
  <c r="O290" i="3"/>
  <c r="N290" i="3"/>
  <c r="J290" i="3"/>
  <c r="I290" i="3"/>
  <c r="AZ289" i="3"/>
  <c r="CQ289" i="3" s="1"/>
  <c r="AI289" i="3"/>
  <c r="O289" i="3"/>
  <c r="N289" i="3"/>
  <c r="J289" i="3"/>
  <c r="I289" i="3"/>
  <c r="AZ288" i="3"/>
  <c r="CQ288" i="3" s="1"/>
  <c r="AI288" i="3"/>
  <c r="O288" i="3"/>
  <c r="N288" i="3"/>
  <c r="J288" i="3"/>
  <c r="I288" i="3"/>
  <c r="AZ287" i="3"/>
  <c r="CQ287" i="3" s="1"/>
  <c r="AI287" i="3"/>
  <c r="O287" i="3"/>
  <c r="N287" i="3"/>
  <c r="J287" i="3"/>
  <c r="I287" i="3"/>
  <c r="AZ286" i="3"/>
  <c r="CQ286" i="3" s="1"/>
  <c r="AI286" i="3"/>
  <c r="O286" i="3"/>
  <c r="N286" i="3"/>
  <c r="J286" i="3"/>
  <c r="I286" i="3"/>
  <c r="AZ285" i="3"/>
  <c r="CQ285" i="3" s="1"/>
  <c r="AI285" i="3"/>
  <c r="O285" i="3"/>
  <c r="N285" i="3"/>
  <c r="J285" i="3"/>
  <c r="I285" i="3"/>
  <c r="AZ284" i="3"/>
  <c r="CQ284" i="3" s="1"/>
  <c r="AI284" i="3"/>
  <c r="O284" i="3"/>
  <c r="N284" i="3"/>
  <c r="J284" i="3"/>
  <c r="I284" i="3"/>
  <c r="AZ283" i="3"/>
  <c r="CQ283" i="3" s="1"/>
  <c r="AI283" i="3"/>
  <c r="O283" i="3"/>
  <c r="N283" i="3"/>
  <c r="J283" i="3"/>
  <c r="I283" i="3"/>
  <c r="AZ282" i="3"/>
  <c r="CQ282" i="3" s="1"/>
  <c r="AI282" i="3"/>
  <c r="O282" i="3"/>
  <c r="N282" i="3"/>
  <c r="J282" i="3"/>
  <c r="I282" i="3"/>
  <c r="AZ281" i="3"/>
  <c r="CQ281" i="3" s="1"/>
  <c r="AI281" i="3"/>
  <c r="O281" i="3"/>
  <c r="N281" i="3"/>
  <c r="J281" i="3"/>
  <c r="I281" i="3"/>
  <c r="AZ280" i="3"/>
  <c r="CQ280" i="3" s="1"/>
  <c r="AI280" i="3"/>
  <c r="O280" i="3"/>
  <c r="N280" i="3"/>
  <c r="J280" i="3"/>
  <c r="I280" i="3"/>
  <c r="AZ279" i="3"/>
  <c r="CQ279" i="3" s="1"/>
  <c r="AI279" i="3"/>
  <c r="O279" i="3"/>
  <c r="N279" i="3"/>
  <c r="J279" i="3"/>
  <c r="I279" i="3"/>
  <c r="AZ278" i="3"/>
  <c r="CQ278" i="3" s="1"/>
  <c r="AI278" i="3"/>
  <c r="O278" i="3"/>
  <c r="N278" i="3"/>
  <c r="J278" i="3"/>
  <c r="I278" i="3"/>
  <c r="AZ277" i="3"/>
  <c r="CQ277" i="3" s="1"/>
  <c r="AI277" i="3"/>
  <c r="O277" i="3"/>
  <c r="N277" i="3"/>
  <c r="J277" i="3"/>
  <c r="I277" i="3"/>
  <c r="AZ276" i="3"/>
  <c r="CQ276" i="3" s="1"/>
  <c r="AI276" i="3"/>
  <c r="O276" i="3"/>
  <c r="N276" i="3"/>
  <c r="J276" i="3"/>
  <c r="I276" i="3"/>
  <c r="AZ275" i="3"/>
  <c r="CQ275" i="3" s="1"/>
  <c r="AI275" i="3"/>
  <c r="O275" i="3"/>
  <c r="N275" i="3"/>
  <c r="J275" i="3"/>
  <c r="I275" i="3"/>
  <c r="AZ274" i="3"/>
  <c r="CQ274" i="3" s="1"/>
  <c r="AI274" i="3"/>
  <c r="O274" i="3"/>
  <c r="N274" i="3"/>
  <c r="J274" i="3"/>
  <c r="I274" i="3"/>
  <c r="AZ273" i="3"/>
  <c r="CQ273" i="3" s="1"/>
  <c r="AI273" i="3"/>
  <c r="O273" i="3"/>
  <c r="N273" i="3"/>
  <c r="J273" i="3"/>
  <c r="I273" i="3"/>
  <c r="AZ272" i="3"/>
  <c r="CQ272" i="3" s="1"/>
  <c r="AI272" i="3"/>
  <c r="O272" i="3"/>
  <c r="N272" i="3"/>
  <c r="J272" i="3"/>
  <c r="I272" i="3"/>
  <c r="AZ271" i="3"/>
  <c r="CQ271" i="3" s="1"/>
  <c r="AI271" i="3"/>
  <c r="O271" i="3"/>
  <c r="N271" i="3"/>
  <c r="J271" i="3"/>
  <c r="I271" i="3"/>
  <c r="AZ270" i="3"/>
  <c r="CQ270" i="3" s="1"/>
  <c r="AI270" i="3"/>
  <c r="O270" i="3"/>
  <c r="N270" i="3"/>
  <c r="J270" i="3"/>
  <c r="I270" i="3"/>
  <c r="AZ269" i="3"/>
  <c r="CQ269" i="3" s="1"/>
  <c r="AI269" i="3"/>
  <c r="O269" i="3"/>
  <c r="N269" i="3"/>
  <c r="J269" i="3"/>
  <c r="I269" i="3"/>
  <c r="AZ268" i="3"/>
  <c r="CQ268" i="3" s="1"/>
  <c r="AI268" i="3"/>
  <c r="O268" i="3"/>
  <c r="N268" i="3"/>
  <c r="J268" i="3"/>
  <c r="I268" i="3"/>
  <c r="AZ267" i="3"/>
  <c r="CQ267" i="3" s="1"/>
  <c r="AI267" i="3"/>
  <c r="O267" i="3"/>
  <c r="N267" i="3"/>
  <c r="J267" i="3"/>
  <c r="I267" i="3"/>
  <c r="AZ266" i="3"/>
  <c r="CQ266" i="3" s="1"/>
  <c r="AI266" i="3"/>
  <c r="O266" i="3"/>
  <c r="N266" i="3"/>
  <c r="J266" i="3"/>
  <c r="I266" i="3"/>
  <c r="AZ265" i="3"/>
  <c r="CQ265" i="3" s="1"/>
  <c r="AI265" i="3"/>
  <c r="O265" i="3"/>
  <c r="N265" i="3"/>
  <c r="J265" i="3"/>
  <c r="I265" i="3"/>
  <c r="AZ264" i="3"/>
  <c r="CQ264" i="3" s="1"/>
  <c r="AI264" i="3"/>
  <c r="O264" i="3"/>
  <c r="N264" i="3"/>
  <c r="J264" i="3"/>
  <c r="I264" i="3"/>
  <c r="AZ263" i="3"/>
  <c r="CQ263" i="3" s="1"/>
  <c r="AI263" i="3"/>
  <c r="O263" i="3"/>
  <c r="N263" i="3"/>
  <c r="J263" i="3"/>
  <c r="I263" i="3"/>
  <c r="AZ262" i="3"/>
  <c r="CQ262" i="3" s="1"/>
  <c r="AI262" i="3"/>
  <c r="O262" i="3"/>
  <c r="N262" i="3"/>
  <c r="J262" i="3"/>
  <c r="I262" i="3"/>
  <c r="AZ261" i="3"/>
  <c r="CQ261" i="3" s="1"/>
  <c r="AI261" i="3"/>
  <c r="O261" i="3"/>
  <c r="N261" i="3"/>
  <c r="J261" i="3"/>
  <c r="I261" i="3"/>
  <c r="AZ260" i="3"/>
  <c r="CQ260" i="3" s="1"/>
  <c r="AI260" i="3"/>
  <c r="O260" i="3"/>
  <c r="N260" i="3"/>
  <c r="J260" i="3"/>
  <c r="I260" i="3"/>
  <c r="AZ259" i="3"/>
  <c r="CQ259" i="3" s="1"/>
  <c r="AI259" i="3"/>
  <c r="O259" i="3"/>
  <c r="N259" i="3"/>
  <c r="J259" i="3"/>
  <c r="I259" i="3"/>
  <c r="AZ258" i="3"/>
  <c r="CQ258" i="3" s="1"/>
  <c r="AI258" i="3"/>
  <c r="O258" i="3"/>
  <c r="N258" i="3"/>
  <c r="J258" i="3"/>
  <c r="I258" i="3"/>
  <c r="AZ257" i="3"/>
  <c r="CQ257" i="3" s="1"/>
  <c r="AI257" i="3"/>
  <c r="O257" i="3"/>
  <c r="N257" i="3"/>
  <c r="J257" i="3"/>
  <c r="I257" i="3"/>
  <c r="AZ256" i="3"/>
  <c r="CQ256" i="3" s="1"/>
  <c r="AI256" i="3"/>
  <c r="O256" i="3"/>
  <c r="N256" i="3"/>
  <c r="J256" i="3"/>
  <c r="I256" i="3"/>
  <c r="AZ255" i="3"/>
  <c r="CQ255" i="3" s="1"/>
  <c r="AI255" i="3"/>
  <c r="O255" i="3"/>
  <c r="N255" i="3"/>
  <c r="J255" i="3"/>
  <c r="I255" i="3"/>
  <c r="AZ254" i="3"/>
  <c r="CQ254" i="3" s="1"/>
  <c r="AI254" i="3"/>
  <c r="O254" i="3"/>
  <c r="N254" i="3"/>
  <c r="J254" i="3"/>
  <c r="I254" i="3"/>
  <c r="AZ253" i="3"/>
  <c r="CQ253" i="3" s="1"/>
  <c r="AI253" i="3"/>
  <c r="O253" i="3"/>
  <c r="N253" i="3"/>
  <c r="J253" i="3"/>
  <c r="I253" i="3"/>
  <c r="AZ252" i="3"/>
  <c r="CQ252" i="3" s="1"/>
  <c r="AI252" i="3"/>
  <c r="O252" i="3"/>
  <c r="N252" i="3"/>
  <c r="J252" i="3"/>
  <c r="I252" i="3"/>
  <c r="AZ251" i="3"/>
  <c r="CQ251" i="3" s="1"/>
  <c r="AI251" i="3"/>
  <c r="O251" i="3"/>
  <c r="N251" i="3"/>
  <c r="J251" i="3"/>
  <c r="I251" i="3"/>
  <c r="AZ250" i="3"/>
  <c r="CQ250" i="3" s="1"/>
  <c r="AI250" i="3"/>
  <c r="O250" i="3"/>
  <c r="N250" i="3"/>
  <c r="J250" i="3"/>
  <c r="I250" i="3"/>
  <c r="AZ249" i="3"/>
  <c r="CQ249" i="3" s="1"/>
  <c r="AI249" i="3"/>
  <c r="O249" i="3"/>
  <c r="N249" i="3"/>
  <c r="J249" i="3"/>
  <c r="I249" i="3"/>
  <c r="AZ248" i="3"/>
  <c r="CQ248" i="3" s="1"/>
  <c r="AI248" i="3"/>
  <c r="O248" i="3"/>
  <c r="N248" i="3"/>
  <c r="J248" i="3"/>
  <c r="I248" i="3"/>
  <c r="AZ247" i="3"/>
  <c r="CQ247" i="3" s="1"/>
  <c r="AI247" i="3"/>
  <c r="O247" i="3"/>
  <c r="N247" i="3"/>
  <c r="J247" i="3"/>
  <c r="I247" i="3"/>
  <c r="AZ246" i="3"/>
  <c r="CQ246" i="3" s="1"/>
  <c r="AI246" i="3"/>
  <c r="O246" i="3"/>
  <c r="N246" i="3"/>
  <c r="J246" i="3"/>
  <c r="I246" i="3"/>
  <c r="AZ245" i="3"/>
  <c r="CQ245" i="3" s="1"/>
  <c r="AI245" i="3"/>
  <c r="O245" i="3"/>
  <c r="N245" i="3"/>
  <c r="J245" i="3"/>
  <c r="I245" i="3"/>
  <c r="AZ244" i="3"/>
  <c r="CQ244" i="3" s="1"/>
  <c r="AI244" i="3"/>
  <c r="O244" i="3"/>
  <c r="N244" i="3"/>
  <c r="J244" i="3"/>
  <c r="I244" i="3"/>
  <c r="AZ243" i="3"/>
  <c r="CQ243" i="3" s="1"/>
  <c r="AI243" i="3"/>
  <c r="O243" i="3"/>
  <c r="N243" i="3"/>
  <c r="J243" i="3"/>
  <c r="I243" i="3"/>
  <c r="AZ242" i="3"/>
  <c r="CQ242" i="3" s="1"/>
  <c r="AI242" i="3"/>
  <c r="O242" i="3"/>
  <c r="N242" i="3"/>
  <c r="J242" i="3"/>
  <c r="I242" i="3"/>
  <c r="AZ241" i="3"/>
  <c r="CQ241" i="3" s="1"/>
  <c r="AI241" i="3"/>
  <c r="O241" i="3"/>
  <c r="N241" i="3"/>
  <c r="J241" i="3"/>
  <c r="I241" i="3"/>
  <c r="AZ240" i="3"/>
  <c r="CQ240" i="3" s="1"/>
  <c r="AI240" i="3"/>
  <c r="O240" i="3"/>
  <c r="N240" i="3"/>
  <c r="J240" i="3"/>
  <c r="I240" i="3"/>
  <c r="AZ239" i="3"/>
  <c r="CQ239" i="3" s="1"/>
  <c r="AI239" i="3"/>
  <c r="O239" i="3"/>
  <c r="N239" i="3"/>
  <c r="J239" i="3"/>
  <c r="I239" i="3"/>
  <c r="AZ238" i="3"/>
  <c r="CQ238" i="3" s="1"/>
  <c r="AI238" i="3"/>
  <c r="O238" i="3"/>
  <c r="N238" i="3"/>
  <c r="J238" i="3"/>
  <c r="I238" i="3"/>
  <c r="AZ237" i="3"/>
  <c r="CQ237" i="3" s="1"/>
  <c r="AI237" i="3"/>
  <c r="O237" i="3"/>
  <c r="N237" i="3"/>
  <c r="J237" i="3"/>
  <c r="I237" i="3"/>
  <c r="AZ236" i="3"/>
  <c r="CQ236" i="3" s="1"/>
  <c r="AI236" i="3"/>
  <c r="O236" i="3"/>
  <c r="N236" i="3"/>
  <c r="J236" i="3"/>
  <c r="I236" i="3"/>
  <c r="AZ235" i="3"/>
  <c r="CQ235" i="3" s="1"/>
  <c r="AI235" i="3"/>
  <c r="O235" i="3"/>
  <c r="N235" i="3"/>
  <c r="J235" i="3"/>
  <c r="I235" i="3"/>
  <c r="AZ234" i="3"/>
  <c r="CQ234" i="3" s="1"/>
  <c r="AI234" i="3"/>
  <c r="O234" i="3"/>
  <c r="N234" i="3"/>
  <c r="J234" i="3"/>
  <c r="I234" i="3"/>
  <c r="AZ233" i="3"/>
  <c r="CQ233" i="3" s="1"/>
  <c r="AI233" i="3"/>
  <c r="O233" i="3"/>
  <c r="N233" i="3"/>
  <c r="J233" i="3"/>
  <c r="I233" i="3"/>
  <c r="AZ232" i="3"/>
  <c r="CQ232" i="3" s="1"/>
  <c r="AI232" i="3"/>
  <c r="O232" i="3"/>
  <c r="N232" i="3"/>
  <c r="J232" i="3"/>
  <c r="I232" i="3"/>
  <c r="AZ231" i="3"/>
  <c r="CQ231" i="3" s="1"/>
  <c r="AI231" i="3"/>
  <c r="O231" i="3"/>
  <c r="N231" i="3"/>
  <c r="J231" i="3"/>
  <c r="I231" i="3"/>
  <c r="AZ230" i="3"/>
  <c r="CQ230" i="3" s="1"/>
  <c r="AI230" i="3"/>
  <c r="O230" i="3"/>
  <c r="N230" i="3"/>
  <c r="J230" i="3"/>
  <c r="I230" i="3"/>
  <c r="AZ229" i="3"/>
  <c r="CQ229" i="3" s="1"/>
  <c r="AI229" i="3"/>
  <c r="O229" i="3"/>
  <c r="N229" i="3"/>
  <c r="J229" i="3"/>
  <c r="I229" i="3"/>
  <c r="AZ228" i="3"/>
  <c r="CQ228" i="3" s="1"/>
  <c r="AI228" i="3"/>
  <c r="O228" i="3"/>
  <c r="N228" i="3"/>
  <c r="J228" i="3"/>
  <c r="I228" i="3"/>
  <c r="AZ227" i="3"/>
  <c r="CQ227" i="3" s="1"/>
  <c r="AI227" i="3"/>
  <c r="O227" i="3"/>
  <c r="N227" i="3"/>
  <c r="J227" i="3"/>
  <c r="I227" i="3"/>
  <c r="AZ226" i="3"/>
  <c r="CQ226" i="3" s="1"/>
  <c r="AI226" i="3"/>
  <c r="O226" i="3"/>
  <c r="N226" i="3"/>
  <c r="J226" i="3"/>
  <c r="I226" i="3"/>
  <c r="AZ225" i="3"/>
  <c r="CQ225" i="3" s="1"/>
  <c r="AI225" i="3"/>
  <c r="O225" i="3"/>
  <c r="N225" i="3"/>
  <c r="J225" i="3"/>
  <c r="I225" i="3"/>
  <c r="AZ224" i="3"/>
  <c r="CQ224" i="3" s="1"/>
  <c r="AI224" i="3"/>
  <c r="O224" i="3"/>
  <c r="N224" i="3"/>
  <c r="J224" i="3"/>
  <c r="I224" i="3"/>
  <c r="AZ223" i="3"/>
  <c r="CQ223" i="3" s="1"/>
  <c r="AI223" i="3"/>
  <c r="O223" i="3"/>
  <c r="N223" i="3"/>
  <c r="J223" i="3"/>
  <c r="I223" i="3"/>
  <c r="AZ222" i="3"/>
  <c r="CQ222" i="3" s="1"/>
  <c r="AI222" i="3"/>
  <c r="O222" i="3"/>
  <c r="N222" i="3"/>
  <c r="J222" i="3"/>
  <c r="I222" i="3"/>
  <c r="AZ221" i="3"/>
  <c r="CQ221" i="3" s="1"/>
  <c r="AI221" i="3"/>
  <c r="O221" i="3"/>
  <c r="N221" i="3"/>
  <c r="J221" i="3"/>
  <c r="I221" i="3"/>
  <c r="AZ220" i="3"/>
  <c r="CQ220" i="3" s="1"/>
  <c r="AI220" i="3"/>
  <c r="O220" i="3"/>
  <c r="N220" i="3"/>
  <c r="J220" i="3"/>
  <c r="I220" i="3"/>
  <c r="AZ219" i="3"/>
  <c r="CQ219" i="3" s="1"/>
  <c r="AI219" i="3"/>
  <c r="O219" i="3"/>
  <c r="N219" i="3"/>
  <c r="J219" i="3"/>
  <c r="I219" i="3"/>
  <c r="AZ218" i="3"/>
  <c r="CQ218" i="3" s="1"/>
  <c r="AI218" i="3"/>
  <c r="O218" i="3"/>
  <c r="N218" i="3"/>
  <c r="J218" i="3"/>
  <c r="I218" i="3"/>
  <c r="AZ217" i="3"/>
  <c r="CQ217" i="3" s="1"/>
  <c r="AI217" i="3"/>
  <c r="O217" i="3"/>
  <c r="N217" i="3"/>
  <c r="J217" i="3"/>
  <c r="I217" i="3"/>
  <c r="AZ216" i="3"/>
  <c r="CQ216" i="3" s="1"/>
  <c r="AI216" i="3"/>
  <c r="O216" i="3"/>
  <c r="N216" i="3"/>
  <c r="J216" i="3"/>
  <c r="I216" i="3"/>
  <c r="AZ215" i="3"/>
  <c r="CQ215" i="3" s="1"/>
  <c r="AI215" i="3"/>
  <c r="O215" i="3"/>
  <c r="N215" i="3"/>
  <c r="J215" i="3"/>
  <c r="I215" i="3"/>
  <c r="AZ214" i="3"/>
  <c r="CQ214" i="3" s="1"/>
  <c r="AI214" i="3"/>
  <c r="O214" i="3"/>
  <c r="N214" i="3"/>
  <c r="J214" i="3"/>
  <c r="I214" i="3"/>
  <c r="AZ213" i="3"/>
  <c r="CQ213" i="3" s="1"/>
  <c r="AI213" i="3"/>
  <c r="O213" i="3"/>
  <c r="N213" i="3"/>
  <c r="J213" i="3"/>
  <c r="I213" i="3"/>
  <c r="AZ212" i="3"/>
  <c r="CQ212" i="3" s="1"/>
  <c r="AI212" i="3"/>
  <c r="O212" i="3"/>
  <c r="N212" i="3"/>
  <c r="J212" i="3"/>
  <c r="I212" i="3"/>
  <c r="AZ211" i="3"/>
  <c r="CQ211" i="3" s="1"/>
  <c r="AI211" i="3"/>
  <c r="O211" i="3"/>
  <c r="N211" i="3"/>
  <c r="J211" i="3"/>
  <c r="I211" i="3"/>
  <c r="AZ210" i="3"/>
  <c r="CQ210" i="3" s="1"/>
  <c r="AI210" i="3"/>
  <c r="O210" i="3"/>
  <c r="N210" i="3"/>
  <c r="J210" i="3"/>
  <c r="I210" i="3"/>
  <c r="AZ209" i="3"/>
  <c r="CQ209" i="3" s="1"/>
  <c r="AI209" i="3"/>
  <c r="O209" i="3"/>
  <c r="N209" i="3"/>
  <c r="J209" i="3"/>
  <c r="I209" i="3"/>
  <c r="AZ208" i="3"/>
  <c r="CQ208" i="3" s="1"/>
  <c r="AI208" i="3"/>
  <c r="O208" i="3"/>
  <c r="N208" i="3"/>
  <c r="J208" i="3"/>
  <c r="I208" i="3"/>
  <c r="AZ207" i="3"/>
  <c r="CQ207" i="3" s="1"/>
  <c r="AI207" i="3"/>
  <c r="O207" i="3"/>
  <c r="N207" i="3"/>
  <c r="J207" i="3"/>
  <c r="I207" i="3"/>
  <c r="AZ206" i="3"/>
  <c r="CQ206" i="3" s="1"/>
  <c r="AI206" i="3"/>
  <c r="O206" i="3"/>
  <c r="N206" i="3"/>
  <c r="J206" i="3"/>
  <c r="I206" i="3"/>
  <c r="AZ205" i="3"/>
  <c r="CQ205" i="3" s="1"/>
  <c r="AI205" i="3"/>
  <c r="O205" i="3"/>
  <c r="N205" i="3"/>
  <c r="J205" i="3"/>
  <c r="I205" i="3"/>
  <c r="AZ204" i="3"/>
  <c r="CQ204" i="3" s="1"/>
  <c r="AI204" i="3"/>
  <c r="O204" i="3"/>
  <c r="N204" i="3"/>
  <c r="J204" i="3"/>
  <c r="I204" i="3"/>
  <c r="AZ203" i="3"/>
  <c r="CQ203" i="3" s="1"/>
  <c r="AI203" i="3"/>
  <c r="O203" i="3"/>
  <c r="N203" i="3"/>
  <c r="J203" i="3"/>
  <c r="I203" i="3"/>
  <c r="AZ202" i="3"/>
  <c r="CQ202" i="3" s="1"/>
  <c r="AI202" i="3"/>
  <c r="O202" i="3"/>
  <c r="N202" i="3"/>
  <c r="J202" i="3"/>
  <c r="I202" i="3"/>
  <c r="AZ201" i="3"/>
  <c r="CQ201" i="3" s="1"/>
  <c r="AI201" i="3"/>
  <c r="O201" i="3"/>
  <c r="N201" i="3"/>
  <c r="J201" i="3"/>
  <c r="I201" i="3"/>
  <c r="AZ200" i="3"/>
  <c r="CQ200" i="3" s="1"/>
  <c r="AI200" i="3"/>
  <c r="O200" i="3"/>
  <c r="N200" i="3"/>
  <c r="J200" i="3"/>
  <c r="I200" i="3"/>
  <c r="AZ199" i="3"/>
  <c r="CQ199" i="3" s="1"/>
  <c r="AI199" i="3"/>
  <c r="O199" i="3"/>
  <c r="N199" i="3"/>
  <c r="J199" i="3"/>
  <c r="I199" i="3"/>
  <c r="AZ198" i="3"/>
  <c r="CQ198" i="3" s="1"/>
  <c r="AI198" i="3"/>
  <c r="O198" i="3"/>
  <c r="N198" i="3"/>
  <c r="J198" i="3"/>
  <c r="I198" i="3"/>
  <c r="AZ197" i="3"/>
  <c r="CQ197" i="3" s="1"/>
  <c r="AI197" i="3"/>
  <c r="O197" i="3"/>
  <c r="N197" i="3"/>
  <c r="J197" i="3"/>
  <c r="I197" i="3"/>
  <c r="AZ196" i="3"/>
  <c r="CQ196" i="3" s="1"/>
  <c r="AI196" i="3"/>
  <c r="O196" i="3"/>
  <c r="N196" i="3"/>
  <c r="J196" i="3"/>
  <c r="I196" i="3"/>
  <c r="AZ195" i="3"/>
  <c r="CQ195" i="3" s="1"/>
  <c r="AI195" i="3"/>
  <c r="O195" i="3"/>
  <c r="N195" i="3"/>
  <c r="J195" i="3"/>
  <c r="I195" i="3"/>
  <c r="AZ194" i="3"/>
  <c r="CQ194" i="3" s="1"/>
  <c r="AI194" i="3"/>
  <c r="O194" i="3"/>
  <c r="N194" i="3"/>
  <c r="J194" i="3"/>
  <c r="I194" i="3"/>
  <c r="AZ193" i="3"/>
  <c r="CQ193" i="3" s="1"/>
  <c r="AI193" i="3"/>
  <c r="O193" i="3"/>
  <c r="N193" i="3"/>
  <c r="J193" i="3"/>
  <c r="I193" i="3"/>
  <c r="AZ192" i="3"/>
  <c r="CQ192" i="3" s="1"/>
  <c r="AI192" i="3"/>
  <c r="O192" i="3"/>
  <c r="N192" i="3"/>
  <c r="J192" i="3"/>
  <c r="I192" i="3"/>
  <c r="AZ191" i="3"/>
  <c r="CQ191" i="3" s="1"/>
  <c r="AI191" i="3"/>
  <c r="O191" i="3"/>
  <c r="N191" i="3"/>
  <c r="J191" i="3"/>
  <c r="I191" i="3"/>
  <c r="AZ190" i="3"/>
  <c r="CQ190" i="3" s="1"/>
  <c r="AI190" i="3"/>
  <c r="O190" i="3"/>
  <c r="N190" i="3"/>
  <c r="J190" i="3"/>
  <c r="I190" i="3"/>
  <c r="AZ189" i="3"/>
  <c r="CQ189" i="3" s="1"/>
  <c r="AI189" i="3"/>
  <c r="O189" i="3"/>
  <c r="N189" i="3"/>
  <c r="J189" i="3"/>
  <c r="I189" i="3"/>
  <c r="AZ188" i="3"/>
  <c r="CQ188" i="3" s="1"/>
  <c r="AI188" i="3"/>
  <c r="O188" i="3"/>
  <c r="N188" i="3"/>
  <c r="J188" i="3"/>
  <c r="I188" i="3"/>
  <c r="AZ187" i="3"/>
  <c r="CQ187" i="3" s="1"/>
  <c r="AI187" i="3"/>
  <c r="O187" i="3"/>
  <c r="N187" i="3"/>
  <c r="J187" i="3"/>
  <c r="I187" i="3"/>
  <c r="AZ186" i="3"/>
  <c r="CQ186" i="3" s="1"/>
  <c r="AI186" i="3"/>
  <c r="O186" i="3"/>
  <c r="N186" i="3"/>
  <c r="J186" i="3"/>
  <c r="I186" i="3"/>
  <c r="AZ185" i="3"/>
  <c r="CQ185" i="3" s="1"/>
  <c r="AI185" i="3"/>
  <c r="O185" i="3"/>
  <c r="N185" i="3"/>
  <c r="J185" i="3"/>
  <c r="I185" i="3"/>
  <c r="AZ184" i="3"/>
  <c r="CQ184" i="3" s="1"/>
  <c r="AI184" i="3"/>
  <c r="O184" i="3"/>
  <c r="N184" i="3"/>
  <c r="J184" i="3"/>
  <c r="I184" i="3"/>
  <c r="AZ183" i="3"/>
  <c r="CQ183" i="3" s="1"/>
  <c r="AI183" i="3"/>
  <c r="O183" i="3"/>
  <c r="N183" i="3"/>
  <c r="J183" i="3"/>
  <c r="I183" i="3"/>
  <c r="AZ182" i="3"/>
  <c r="CQ182" i="3" s="1"/>
  <c r="AI182" i="3"/>
  <c r="O182" i="3"/>
  <c r="N182" i="3"/>
  <c r="J182" i="3"/>
  <c r="I182" i="3"/>
  <c r="AZ181" i="3"/>
  <c r="CQ181" i="3" s="1"/>
  <c r="AI181" i="3"/>
  <c r="O181" i="3"/>
  <c r="N181" i="3"/>
  <c r="J181" i="3"/>
  <c r="I181" i="3"/>
  <c r="AZ180" i="3"/>
  <c r="CQ180" i="3" s="1"/>
  <c r="AI180" i="3"/>
  <c r="O180" i="3"/>
  <c r="N180" i="3"/>
  <c r="J180" i="3"/>
  <c r="I180" i="3"/>
  <c r="AZ179" i="3"/>
  <c r="CQ179" i="3" s="1"/>
  <c r="AI179" i="3"/>
  <c r="O179" i="3"/>
  <c r="N179" i="3"/>
  <c r="J179" i="3"/>
  <c r="I179" i="3"/>
  <c r="AZ178" i="3"/>
  <c r="CQ178" i="3" s="1"/>
  <c r="AI178" i="3"/>
  <c r="O178" i="3"/>
  <c r="N178" i="3"/>
  <c r="J178" i="3"/>
  <c r="I178" i="3"/>
  <c r="AZ177" i="3"/>
  <c r="CQ177" i="3" s="1"/>
  <c r="AI177" i="3"/>
  <c r="O177" i="3"/>
  <c r="N177" i="3"/>
  <c r="J177" i="3"/>
  <c r="I177" i="3"/>
  <c r="AZ176" i="3"/>
  <c r="CQ176" i="3" s="1"/>
  <c r="AI176" i="3"/>
  <c r="O176" i="3"/>
  <c r="N176" i="3"/>
  <c r="J176" i="3"/>
  <c r="I176" i="3"/>
  <c r="AZ175" i="3"/>
  <c r="CQ175" i="3" s="1"/>
  <c r="AI175" i="3"/>
  <c r="O175" i="3"/>
  <c r="N175" i="3"/>
  <c r="J175" i="3"/>
  <c r="I175" i="3"/>
  <c r="AZ174" i="3"/>
  <c r="CQ174" i="3" s="1"/>
  <c r="AI174" i="3"/>
  <c r="O174" i="3"/>
  <c r="N174" i="3"/>
  <c r="J174" i="3"/>
  <c r="I174" i="3"/>
  <c r="AZ173" i="3"/>
  <c r="CQ173" i="3" s="1"/>
  <c r="AI173" i="3"/>
  <c r="O173" i="3"/>
  <c r="N173" i="3"/>
  <c r="J173" i="3"/>
  <c r="I173" i="3"/>
  <c r="AZ172" i="3"/>
  <c r="CQ172" i="3" s="1"/>
  <c r="AI172" i="3"/>
  <c r="O172" i="3"/>
  <c r="N172" i="3"/>
  <c r="J172" i="3"/>
  <c r="I172" i="3"/>
  <c r="AZ171" i="3"/>
  <c r="CQ171" i="3" s="1"/>
  <c r="AI171" i="3"/>
  <c r="O171" i="3"/>
  <c r="N171" i="3"/>
  <c r="J171" i="3"/>
  <c r="I171" i="3"/>
  <c r="AZ170" i="3"/>
  <c r="CQ170" i="3" s="1"/>
  <c r="AI170" i="3"/>
  <c r="O170" i="3"/>
  <c r="N170" i="3"/>
  <c r="J170" i="3"/>
  <c r="I170" i="3"/>
  <c r="AZ169" i="3"/>
  <c r="CQ169" i="3" s="1"/>
  <c r="AI169" i="3"/>
  <c r="O169" i="3"/>
  <c r="N169" i="3"/>
  <c r="J169" i="3"/>
  <c r="I169" i="3"/>
  <c r="AZ168" i="3"/>
  <c r="CQ168" i="3" s="1"/>
  <c r="AI168" i="3"/>
  <c r="O168" i="3"/>
  <c r="N168" i="3"/>
  <c r="J168" i="3"/>
  <c r="I168" i="3"/>
  <c r="AZ167" i="3"/>
  <c r="CQ167" i="3" s="1"/>
  <c r="AI167" i="3"/>
  <c r="O167" i="3"/>
  <c r="N167" i="3"/>
  <c r="J167" i="3"/>
  <c r="I167" i="3"/>
  <c r="AZ166" i="3"/>
  <c r="CQ166" i="3" s="1"/>
  <c r="AI166" i="3"/>
  <c r="O166" i="3"/>
  <c r="N166" i="3"/>
  <c r="J166" i="3"/>
  <c r="I166" i="3"/>
  <c r="AZ165" i="3"/>
  <c r="CQ165" i="3" s="1"/>
  <c r="AI165" i="3"/>
  <c r="O165" i="3"/>
  <c r="N165" i="3"/>
  <c r="J165" i="3"/>
  <c r="I165" i="3"/>
  <c r="AZ164" i="3"/>
  <c r="CQ164" i="3" s="1"/>
  <c r="AI164" i="3"/>
  <c r="O164" i="3"/>
  <c r="N164" i="3"/>
  <c r="J164" i="3"/>
  <c r="I164" i="3"/>
  <c r="AZ163" i="3"/>
  <c r="CQ163" i="3" s="1"/>
  <c r="AI163" i="3"/>
  <c r="O163" i="3"/>
  <c r="N163" i="3"/>
  <c r="J163" i="3"/>
  <c r="I163" i="3"/>
  <c r="AZ162" i="3"/>
  <c r="CQ162" i="3" s="1"/>
  <c r="AI162" i="3"/>
  <c r="O162" i="3"/>
  <c r="N162" i="3"/>
  <c r="J162" i="3"/>
  <c r="I162" i="3"/>
  <c r="AZ161" i="3"/>
  <c r="CQ161" i="3" s="1"/>
  <c r="AI161" i="3"/>
  <c r="O161" i="3"/>
  <c r="N161" i="3"/>
  <c r="J161" i="3"/>
  <c r="I161" i="3"/>
  <c r="AZ160" i="3"/>
  <c r="CQ160" i="3" s="1"/>
  <c r="AI160" i="3"/>
  <c r="O160" i="3"/>
  <c r="N160" i="3"/>
  <c r="J160" i="3"/>
  <c r="I160" i="3"/>
  <c r="AZ159" i="3"/>
  <c r="CQ159" i="3" s="1"/>
  <c r="AI159" i="3"/>
  <c r="O159" i="3"/>
  <c r="N159" i="3"/>
  <c r="J159" i="3"/>
  <c r="I159" i="3"/>
  <c r="AZ158" i="3"/>
  <c r="CQ158" i="3" s="1"/>
  <c r="AI158" i="3"/>
  <c r="O158" i="3"/>
  <c r="N158" i="3"/>
  <c r="J158" i="3"/>
  <c r="I158" i="3"/>
  <c r="AZ157" i="3"/>
  <c r="CQ157" i="3" s="1"/>
  <c r="AI157" i="3"/>
  <c r="O157" i="3"/>
  <c r="N157" i="3"/>
  <c r="J157" i="3"/>
  <c r="I157" i="3"/>
  <c r="AZ156" i="3"/>
  <c r="CQ156" i="3" s="1"/>
  <c r="AI156" i="3"/>
  <c r="O156" i="3"/>
  <c r="N156" i="3"/>
  <c r="J156" i="3"/>
  <c r="I156" i="3"/>
  <c r="AZ155" i="3"/>
  <c r="CQ155" i="3" s="1"/>
  <c r="AI155" i="3"/>
  <c r="O155" i="3"/>
  <c r="N155" i="3"/>
  <c r="J155" i="3"/>
  <c r="I155" i="3"/>
  <c r="AZ154" i="3"/>
  <c r="CQ154" i="3" s="1"/>
  <c r="AI154" i="3"/>
  <c r="O154" i="3"/>
  <c r="N154" i="3"/>
  <c r="J154" i="3"/>
  <c r="I154" i="3"/>
  <c r="AZ153" i="3"/>
  <c r="CQ153" i="3" s="1"/>
  <c r="AI153" i="3"/>
  <c r="O153" i="3"/>
  <c r="N153" i="3"/>
  <c r="J153" i="3"/>
  <c r="I153" i="3"/>
  <c r="AZ152" i="3"/>
  <c r="CQ152" i="3" s="1"/>
  <c r="AI152" i="3"/>
  <c r="O152" i="3"/>
  <c r="N152" i="3"/>
  <c r="J152" i="3"/>
  <c r="I152" i="3"/>
  <c r="AZ151" i="3"/>
  <c r="CQ151" i="3" s="1"/>
  <c r="AI151" i="3"/>
  <c r="O151" i="3"/>
  <c r="N151" i="3"/>
  <c r="J151" i="3"/>
  <c r="I151" i="3"/>
  <c r="AZ150" i="3"/>
  <c r="CQ150" i="3" s="1"/>
  <c r="AI150" i="3"/>
  <c r="O150" i="3"/>
  <c r="N150" i="3"/>
  <c r="J150" i="3"/>
  <c r="I150" i="3"/>
  <c r="AZ149" i="3"/>
  <c r="CQ149" i="3" s="1"/>
  <c r="AI149" i="3"/>
  <c r="O149" i="3"/>
  <c r="N149" i="3"/>
  <c r="J149" i="3"/>
  <c r="I149" i="3"/>
  <c r="AZ148" i="3"/>
  <c r="CQ148" i="3" s="1"/>
  <c r="AI148" i="3"/>
  <c r="O148" i="3"/>
  <c r="N148" i="3"/>
  <c r="J148" i="3"/>
  <c r="I148" i="3"/>
  <c r="AZ147" i="3"/>
  <c r="CQ147" i="3" s="1"/>
  <c r="AI147" i="3"/>
  <c r="O147" i="3"/>
  <c r="N147" i="3"/>
  <c r="J147" i="3"/>
  <c r="I147" i="3"/>
  <c r="AZ146" i="3"/>
  <c r="CQ146" i="3" s="1"/>
  <c r="AI146" i="3"/>
  <c r="O146" i="3"/>
  <c r="N146" i="3"/>
  <c r="J146" i="3"/>
  <c r="I146" i="3"/>
  <c r="AZ145" i="3"/>
  <c r="CQ145" i="3" s="1"/>
  <c r="AI145" i="3"/>
  <c r="O145" i="3"/>
  <c r="N145" i="3"/>
  <c r="J145" i="3"/>
  <c r="I145" i="3"/>
  <c r="AZ144" i="3"/>
  <c r="CQ144" i="3" s="1"/>
  <c r="AI144" i="3"/>
  <c r="O144" i="3"/>
  <c r="N144" i="3"/>
  <c r="J144" i="3"/>
  <c r="I144" i="3"/>
  <c r="AZ143" i="3"/>
  <c r="CQ143" i="3" s="1"/>
  <c r="AI143" i="3"/>
  <c r="O143" i="3"/>
  <c r="N143" i="3"/>
  <c r="J143" i="3"/>
  <c r="I143" i="3"/>
  <c r="AZ142" i="3"/>
  <c r="CQ142" i="3" s="1"/>
  <c r="AI142" i="3"/>
  <c r="O142" i="3"/>
  <c r="N142" i="3"/>
  <c r="J142" i="3"/>
  <c r="I142" i="3"/>
  <c r="AZ141" i="3"/>
  <c r="CQ141" i="3" s="1"/>
  <c r="AI141" i="3"/>
  <c r="O141" i="3"/>
  <c r="N141" i="3"/>
  <c r="J141" i="3"/>
  <c r="I141" i="3"/>
  <c r="AZ140" i="3"/>
  <c r="CQ140" i="3" s="1"/>
  <c r="AI140" i="3"/>
  <c r="O140" i="3"/>
  <c r="N140" i="3"/>
  <c r="J140" i="3"/>
  <c r="I140" i="3"/>
  <c r="AZ139" i="3"/>
  <c r="CQ139" i="3" s="1"/>
  <c r="AI139" i="3"/>
  <c r="O139" i="3"/>
  <c r="N139" i="3"/>
  <c r="J139" i="3"/>
  <c r="I139" i="3"/>
  <c r="AZ138" i="3"/>
  <c r="CQ138" i="3" s="1"/>
  <c r="AI138" i="3"/>
  <c r="O138" i="3"/>
  <c r="N138" i="3"/>
  <c r="J138" i="3"/>
  <c r="I138" i="3"/>
  <c r="AZ137" i="3"/>
  <c r="CQ137" i="3" s="1"/>
  <c r="AI137" i="3"/>
  <c r="O137" i="3"/>
  <c r="N137" i="3"/>
  <c r="J137" i="3"/>
  <c r="I137" i="3"/>
  <c r="AZ136" i="3"/>
  <c r="CQ136" i="3" s="1"/>
  <c r="AI136" i="3"/>
  <c r="O136" i="3"/>
  <c r="N136" i="3"/>
  <c r="J136" i="3"/>
  <c r="I136" i="3"/>
  <c r="AZ135" i="3"/>
  <c r="CQ135" i="3" s="1"/>
  <c r="AI135" i="3"/>
  <c r="O135" i="3"/>
  <c r="N135" i="3"/>
  <c r="J135" i="3"/>
  <c r="I135" i="3"/>
  <c r="AZ134" i="3"/>
  <c r="CQ134" i="3" s="1"/>
  <c r="AI134" i="3"/>
  <c r="O134" i="3"/>
  <c r="N134" i="3"/>
  <c r="J134" i="3"/>
  <c r="I134" i="3"/>
  <c r="AZ133" i="3"/>
  <c r="CQ133" i="3" s="1"/>
  <c r="AI133" i="3"/>
  <c r="O133" i="3"/>
  <c r="N133" i="3"/>
  <c r="J133" i="3"/>
  <c r="I133" i="3"/>
  <c r="AZ132" i="3"/>
  <c r="CQ132" i="3" s="1"/>
  <c r="AI132" i="3"/>
  <c r="O132" i="3"/>
  <c r="N132" i="3"/>
  <c r="J132" i="3"/>
  <c r="I132" i="3"/>
  <c r="AZ131" i="3"/>
  <c r="CQ131" i="3" s="1"/>
  <c r="AI131" i="3"/>
  <c r="O131" i="3"/>
  <c r="N131" i="3"/>
  <c r="J131" i="3"/>
  <c r="I131" i="3"/>
  <c r="AZ130" i="3"/>
  <c r="CQ130" i="3" s="1"/>
  <c r="AI130" i="3"/>
  <c r="O130" i="3"/>
  <c r="N130" i="3"/>
  <c r="J130" i="3"/>
  <c r="I130" i="3"/>
  <c r="AZ129" i="3"/>
  <c r="CQ129" i="3" s="1"/>
  <c r="AI129" i="3"/>
  <c r="O129" i="3"/>
  <c r="N129" i="3"/>
  <c r="J129" i="3"/>
  <c r="I129" i="3"/>
  <c r="AZ128" i="3"/>
  <c r="CQ128" i="3" s="1"/>
  <c r="AI128" i="3"/>
  <c r="O128" i="3"/>
  <c r="N128" i="3"/>
  <c r="J128" i="3"/>
  <c r="I128" i="3"/>
  <c r="AZ127" i="3"/>
  <c r="CQ127" i="3" s="1"/>
  <c r="AI127" i="3"/>
  <c r="O127" i="3"/>
  <c r="N127" i="3"/>
  <c r="J127" i="3"/>
  <c r="I127" i="3"/>
  <c r="AZ126" i="3"/>
  <c r="CQ126" i="3" s="1"/>
  <c r="AI126" i="3"/>
  <c r="O126" i="3"/>
  <c r="N126" i="3"/>
  <c r="J126" i="3"/>
  <c r="I126" i="3"/>
  <c r="AZ125" i="3"/>
  <c r="CQ125" i="3" s="1"/>
  <c r="AI125" i="3"/>
  <c r="O125" i="3"/>
  <c r="N125" i="3"/>
  <c r="J125" i="3"/>
  <c r="I125" i="3"/>
  <c r="AZ124" i="3"/>
  <c r="CQ124" i="3" s="1"/>
  <c r="AI124" i="3"/>
  <c r="O124" i="3"/>
  <c r="N124" i="3"/>
  <c r="J124" i="3"/>
  <c r="I124" i="3"/>
  <c r="AZ123" i="3"/>
  <c r="CQ123" i="3" s="1"/>
  <c r="AI123" i="3"/>
  <c r="O123" i="3"/>
  <c r="N123" i="3"/>
  <c r="J123" i="3"/>
  <c r="I123" i="3"/>
  <c r="AZ122" i="3"/>
  <c r="CQ122" i="3" s="1"/>
  <c r="AI122" i="3"/>
  <c r="O122" i="3"/>
  <c r="N122" i="3"/>
  <c r="J122" i="3"/>
  <c r="I122" i="3"/>
  <c r="AZ121" i="3"/>
  <c r="CQ121" i="3" s="1"/>
  <c r="AI121" i="3"/>
  <c r="O121" i="3"/>
  <c r="N121" i="3"/>
  <c r="J121" i="3"/>
  <c r="I121" i="3"/>
  <c r="AZ120" i="3"/>
  <c r="CQ120" i="3" s="1"/>
  <c r="AI120" i="3"/>
  <c r="O120" i="3"/>
  <c r="N120" i="3"/>
  <c r="J120" i="3"/>
  <c r="I120" i="3"/>
  <c r="AZ119" i="3"/>
  <c r="CQ119" i="3" s="1"/>
  <c r="AI119" i="3"/>
  <c r="O119" i="3"/>
  <c r="N119" i="3"/>
  <c r="J119" i="3"/>
  <c r="I119" i="3"/>
  <c r="AZ118" i="3"/>
  <c r="CQ118" i="3" s="1"/>
  <c r="AI118" i="3"/>
  <c r="O118" i="3"/>
  <c r="N118" i="3"/>
  <c r="J118" i="3"/>
  <c r="I118" i="3"/>
  <c r="AZ117" i="3"/>
  <c r="CQ117" i="3" s="1"/>
  <c r="AI117" i="3"/>
  <c r="O117" i="3"/>
  <c r="N117" i="3"/>
  <c r="J117" i="3"/>
  <c r="I117" i="3"/>
  <c r="AZ116" i="3"/>
  <c r="CQ116" i="3" s="1"/>
  <c r="AI116" i="3"/>
  <c r="O116" i="3"/>
  <c r="N116" i="3"/>
  <c r="J116" i="3"/>
  <c r="I116" i="3"/>
  <c r="AZ115" i="3"/>
  <c r="CQ115" i="3" s="1"/>
  <c r="AI115" i="3"/>
  <c r="O115" i="3"/>
  <c r="N115" i="3"/>
  <c r="J115" i="3"/>
  <c r="I115" i="3"/>
  <c r="AZ114" i="3"/>
  <c r="CQ114" i="3" s="1"/>
  <c r="AI114" i="3"/>
  <c r="O114" i="3"/>
  <c r="N114" i="3"/>
  <c r="J114" i="3"/>
  <c r="I114" i="3"/>
  <c r="AZ113" i="3"/>
  <c r="CQ113" i="3" s="1"/>
  <c r="AI113" i="3"/>
  <c r="O113" i="3"/>
  <c r="N113" i="3"/>
  <c r="J113" i="3"/>
  <c r="I113" i="3"/>
  <c r="AZ112" i="3"/>
  <c r="CQ112" i="3" s="1"/>
  <c r="AI112" i="3"/>
  <c r="O112" i="3"/>
  <c r="N112" i="3"/>
  <c r="J112" i="3"/>
  <c r="I112" i="3"/>
  <c r="AZ111" i="3"/>
  <c r="CQ111" i="3" s="1"/>
  <c r="AI111" i="3"/>
  <c r="O111" i="3"/>
  <c r="N111" i="3"/>
  <c r="J111" i="3"/>
  <c r="I111" i="3"/>
  <c r="AZ110" i="3"/>
  <c r="CQ110" i="3" s="1"/>
  <c r="AI110" i="3"/>
  <c r="O110" i="3"/>
  <c r="N110" i="3"/>
  <c r="J110" i="3"/>
  <c r="I110" i="3"/>
  <c r="AZ109" i="3"/>
  <c r="CQ109" i="3" s="1"/>
  <c r="AI109" i="3"/>
  <c r="O109" i="3"/>
  <c r="N109" i="3"/>
  <c r="J109" i="3"/>
  <c r="I109" i="3"/>
  <c r="AZ108" i="3"/>
  <c r="CQ108" i="3" s="1"/>
  <c r="AI108" i="3"/>
  <c r="O108" i="3"/>
  <c r="N108" i="3"/>
  <c r="J108" i="3"/>
  <c r="I108" i="3"/>
  <c r="AZ107" i="3"/>
  <c r="CQ107" i="3" s="1"/>
  <c r="AI107" i="3"/>
  <c r="O107" i="3"/>
  <c r="N107" i="3"/>
  <c r="J107" i="3"/>
  <c r="I107" i="3"/>
  <c r="AZ106" i="3"/>
  <c r="CQ106" i="3" s="1"/>
  <c r="AI106" i="3"/>
  <c r="O106" i="3"/>
  <c r="N106" i="3"/>
  <c r="J106" i="3"/>
  <c r="I106" i="3"/>
  <c r="AZ105" i="3"/>
  <c r="CQ105" i="3" s="1"/>
  <c r="AI105" i="3"/>
  <c r="O105" i="3"/>
  <c r="N105" i="3"/>
  <c r="J105" i="3"/>
  <c r="I105" i="3"/>
  <c r="AZ104" i="3"/>
  <c r="CQ104" i="3" s="1"/>
  <c r="AI104" i="3"/>
  <c r="O104" i="3"/>
  <c r="N104" i="3"/>
  <c r="J104" i="3"/>
  <c r="I104" i="3"/>
  <c r="AZ103" i="3"/>
  <c r="CQ103" i="3" s="1"/>
  <c r="AI103" i="3"/>
  <c r="O103" i="3"/>
  <c r="N103" i="3"/>
  <c r="J103" i="3"/>
  <c r="I103" i="3"/>
  <c r="AZ102" i="3"/>
  <c r="CQ102" i="3" s="1"/>
  <c r="AI102" i="3"/>
  <c r="O102" i="3"/>
  <c r="N102" i="3"/>
  <c r="J102" i="3"/>
  <c r="I102" i="3"/>
  <c r="AZ101" i="3"/>
  <c r="CQ101" i="3" s="1"/>
  <c r="AI101" i="3"/>
  <c r="O101" i="3"/>
  <c r="N101" i="3"/>
  <c r="J101" i="3"/>
  <c r="I101" i="3"/>
  <c r="AZ100" i="3"/>
  <c r="CQ100" i="3" s="1"/>
  <c r="AI100" i="3"/>
  <c r="O100" i="3"/>
  <c r="N100" i="3"/>
  <c r="J100" i="3"/>
  <c r="I100" i="3"/>
  <c r="AZ99" i="3"/>
  <c r="CQ99" i="3" s="1"/>
  <c r="AI99" i="3"/>
  <c r="O99" i="3"/>
  <c r="N99" i="3"/>
  <c r="J99" i="3"/>
  <c r="I99" i="3"/>
  <c r="AZ98" i="3"/>
  <c r="CQ98" i="3" s="1"/>
  <c r="AI98" i="3"/>
  <c r="O98" i="3"/>
  <c r="N98" i="3"/>
  <c r="J98" i="3"/>
  <c r="I98" i="3"/>
  <c r="AZ97" i="3"/>
  <c r="CQ97" i="3" s="1"/>
  <c r="AI97" i="3"/>
  <c r="O97" i="3"/>
  <c r="N97" i="3"/>
  <c r="J97" i="3"/>
  <c r="I97" i="3"/>
  <c r="AZ96" i="3"/>
  <c r="CQ96" i="3" s="1"/>
  <c r="AI96" i="3"/>
  <c r="O96" i="3"/>
  <c r="N96" i="3"/>
  <c r="J96" i="3"/>
  <c r="I96" i="3"/>
  <c r="AZ95" i="3"/>
  <c r="CQ95" i="3" s="1"/>
  <c r="AI95" i="3"/>
  <c r="O95" i="3"/>
  <c r="N95" i="3"/>
  <c r="J95" i="3"/>
  <c r="I95" i="3"/>
  <c r="AZ94" i="3"/>
  <c r="CQ94" i="3" s="1"/>
  <c r="AI94" i="3"/>
  <c r="O94" i="3"/>
  <c r="N94" i="3"/>
  <c r="J94" i="3"/>
  <c r="I94" i="3"/>
  <c r="AZ93" i="3"/>
  <c r="CQ93" i="3" s="1"/>
  <c r="AI93" i="3"/>
  <c r="O93" i="3"/>
  <c r="N93" i="3"/>
  <c r="J93" i="3"/>
  <c r="I93" i="3"/>
  <c r="AZ92" i="3"/>
  <c r="CQ92" i="3" s="1"/>
  <c r="AI92" i="3"/>
  <c r="O92" i="3"/>
  <c r="N92" i="3"/>
  <c r="J92" i="3"/>
  <c r="I92" i="3"/>
  <c r="AZ91" i="3"/>
  <c r="CQ91" i="3" s="1"/>
  <c r="AI91" i="3"/>
  <c r="O91" i="3"/>
  <c r="N91" i="3"/>
  <c r="J91" i="3"/>
  <c r="I91" i="3"/>
  <c r="AZ90" i="3"/>
  <c r="CQ90" i="3" s="1"/>
  <c r="AI90" i="3"/>
  <c r="O90" i="3"/>
  <c r="N90" i="3"/>
  <c r="J90" i="3"/>
  <c r="I90" i="3"/>
  <c r="AZ89" i="3"/>
  <c r="CQ89" i="3" s="1"/>
  <c r="AI89" i="3"/>
  <c r="O89" i="3"/>
  <c r="N89" i="3"/>
  <c r="J89" i="3"/>
  <c r="I89" i="3"/>
  <c r="AZ88" i="3"/>
  <c r="CQ88" i="3" s="1"/>
  <c r="AI88" i="3"/>
  <c r="O88" i="3"/>
  <c r="N88" i="3"/>
  <c r="J88" i="3"/>
  <c r="I88" i="3"/>
  <c r="AZ87" i="3"/>
  <c r="CQ87" i="3" s="1"/>
  <c r="AI87" i="3"/>
  <c r="O87" i="3"/>
  <c r="N87" i="3"/>
  <c r="J87" i="3"/>
  <c r="I87" i="3"/>
  <c r="AZ86" i="3"/>
  <c r="CQ86" i="3" s="1"/>
  <c r="AI86" i="3"/>
  <c r="O86" i="3"/>
  <c r="N86" i="3"/>
  <c r="J86" i="3"/>
  <c r="I86" i="3"/>
  <c r="AZ85" i="3"/>
  <c r="CQ85" i="3" s="1"/>
  <c r="AI85" i="3"/>
  <c r="O85" i="3"/>
  <c r="N85" i="3"/>
  <c r="J85" i="3"/>
  <c r="I85" i="3"/>
  <c r="AZ84" i="3"/>
  <c r="CQ84" i="3" s="1"/>
  <c r="AI84" i="3"/>
  <c r="O84" i="3"/>
  <c r="N84" i="3"/>
  <c r="J84" i="3"/>
  <c r="I84" i="3"/>
  <c r="AZ83" i="3"/>
  <c r="CQ83" i="3" s="1"/>
  <c r="AI83" i="3"/>
  <c r="O83" i="3"/>
  <c r="N83" i="3"/>
  <c r="J83" i="3"/>
  <c r="I83" i="3"/>
  <c r="AZ82" i="3"/>
  <c r="CQ82" i="3" s="1"/>
  <c r="AI82" i="3"/>
  <c r="O82" i="3"/>
  <c r="N82" i="3"/>
  <c r="J82" i="3"/>
  <c r="I82" i="3"/>
  <c r="AZ81" i="3"/>
  <c r="CQ81" i="3" s="1"/>
  <c r="AI81" i="3"/>
  <c r="O81" i="3"/>
  <c r="N81" i="3"/>
  <c r="J81" i="3"/>
  <c r="I81" i="3"/>
  <c r="AZ80" i="3"/>
  <c r="CQ80" i="3" s="1"/>
  <c r="AI80" i="3"/>
  <c r="O80" i="3"/>
  <c r="N80" i="3"/>
  <c r="J80" i="3"/>
  <c r="I80" i="3"/>
  <c r="AZ79" i="3"/>
  <c r="CQ79" i="3" s="1"/>
  <c r="AI79" i="3"/>
  <c r="O79" i="3"/>
  <c r="N79" i="3"/>
  <c r="J79" i="3"/>
  <c r="I79" i="3"/>
  <c r="AZ78" i="3"/>
  <c r="CQ78" i="3" s="1"/>
  <c r="AI78" i="3"/>
  <c r="O78" i="3"/>
  <c r="N78" i="3"/>
  <c r="J78" i="3"/>
  <c r="I78" i="3"/>
  <c r="AZ77" i="3"/>
  <c r="CQ77" i="3" s="1"/>
  <c r="AI77" i="3"/>
  <c r="O77" i="3"/>
  <c r="N77" i="3"/>
  <c r="J77" i="3"/>
  <c r="I77" i="3"/>
  <c r="AZ76" i="3"/>
  <c r="CQ76" i="3" s="1"/>
  <c r="AI76" i="3"/>
  <c r="O76" i="3"/>
  <c r="N76" i="3"/>
  <c r="J76" i="3"/>
  <c r="I76" i="3"/>
  <c r="AZ75" i="3"/>
  <c r="CQ75" i="3" s="1"/>
  <c r="AI75" i="3"/>
  <c r="O75" i="3"/>
  <c r="N75" i="3"/>
  <c r="J75" i="3"/>
  <c r="I75" i="3"/>
  <c r="AZ74" i="3"/>
  <c r="CQ74" i="3" s="1"/>
  <c r="AI74" i="3"/>
  <c r="O74" i="3"/>
  <c r="N74" i="3"/>
  <c r="J74" i="3"/>
  <c r="I74" i="3"/>
  <c r="AZ73" i="3"/>
  <c r="CQ73" i="3" s="1"/>
  <c r="AI73" i="3"/>
  <c r="N73" i="3"/>
  <c r="O73" i="3" s="1"/>
  <c r="J73" i="3"/>
  <c r="I73" i="3"/>
  <c r="CQ72" i="3"/>
  <c r="J72" i="3" s="1"/>
  <c r="AZ72" i="3"/>
  <c r="AI72" i="3"/>
  <c r="N72" i="3"/>
  <c r="O72" i="3" s="1"/>
  <c r="I72" i="3"/>
  <c r="CQ71" i="3"/>
  <c r="J71" i="3" s="1"/>
  <c r="AZ71" i="3"/>
  <c r="AI71" i="3"/>
  <c r="N71" i="3"/>
  <c r="O71" i="3" s="1"/>
  <c r="I71" i="3"/>
  <c r="CQ70" i="3"/>
  <c r="J70" i="3" s="1"/>
  <c r="AZ70" i="3"/>
  <c r="AI70" i="3"/>
  <c r="N70" i="3"/>
  <c r="O70" i="3" s="1"/>
  <c r="I70" i="3"/>
  <c r="CQ69" i="3"/>
  <c r="J69" i="3" s="1"/>
  <c r="AZ69" i="3"/>
  <c r="AI69" i="3"/>
  <c r="N69" i="3"/>
  <c r="O69" i="3" s="1"/>
  <c r="I69" i="3"/>
  <c r="CQ68" i="3"/>
  <c r="J68" i="3" s="1"/>
  <c r="AZ68" i="3"/>
  <c r="AI68" i="3"/>
  <c r="N68" i="3"/>
  <c r="O68" i="3" s="1"/>
  <c r="I68" i="3"/>
  <c r="CQ67" i="3"/>
  <c r="J67" i="3" s="1"/>
  <c r="AZ67" i="3"/>
  <c r="AI67" i="3"/>
  <c r="N67" i="3"/>
  <c r="O67" i="3" s="1"/>
  <c r="I67" i="3"/>
  <c r="CQ66" i="3"/>
  <c r="J66" i="3" s="1"/>
  <c r="AZ66" i="3"/>
  <c r="AI66" i="3"/>
  <c r="N66" i="3"/>
  <c r="O66" i="3" s="1"/>
  <c r="I66" i="3"/>
  <c r="CQ65" i="3"/>
  <c r="J65" i="3" s="1"/>
  <c r="AZ65" i="3"/>
  <c r="AI65" i="3"/>
  <c r="N65" i="3"/>
  <c r="O65" i="3" s="1"/>
  <c r="I65" i="3"/>
  <c r="CQ64" i="3"/>
  <c r="J64" i="3" s="1"/>
  <c r="AZ64" i="3"/>
  <c r="AI64" i="3"/>
  <c r="N64" i="3"/>
  <c r="O64" i="3" s="1"/>
  <c r="I64" i="3"/>
  <c r="CQ63" i="3"/>
  <c r="J63" i="3" s="1"/>
  <c r="AZ63" i="3"/>
  <c r="AI63" i="3"/>
  <c r="N63" i="3"/>
  <c r="O63" i="3" s="1"/>
  <c r="I63" i="3"/>
  <c r="CQ62" i="3"/>
  <c r="J62" i="3" s="1"/>
  <c r="AZ62" i="3"/>
  <c r="AI62" i="3"/>
  <c r="N62" i="3"/>
  <c r="O62" i="3" s="1"/>
  <c r="I62" i="3"/>
  <c r="CQ61" i="3"/>
  <c r="J61" i="3" s="1"/>
  <c r="AZ61" i="3"/>
  <c r="AI61" i="3"/>
  <c r="N61" i="3"/>
  <c r="O61" i="3" s="1"/>
  <c r="I61" i="3"/>
  <c r="CQ60" i="3"/>
  <c r="J60" i="3" s="1"/>
  <c r="AZ60" i="3"/>
  <c r="AI60" i="3"/>
  <c r="N60" i="3"/>
  <c r="O60" i="3" s="1"/>
  <c r="I60" i="3"/>
  <c r="CQ59" i="3"/>
  <c r="J59" i="3" s="1"/>
  <c r="AZ59" i="3"/>
  <c r="AI59" i="3"/>
  <c r="N59" i="3"/>
  <c r="O59" i="3" s="1"/>
  <c r="I59" i="3"/>
  <c r="CQ58" i="3"/>
  <c r="J58" i="3" s="1"/>
  <c r="AZ58" i="3"/>
  <c r="AI58" i="3"/>
  <c r="N58" i="3"/>
  <c r="O58" i="3" s="1"/>
  <c r="I58" i="3"/>
  <c r="CQ57" i="3"/>
  <c r="J57" i="3" s="1"/>
  <c r="AZ57" i="3"/>
  <c r="AI57" i="3"/>
  <c r="N57" i="3"/>
  <c r="O57" i="3" s="1"/>
  <c r="I57" i="3"/>
  <c r="CQ56" i="3"/>
  <c r="J56" i="3" s="1"/>
  <c r="AZ56" i="3"/>
  <c r="AI56" i="3"/>
  <c r="N56" i="3"/>
  <c r="O56" i="3" s="1"/>
  <c r="I56" i="3"/>
  <c r="CQ55" i="3"/>
  <c r="J55" i="3" s="1"/>
  <c r="AZ55" i="3"/>
  <c r="AI55" i="3"/>
  <c r="N55" i="3"/>
  <c r="O55" i="3" s="1"/>
  <c r="I55" i="3"/>
  <c r="CQ54" i="3"/>
  <c r="J54" i="3" s="1"/>
  <c r="AZ54" i="3"/>
  <c r="AI54" i="3"/>
  <c r="N54" i="3"/>
  <c r="O54" i="3" s="1"/>
  <c r="I54" i="3"/>
  <c r="CQ53" i="3"/>
  <c r="J53" i="3" s="1"/>
  <c r="AZ53" i="3"/>
  <c r="AI53" i="3"/>
  <c r="N53" i="3"/>
  <c r="O53" i="3" s="1"/>
  <c r="I53" i="3"/>
  <c r="CQ52" i="3"/>
  <c r="J52" i="3" s="1"/>
  <c r="AZ52" i="3"/>
  <c r="AI52" i="3"/>
  <c r="N52" i="3"/>
  <c r="O52" i="3" s="1"/>
  <c r="I52" i="3"/>
  <c r="CQ51" i="3"/>
  <c r="J51" i="3" s="1"/>
  <c r="AZ51" i="3"/>
  <c r="AI51" i="3"/>
  <c r="N51" i="3"/>
  <c r="O51" i="3" s="1"/>
  <c r="I51" i="3"/>
  <c r="CQ50" i="3"/>
  <c r="J50" i="3" s="1"/>
  <c r="AZ50" i="3"/>
  <c r="AI50" i="3"/>
  <c r="N50" i="3"/>
  <c r="O50" i="3" s="1"/>
  <c r="I50" i="3"/>
  <c r="CQ49" i="3"/>
  <c r="J49" i="3" s="1"/>
  <c r="AZ49" i="3"/>
  <c r="AI49" i="3"/>
  <c r="N49" i="3"/>
  <c r="O49" i="3" s="1"/>
  <c r="I49" i="3"/>
  <c r="CQ48" i="3"/>
  <c r="J48" i="3" s="1"/>
  <c r="AZ48" i="3"/>
  <c r="AI48" i="3"/>
  <c r="N48" i="3"/>
  <c r="O48" i="3" s="1"/>
  <c r="I48" i="3"/>
  <c r="CQ47" i="3"/>
  <c r="J47" i="3" s="1"/>
  <c r="AZ47" i="3"/>
  <c r="AI47" i="3"/>
  <c r="N47" i="3"/>
  <c r="O47" i="3" s="1"/>
  <c r="I47" i="3"/>
  <c r="CQ46" i="3"/>
  <c r="J46" i="3" s="1"/>
  <c r="AZ46" i="3"/>
  <c r="AI46" i="3"/>
  <c r="N46" i="3"/>
  <c r="O46" i="3" s="1"/>
  <c r="I46" i="3"/>
  <c r="CQ45" i="3"/>
  <c r="J45" i="3" s="1"/>
  <c r="AZ45" i="3"/>
  <c r="AI45" i="3"/>
  <c r="N45" i="3"/>
  <c r="O45" i="3" s="1"/>
  <c r="I45" i="3"/>
  <c r="CQ44" i="3"/>
  <c r="J44" i="3" s="1"/>
  <c r="AZ44" i="3"/>
  <c r="AI44" i="3"/>
  <c r="N44" i="3"/>
  <c r="O44" i="3" s="1"/>
  <c r="I44" i="3"/>
  <c r="CQ43" i="3"/>
  <c r="J43" i="3" s="1"/>
  <c r="AZ43" i="3"/>
  <c r="AI43" i="3"/>
  <c r="N43" i="3"/>
  <c r="O43" i="3" s="1"/>
  <c r="I43" i="3"/>
  <c r="CQ42" i="3"/>
  <c r="J42" i="3" s="1"/>
  <c r="AZ42" i="3"/>
  <c r="AI42" i="3"/>
  <c r="N42" i="3"/>
  <c r="O42" i="3" s="1"/>
  <c r="I42" i="3"/>
  <c r="CQ41" i="3"/>
  <c r="J41" i="3" s="1"/>
  <c r="AZ41" i="3"/>
  <c r="AI41" i="3"/>
  <c r="N41" i="3"/>
  <c r="O41" i="3" s="1"/>
  <c r="I41" i="3"/>
  <c r="CQ40" i="3"/>
  <c r="J40" i="3" s="1"/>
  <c r="AZ40" i="3"/>
  <c r="AI40" i="3"/>
  <c r="N40" i="3"/>
  <c r="O40" i="3" s="1"/>
  <c r="I40" i="3"/>
  <c r="CQ39" i="3"/>
  <c r="J39" i="3" s="1"/>
  <c r="AZ39" i="3"/>
  <c r="AI39" i="3"/>
  <c r="N39" i="3"/>
  <c r="O39" i="3" s="1"/>
  <c r="I39" i="3"/>
  <c r="CQ38" i="3"/>
  <c r="J38" i="3" s="1"/>
  <c r="AZ38" i="3"/>
  <c r="AI38" i="3"/>
  <c r="N38" i="3"/>
  <c r="O38" i="3" s="1"/>
  <c r="I38" i="3"/>
  <c r="CQ37" i="3"/>
  <c r="J37" i="3" s="1"/>
  <c r="AZ37" i="3"/>
  <c r="AI37" i="3"/>
  <c r="N37" i="3"/>
  <c r="O37" i="3" s="1"/>
  <c r="I37" i="3"/>
  <c r="CQ36" i="3"/>
  <c r="J36" i="3" s="1"/>
  <c r="AZ36" i="3"/>
  <c r="AI36" i="3"/>
  <c r="N36" i="3"/>
  <c r="O36" i="3" s="1"/>
  <c r="I36" i="3"/>
  <c r="CQ35" i="3"/>
  <c r="J35" i="3" s="1"/>
  <c r="AZ35" i="3"/>
  <c r="AI35" i="3"/>
  <c r="N35" i="3"/>
  <c r="O35" i="3" s="1"/>
  <c r="I35" i="3"/>
  <c r="CQ34" i="3"/>
  <c r="J34" i="3" s="1"/>
  <c r="AZ34" i="3"/>
  <c r="AI34" i="3"/>
  <c r="N34" i="3"/>
  <c r="O34" i="3" s="1"/>
  <c r="I34" i="3"/>
  <c r="CQ33" i="3"/>
  <c r="J33" i="3" s="1"/>
  <c r="AZ33" i="3"/>
  <c r="AI33" i="3"/>
  <c r="N33" i="3"/>
  <c r="O33" i="3" s="1"/>
  <c r="I33" i="3"/>
  <c r="CQ32" i="3"/>
  <c r="J32" i="3" s="1"/>
  <c r="AZ32" i="3"/>
  <c r="AI32" i="3"/>
  <c r="N32" i="3"/>
  <c r="O32" i="3" s="1"/>
  <c r="I32" i="3"/>
  <c r="CQ31" i="3"/>
  <c r="J31" i="3" s="1"/>
  <c r="AZ31" i="3"/>
  <c r="AI31" i="3"/>
  <c r="N31" i="3"/>
  <c r="O31" i="3" s="1"/>
  <c r="I31" i="3"/>
  <c r="CQ30" i="3"/>
  <c r="J30" i="3" s="1"/>
  <c r="AZ30" i="3"/>
  <c r="AI30" i="3"/>
  <c r="N30" i="3"/>
  <c r="O30" i="3" s="1"/>
  <c r="I30" i="3"/>
  <c r="CQ29" i="3"/>
  <c r="J29" i="3" s="1"/>
  <c r="AZ29" i="3"/>
  <c r="AI29" i="3"/>
  <c r="N29" i="3"/>
  <c r="O29" i="3" s="1"/>
  <c r="I29" i="3"/>
  <c r="CQ28" i="3"/>
  <c r="J28" i="3" s="1"/>
  <c r="AZ28" i="3"/>
  <c r="AI28" i="3"/>
  <c r="N28" i="3"/>
  <c r="O28" i="3" s="1"/>
  <c r="I28" i="3"/>
  <c r="CQ27" i="3"/>
  <c r="J27" i="3" s="1"/>
  <c r="AZ27" i="3"/>
  <c r="AI27" i="3"/>
  <c r="N27" i="3"/>
  <c r="O27" i="3" s="1"/>
  <c r="I27" i="3"/>
  <c r="CQ26" i="3"/>
  <c r="J26" i="3" s="1"/>
  <c r="AZ26" i="3"/>
  <c r="AI26" i="3"/>
  <c r="N26" i="3"/>
  <c r="O26" i="3" s="1"/>
  <c r="I26" i="3"/>
  <c r="CQ25" i="3"/>
  <c r="J25" i="3" s="1"/>
  <c r="AZ25" i="3"/>
  <c r="AI25" i="3"/>
  <c r="N25" i="3"/>
  <c r="O25" i="3" s="1"/>
  <c r="I25" i="3"/>
  <c r="CQ24" i="3"/>
  <c r="J24" i="3" s="1"/>
  <c r="AZ24" i="3"/>
  <c r="AI24" i="3"/>
  <c r="N24" i="3"/>
  <c r="O24" i="3" s="1"/>
  <c r="I24" i="3"/>
  <c r="CQ23" i="3"/>
  <c r="J23" i="3" s="1"/>
  <c r="AZ23" i="3"/>
  <c r="AI23" i="3"/>
  <c r="N23" i="3"/>
  <c r="O23" i="3" s="1"/>
  <c r="I23" i="3"/>
  <c r="CQ22" i="3"/>
  <c r="J22" i="3" s="1"/>
  <c r="AZ22" i="3"/>
  <c r="AI22" i="3"/>
  <c r="N22" i="3"/>
  <c r="O22" i="3" s="1"/>
  <c r="I22" i="3"/>
  <c r="CQ21" i="3"/>
  <c r="J21" i="3" s="1"/>
  <c r="AZ21" i="3"/>
  <c r="AI21" i="3"/>
  <c r="N21" i="3"/>
  <c r="O21" i="3" s="1"/>
  <c r="I21" i="3"/>
  <c r="CQ20" i="3"/>
  <c r="J20" i="3" s="1"/>
  <c r="AZ20" i="3"/>
  <c r="AI20" i="3"/>
  <c r="N20" i="3"/>
  <c r="O20" i="3" s="1"/>
  <c r="I20" i="3"/>
  <c r="CQ19" i="3"/>
  <c r="J19" i="3" s="1"/>
  <c r="AZ19" i="3"/>
  <c r="AI19" i="3"/>
  <c r="N19" i="3"/>
  <c r="O19" i="3" s="1"/>
  <c r="I19" i="3"/>
  <c r="CQ18" i="3"/>
  <c r="J18" i="3" s="1"/>
  <c r="AZ18" i="3"/>
  <c r="AI18" i="3"/>
  <c r="N18" i="3"/>
  <c r="O18" i="3" s="1"/>
  <c r="I18" i="3"/>
  <c r="CQ17" i="3"/>
  <c r="J17" i="3" s="1"/>
  <c r="AZ17" i="3"/>
  <c r="AI17" i="3"/>
  <c r="N17" i="3"/>
  <c r="O17" i="3" s="1"/>
  <c r="I17" i="3"/>
  <c r="CQ16" i="3"/>
  <c r="J16" i="3" s="1"/>
  <c r="AZ16" i="3"/>
  <c r="AZ516" i="3" s="1"/>
  <c r="AI16" i="3"/>
  <c r="AI516" i="3" s="1"/>
  <c r="N16" i="3"/>
  <c r="O16" i="3" s="1"/>
  <c r="I16" i="3"/>
  <c r="A16" i="3"/>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CN15" i="3"/>
  <c r="CM15" i="3"/>
  <c r="CL15" i="3"/>
  <c r="CK15" i="3"/>
  <c r="CJ15" i="3"/>
  <c r="CG15" i="3"/>
  <c r="CF15" i="3"/>
  <c r="CE15" i="3"/>
  <c r="CD15" i="3"/>
  <c r="CC15" i="3"/>
  <c r="CB15" i="3"/>
  <c r="CA15" i="3"/>
  <c r="BZ15" i="3"/>
  <c r="BY15" i="3"/>
  <c r="BX15" i="3"/>
  <c r="BW15" i="3"/>
  <c r="BV15" i="3"/>
  <c r="BU15" i="3"/>
  <c r="BT15" i="3"/>
  <c r="BS15" i="3"/>
  <c r="BR15" i="3"/>
  <c r="BQ15" i="3"/>
  <c r="BP15" i="3"/>
  <c r="BO15" i="3"/>
  <c r="BN15" i="3"/>
  <c r="BM15" i="3"/>
  <c r="BL15" i="3"/>
  <c r="BK15" i="3"/>
  <c r="BJ15" i="3"/>
  <c r="BI15" i="3"/>
  <c r="BG15" i="3"/>
  <c r="BF15" i="3"/>
  <c r="BE15" i="3"/>
  <c r="BD15" i="3"/>
  <c r="BC15" i="3"/>
  <c r="BB15" i="3"/>
  <c r="BA15" i="3"/>
  <c r="AP15" i="3"/>
  <c r="AO15" i="3"/>
  <c r="AN15" i="3"/>
  <c r="AM15" i="3"/>
  <c r="AL15" i="3"/>
  <c r="AK15" i="3"/>
  <c r="AJ15" i="3"/>
  <c r="AH15" i="3"/>
  <c r="AG15" i="3"/>
  <c r="AF15" i="3"/>
  <c r="AE15" i="3"/>
  <c r="AD15" i="3"/>
  <c r="AC15" i="3"/>
  <c r="AB15" i="3"/>
  <c r="AA15" i="3"/>
  <c r="BN516" i="2"/>
  <c r="BM516" i="2"/>
  <c r="BL516" i="2"/>
  <c r="BK516" i="2"/>
  <c r="BJ516" i="2"/>
  <c r="BI516" i="2"/>
  <c r="BH516" i="2"/>
  <c r="BG516" i="2"/>
  <c r="BF516" i="2"/>
  <c r="BE516" i="2"/>
  <c r="BD516" i="2"/>
  <c r="BC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AE516" i="2"/>
  <c r="AD516" i="2"/>
  <c r="AC516" i="2"/>
  <c r="J16" i="13" s="1"/>
  <c r="AB516" i="2"/>
  <c r="AA516" i="2"/>
  <c r="Z516" i="2"/>
  <c r="Y516" i="2"/>
  <c r="X516" i="2"/>
  <c r="W516" i="2"/>
  <c r="I16" i="7" s="1"/>
  <c r="V516" i="2"/>
  <c r="I15" i="7" s="1"/>
  <c r="U516" i="2"/>
  <c r="I14" i="7" s="1"/>
  <c r="T516" i="2"/>
  <c r="I13" i="7" s="1"/>
  <c r="R516" i="2"/>
  <c r="Q516" i="2"/>
  <c r="P516" i="2"/>
  <c r="M516" i="2"/>
  <c r="D93" i="19" s="1"/>
  <c r="L516" i="2"/>
  <c r="D91" i="19" s="1"/>
  <c r="K516" i="2"/>
  <c r="D89" i="19" s="1"/>
  <c r="G516" i="2"/>
  <c r="BO515" i="2"/>
  <c r="S515" i="2"/>
  <c r="N515" i="2"/>
  <c r="O515" i="2" s="1"/>
  <c r="J515" i="2"/>
  <c r="I515" i="2"/>
  <c r="BO514" i="2"/>
  <c r="S514" i="2"/>
  <c r="N514" i="2"/>
  <c r="O514" i="2" s="1"/>
  <c r="J514" i="2"/>
  <c r="I514" i="2"/>
  <c r="BO513" i="2"/>
  <c r="S513" i="2"/>
  <c r="O513" i="2"/>
  <c r="N513" i="2"/>
  <c r="J513" i="2"/>
  <c r="I513" i="2"/>
  <c r="BO512" i="2"/>
  <c r="S512" i="2"/>
  <c r="O512" i="2"/>
  <c r="N512" i="2"/>
  <c r="J512" i="2"/>
  <c r="I512" i="2"/>
  <c r="BO511" i="2"/>
  <c r="S511" i="2"/>
  <c r="N511" i="2"/>
  <c r="O511" i="2" s="1"/>
  <c r="J511" i="2"/>
  <c r="I511" i="2"/>
  <c r="BO510" i="2"/>
  <c r="S510" i="2"/>
  <c r="N510" i="2"/>
  <c r="O510" i="2" s="1"/>
  <c r="J510" i="2"/>
  <c r="I510" i="2"/>
  <c r="BO509" i="2"/>
  <c r="S509" i="2"/>
  <c r="O509" i="2"/>
  <c r="N509" i="2"/>
  <c r="J509" i="2"/>
  <c r="I509" i="2"/>
  <c r="BO508" i="2"/>
  <c r="S508" i="2"/>
  <c r="O508" i="2"/>
  <c r="N508" i="2"/>
  <c r="J508" i="2"/>
  <c r="I508" i="2"/>
  <c r="BO507" i="2"/>
  <c r="S507" i="2"/>
  <c r="N507" i="2"/>
  <c r="O507" i="2" s="1"/>
  <c r="J507" i="2"/>
  <c r="I507" i="2"/>
  <c r="BO506" i="2"/>
  <c r="S506" i="2"/>
  <c r="N506" i="2"/>
  <c r="O506" i="2" s="1"/>
  <c r="J506" i="2"/>
  <c r="I506" i="2"/>
  <c r="BO505" i="2"/>
  <c r="S505" i="2"/>
  <c r="O505" i="2"/>
  <c r="N505" i="2"/>
  <c r="J505" i="2"/>
  <c r="I505" i="2"/>
  <c r="BO504" i="2"/>
  <c r="S504" i="2"/>
  <c r="O504" i="2"/>
  <c r="N504" i="2"/>
  <c r="J504" i="2"/>
  <c r="I504" i="2"/>
  <c r="BO503" i="2"/>
  <c r="S503" i="2"/>
  <c r="N503" i="2"/>
  <c r="O503" i="2" s="1"/>
  <c r="J503" i="2"/>
  <c r="I503" i="2"/>
  <c r="BO502" i="2"/>
  <c r="S502" i="2"/>
  <c r="N502" i="2"/>
  <c r="O502" i="2" s="1"/>
  <c r="J502" i="2"/>
  <c r="I502" i="2"/>
  <c r="BO501" i="2"/>
  <c r="S501" i="2"/>
  <c r="O501" i="2"/>
  <c r="N501" i="2"/>
  <c r="J501" i="2"/>
  <c r="I501" i="2"/>
  <c r="BO500" i="2"/>
  <c r="S500" i="2"/>
  <c r="O500" i="2"/>
  <c r="N500" i="2"/>
  <c r="J500" i="2"/>
  <c r="I500" i="2"/>
  <c r="BO499" i="2"/>
  <c r="S499" i="2"/>
  <c r="N499" i="2"/>
  <c r="O499" i="2" s="1"/>
  <c r="J499" i="2"/>
  <c r="I499" i="2"/>
  <c r="BO498" i="2"/>
  <c r="S498" i="2"/>
  <c r="N498" i="2"/>
  <c r="O498" i="2" s="1"/>
  <c r="J498" i="2"/>
  <c r="I498" i="2"/>
  <c r="BO497" i="2"/>
  <c r="S497" i="2"/>
  <c r="O497" i="2"/>
  <c r="N497" i="2"/>
  <c r="J497" i="2"/>
  <c r="I497" i="2"/>
  <c r="BO496" i="2"/>
  <c r="S496" i="2"/>
  <c r="O496" i="2"/>
  <c r="N496" i="2"/>
  <c r="J496" i="2"/>
  <c r="I496" i="2"/>
  <c r="BO495" i="2"/>
  <c r="S495" i="2"/>
  <c r="N495" i="2"/>
  <c r="O495" i="2" s="1"/>
  <c r="J495" i="2"/>
  <c r="I495" i="2"/>
  <c r="BO494" i="2"/>
  <c r="S494" i="2"/>
  <c r="N494" i="2"/>
  <c r="O494" i="2" s="1"/>
  <c r="J494" i="2"/>
  <c r="I494" i="2"/>
  <c r="BO493" i="2"/>
  <c r="S493" i="2"/>
  <c r="O493" i="2"/>
  <c r="N493" i="2"/>
  <c r="J493" i="2"/>
  <c r="I493" i="2"/>
  <c r="BO492" i="2"/>
  <c r="S492" i="2"/>
  <c r="O492" i="2"/>
  <c r="N492" i="2"/>
  <c r="J492" i="2"/>
  <c r="I492" i="2"/>
  <c r="BO491" i="2"/>
  <c r="S491" i="2"/>
  <c r="N491" i="2"/>
  <c r="O491" i="2" s="1"/>
  <c r="J491" i="2"/>
  <c r="I491" i="2"/>
  <c r="BO490" i="2"/>
  <c r="S490" i="2"/>
  <c r="N490" i="2"/>
  <c r="O490" i="2" s="1"/>
  <c r="J490" i="2"/>
  <c r="I490" i="2"/>
  <c r="BO489" i="2"/>
  <c r="S489" i="2"/>
  <c r="O489" i="2"/>
  <c r="N489" i="2"/>
  <c r="J489" i="2"/>
  <c r="I489" i="2"/>
  <c r="BO488" i="2"/>
  <c r="S488" i="2"/>
  <c r="O488" i="2"/>
  <c r="N488" i="2"/>
  <c r="J488" i="2"/>
  <c r="I488" i="2"/>
  <c r="BO487" i="2"/>
  <c r="S487" i="2"/>
  <c r="N487" i="2"/>
  <c r="O487" i="2" s="1"/>
  <c r="J487" i="2"/>
  <c r="I487" i="2"/>
  <c r="BO486" i="2"/>
  <c r="S486" i="2"/>
  <c r="N486" i="2"/>
  <c r="O486" i="2" s="1"/>
  <c r="J486" i="2"/>
  <c r="I486" i="2"/>
  <c r="BO485" i="2"/>
  <c r="S485" i="2"/>
  <c r="O485" i="2"/>
  <c r="N485" i="2"/>
  <c r="J485" i="2"/>
  <c r="I485" i="2"/>
  <c r="BO484" i="2"/>
  <c r="S484" i="2"/>
  <c r="O484" i="2"/>
  <c r="N484" i="2"/>
  <c r="J484" i="2"/>
  <c r="I484" i="2"/>
  <c r="BO483" i="2"/>
  <c r="S483" i="2"/>
  <c r="N483" i="2"/>
  <c r="O483" i="2" s="1"/>
  <c r="J483" i="2"/>
  <c r="I483" i="2"/>
  <c r="BO482" i="2"/>
  <c r="S482" i="2"/>
  <c r="N482" i="2"/>
  <c r="O482" i="2" s="1"/>
  <c r="J482" i="2"/>
  <c r="I482" i="2"/>
  <c r="BO481" i="2"/>
  <c r="S481" i="2"/>
  <c r="O481" i="2"/>
  <c r="N481" i="2"/>
  <c r="J481" i="2"/>
  <c r="I481" i="2"/>
  <c r="BO480" i="2"/>
  <c r="S480" i="2"/>
  <c r="O480" i="2"/>
  <c r="N480" i="2"/>
  <c r="J480" i="2"/>
  <c r="I480" i="2"/>
  <c r="BO479" i="2"/>
  <c r="S479" i="2"/>
  <c r="N479" i="2"/>
  <c r="O479" i="2" s="1"/>
  <c r="J479" i="2"/>
  <c r="I479" i="2"/>
  <c r="BO478" i="2"/>
  <c r="S478" i="2"/>
  <c r="N478" i="2"/>
  <c r="O478" i="2" s="1"/>
  <c r="J478" i="2"/>
  <c r="I478" i="2"/>
  <c r="BO477" i="2"/>
  <c r="S477" i="2"/>
  <c r="O477" i="2"/>
  <c r="N477" i="2"/>
  <c r="J477" i="2"/>
  <c r="I477" i="2"/>
  <c r="BO476" i="2"/>
  <c r="S476" i="2"/>
  <c r="O476" i="2"/>
  <c r="N476" i="2"/>
  <c r="J476" i="2"/>
  <c r="I476" i="2"/>
  <c r="BO475" i="2"/>
  <c r="S475" i="2"/>
  <c r="N475" i="2"/>
  <c r="O475" i="2" s="1"/>
  <c r="J475" i="2"/>
  <c r="I475" i="2"/>
  <c r="BO474" i="2"/>
  <c r="J474" i="2" s="1"/>
  <c r="S474" i="2"/>
  <c r="N474" i="2"/>
  <c r="O474" i="2" s="1"/>
  <c r="I474" i="2"/>
  <c r="BO473" i="2"/>
  <c r="S473" i="2"/>
  <c r="O473" i="2"/>
  <c r="N473" i="2"/>
  <c r="J473" i="2"/>
  <c r="I473" i="2"/>
  <c r="BO472" i="2"/>
  <c r="S472" i="2"/>
  <c r="O472" i="2"/>
  <c r="N472" i="2"/>
  <c r="J472" i="2"/>
  <c r="I472" i="2"/>
  <c r="BO471" i="2"/>
  <c r="S471" i="2"/>
  <c r="N471" i="2"/>
  <c r="O471" i="2" s="1"/>
  <c r="J471" i="2"/>
  <c r="I471" i="2"/>
  <c r="BO470" i="2"/>
  <c r="S470" i="2"/>
  <c r="N470" i="2"/>
  <c r="O470" i="2" s="1"/>
  <c r="J470" i="2"/>
  <c r="I470" i="2"/>
  <c r="BO469" i="2"/>
  <c r="S469" i="2"/>
  <c r="O469" i="2"/>
  <c r="N469" i="2"/>
  <c r="J469" i="2"/>
  <c r="I469" i="2"/>
  <c r="BO468" i="2"/>
  <c r="S468" i="2"/>
  <c r="O468" i="2"/>
  <c r="N468" i="2"/>
  <c r="J468" i="2"/>
  <c r="I468" i="2"/>
  <c r="BO467" i="2"/>
  <c r="S467" i="2"/>
  <c r="N467" i="2"/>
  <c r="O467" i="2" s="1"/>
  <c r="J467" i="2"/>
  <c r="I467" i="2"/>
  <c r="BO466" i="2"/>
  <c r="S466" i="2"/>
  <c r="N466" i="2"/>
  <c r="O466" i="2" s="1"/>
  <c r="J466" i="2"/>
  <c r="I466" i="2"/>
  <c r="BO465" i="2"/>
  <c r="S465" i="2"/>
  <c r="O465" i="2"/>
  <c r="N465" i="2"/>
  <c r="J465" i="2"/>
  <c r="I465" i="2"/>
  <c r="BO464" i="2"/>
  <c r="S464" i="2"/>
  <c r="O464" i="2"/>
  <c r="N464" i="2"/>
  <c r="J464" i="2"/>
  <c r="I464" i="2"/>
  <c r="BO463" i="2"/>
  <c r="S463" i="2"/>
  <c r="N463" i="2"/>
  <c r="O463" i="2" s="1"/>
  <c r="J463" i="2"/>
  <c r="I463" i="2"/>
  <c r="BO462" i="2"/>
  <c r="S462" i="2"/>
  <c r="N462" i="2"/>
  <c r="O462" i="2" s="1"/>
  <c r="J462" i="2"/>
  <c r="I462" i="2"/>
  <c r="BO461" i="2"/>
  <c r="S461" i="2"/>
  <c r="O461" i="2"/>
  <c r="N461" i="2"/>
  <c r="J461" i="2"/>
  <c r="I461" i="2"/>
  <c r="BO460" i="2"/>
  <c r="S460" i="2"/>
  <c r="O460" i="2"/>
  <c r="N460" i="2"/>
  <c r="J460" i="2"/>
  <c r="I460" i="2"/>
  <c r="BO459" i="2"/>
  <c r="S459" i="2"/>
  <c r="N459" i="2"/>
  <c r="O459" i="2" s="1"/>
  <c r="J459" i="2"/>
  <c r="I459" i="2"/>
  <c r="BO458" i="2"/>
  <c r="S458" i="2"/>
  <c r="N458" i="2"/>
  <c r="O458" i="2" s="1"/>
  <c r="J458" i="2"/>
  <c r="I458" i="2"/>
  <c r="BO457" i="2"/>
  <c r="S457" i="2"/>
  <c r="O457" i="2"/>
  <c r="N457" i="2"/>
  <c r="J457" i="2"/>
  <c r="I457" i="2"/>
  <c r="BO456" i="2"/>
  <c r="S456" i="2"/>
  <c r="O456" i="2"/>
  <c r="N456" i="2"/>
  <c r="J456" i="2"/>
  <c r="I456" i="2"/>
  <c r="BO455" i="2"/>
  <c r="S455" i="2"/>
  <c r="N455" i="2"/>
  <c r="O455" i="2" s="1"/>
  <c r="J455" i="2"/>
  <c r="I455" i="2"/>
  <c r="BO454" i="2"/>
  <c r="S454" i="2"/>
  <c r="N454" i="2"/>
  <c r="O454" i="2" s="1"/>
  <c r="J454" i="2"/>
  <c r="I454" i="2"/>
  <c r="BO453" i="2"/>
  <c r="S453" i="2"/>
  <c r="O453" i="2"/>
  <c r="N453" i="2"/>
  <c r="J453" i="2"/>
  <c r="I453" i="2"/>
  <c r="BO452" i="2"/>
  <c r="S452" i="2"/>
  <c r="O452" i="2"/>
  <c r="N452" i="2"/>
  <c r="J452" i="2"/>
  <c r="I452" i="2"/>
  <c r="BO451" i="2"/>
  <c r="S451" i="2"/>
  <c r="N451" i="2"/>
  <c r="O451" i="2" s="1"/>
  <c r="J451" i="2"/>
  <c r="I451" i="2"/>
  <c r="BO450" i="2"/>
  <c r="S450" i="2"/>
  <c r="N450" i="2"/>
  <c r="O450" i="2" s="1"/>
  <c r="J450" i="2"/>
  <c r="I450" i="2"/>
  <c r="BO449" i="2"/>
  <c r="S449" i="2"/>
  <c r="O449" i="2"/>
  <c r="N449" i="2"/>
  <c r="J449" i="2"/>
  <c r="I449" i="2"/>
  <c r="BO448" i="2"/>
  <c r="S448" i="2"/>
  <c r="O448" i="2"/>
  <c r="N448" i="2"/>
  <c r="J448" i="2"/>
  <c r="I448" i="2"/>
  <c r="BO447" i="2"/>
  <c r="S447" i="2"/>
  <c r="N447" i="2"/>
  <c r="O447" i="2" s="1"/>
  <c r="J447" i="2"/>
  <c r="I447" i="2"/>
  <c r="BO446" i="2"/>
  <c r="S446" i="2"/>
  <c r="N446" i="2"/>
  <c r="O446" i="2" s="1"/>
  <c r="J446" i="2"/>
  <c r="I446" i="2"/>
  <c r="BO445" i="2"/>
  <c r="S445" i="2"/>
  <c r="O445" i="2"/>
  <c r="N445" i="2"/>
  <c r="J445" i="2"/>
  <c r="I445" i="2"/>
  <c r="BO444" i="2"/>
  <c r="S444" i="2"/>
  <c r="O444" i="2"/>
  <c r="N444" i="2"/>
  <c r="J444" i="2"/>
  <c r="I444" i="2"/>
  <c r="BO443" i="2"/>
  <c r="S443" i="2"/>
  <c r="N443" i="2"/>
  <c r="O443" i="2" s="1"/>
  <c r="J443" i="2"/>
  <c r="I443" i="2"/>
  <c r="BO442" i="2"/>
  <c r="S442" i="2"/>
  <c r="N442" i="2"/>
  <c r="O442" i="2" s="1"/>
  <c r="J442" i="2"/>
  <c r="I442" i="2"/>
  <c r="BO441" i="2"/>
  <c r="S441" i="2"/>
  <c r="O441" i="2"/>
  <c r="N441" i="2"/>
  <c r="J441" i="2"/>
  <c r="I441" i="2"/>
  <c r="BO440" i="2"/>
  <c r="S440" i="2"/>
  <c r="O440" i="2"/>
  <c r="N440" i="2"/>
  <c r="J440" i="2"/>
  <c r="I440" i="2"/>
  <c r="BO439" i="2"/>
  <c r="S439" i="2"/>
  <c r="N439" i="2"/>
  <c r="O439" i="2" s="1"/>
  <c r="J439" i="2"/>
  <c r="I439" i="2"/>
  <c r="BO438" i="2"/>
  <c r="S438" i="2"/>
  <c r="N438" i="2"/>
  <c r="O438" i="2" s="1"/>
  <c r="J438" i="2"/>
  <c r="I438" i="2"/>
  <c r="BO437" i="2"/>
  <c r="S437" i="2"/>
  <c r="O437" i="2"/>
  <c r="N437" i="2"/>
  <c r="J437" i="2"/>
  <c r="I437" i="2"/>
  <c r="BO436" i="2"/>
  <c r="S436" i="2"/>
  <c r="O436" i="2"/>
  <c r="N436" i="2"/>
  <c r="J436" i="2"/>
  <c r="I436" i="2"/>
  <c r="BO435" i="2"/>
  <c r="S435" i="2"/>
  <c r="N435" i="2"/>
  <c r="O435" i="2" s="1"/>
  <c r="J435" i="2"/>
  <c r="I435" i="2"/>
  <c r="BO434" i="2"/>
  <c r="S434" i="2"/>
  <c r="N434" i="2"/>
  <c r="O434" i="2" s="1"/>
  <c r="J434" i="2"/>
  <c r="I434" i="2"/>
  <c r="BO433" i="2"/>
  <c r="S433" i="2"/>
  <c r="O433" i="2"/>
  <c r="N433" i="2"/>
  <c r="J433" i="2"/>
  <c r="I433" i="2"/>
  <c r="BO432" i="2"/>
  <c r="S432" i="2"/>
  <c r="O432" i="2"/>
  <c r="N432" i="2"/>
  <c r="J432" i="2"/>
  <c r="I432" i="2"/>
  <c r="BO431" i="2"/>
  <c r="S431" i="2"/>
  <c r="N431" i="2"/>
  <c r="O431" i="2" s="1"/>
  <c r="J431" i="2"/>
  <c r="I431" i="2"/>
  <c r="BO430" i="2"/>
  <c r="S430" i="2"/>
  <c r="N430" i="2"/>
  <c r="O430" i="2" s="1"/>
  <c r="J430" i="2"/>
  <c r="I430" i="2"/>
  <c r="BO429" i="2"/>
  <c r="S429" i="2"/>
  <c r="O429" i="2"/>
  <c r="N429" i="2"/>
  <c r="J429" i="2"/>
  <c r="I429" i="2"/>
  <c r="BO428" i="2"/>
  <c r="S428" i="2"/>
  <c r="O428" i="2"/>
  <c r="N428" i="2"/>
  <c r="J428" i="2"/>
  <c r="I428" i="2"/>
  <c r="BO427" i="2"/>
  <c r="S427" i="2"/>
  <c r="N427" i="2"/>
  <c r="O427" i="2" s="1"/>
  <c r="J427" i="2"/>
  <c r="I427" i="2"/>
  <c r="BO426" i="2"/>
  <c r="S426" i="2"/>
  <c r="N426" i="2"/>
  <c r="O426" i="2" s="1"/>
  <c r="J426" i="2"/>
  <c r="I426" i="2"/>
  <c r="BO425" i="2"/>
  <c r="S425" i="2"/>
  <c r="O425" i="2"/>
  <c r="N425" i="2"/>
  <c r="J425" i="2"/>
  <c r="I425" i="2"/>
  <c r="BO424" i="2"/>
  <c r="S424" i="2"/>
  <c r="O424" i="2"/>
  <c r="N424" i="2"/>
  <c r="J424" i="2"/>
  <c r="I424" i="2"/>
  <c r="BO423" i="2"/>
  <c r="S423" i="2"/>
  <c r="N423" i="2"/>
  <c r="O423" i="2" s="1"/>
  <c r="J423" i="2"/>
  <c r="I423" i="2"/>
  <c r="BO422" i="2"/>
  <c r="S422" i="2"/>
  <c r="N422" i="2"/>
  <c r="O422" i="2" s="1"/>
  <c r="J422" i="2"/>
  <c r="I422" i="2"/>
  <c r="BO421" i="2"/>
  <c r="S421" i="2"/>
  <c r="O421" i="2"/>
  <c r="N421" i="2"/>
  <c r="J421" i="2"/>
  <c r="I421" i="2"/>
  <c r="BO420" i="2"/>
  <c r="S420" i="2"/>
  <c r="O420" i="2"/>
  <c r="N420" i="2"/>
  <c r="J420" i="2"/>
  <c r="I420" i="2"/>
  <c r="BO419" i="2"/>
  <c r="S419" i="2"/>
  <c r="N419" i="2"/>
  <c r="O419" i="2" s="1"/>
  <c r="J419" i="2"/>
  <c r="I419" i="2"/>
  <c r="BO418" i="2"/>
  <c r="S418" i="2"/>
  <c r="N418" i="2"/>
  <c r="O418" i="2" s="1"/>
  <c r="J418" i="2"/>
  <c r="I418" i="2"/>
  <c r="BO417" i="2"/>
  <c r="S417" i="2"/>
  <c r="O417" i="2"/>
  <c r="N417" i="2"/>
  <c r="J417" i="2"/>
  <c r="I417" i="2"/>
  <c r="BO416" i="2"/>
  <c r="S416" i="2"/>
  <c r="O416" i="2"/>
  <c r="N416" i="2"/>
  <c r="J416" i="2"/>
  <c r="I416" i="2"/>
  <c r="BO415" i="2"/>
  <c r="S415" i="2"/>
  <c r="N415" i="2"/>
  <c r="O415" i="2" s="1"/>
  <c r="J415" i="2"/>
  <c r="I415" i="2"/>
  <c r="BO414" i="2"/>
  <c r="S414" i="2"/>
  <c r="N414" i="2"/>
  <c r="O414" i="2" s="1"/>
  <c r="J414" i="2"/>
  <c r="I414" i="2"/>
  <c r="BO413" i="2"/>
  <c r="S413" i="2"/>
  <c r="O413" i="2"/>
  <c r="N413" i="2"/>
  <c r="J413" i="2"/>
  <c r="I413" i="2"/>
  <c r="BO412" i="2"/>
  <c r="S412" i="2"/>
  <c r="O412" i="2"/>
  <c r="N412" i="2"/>
  <c r="J412" i="2"/>
  <c r="I412" i="2"/>
  <c r="BO411" i="2"/>
  <c r="S411" i="2"/>
  <c r="N411" i="2"/>
  <c r="O411" i="2" s="1"/>
  <c r="J411" i="2"/>
  <c r="I411" i="2"/>
  <c r="BO410" i="2"/>
  <c r="S410" i="2"/>
  <c r="N410" i="2"/>
  <c r="O410" i="2" s="1"/>
  <c r="J410" i="2"/>
  <c r="I410" i="2"/>
  <c r="BO409" i="2"/>
  <c r="S409" i="2"/>
  <c r="O409" i="2"/>
  <c r="N409" i="2"/>
  <c r="J409" i="2"/>
  <c r="I409" i="2"/>
  <c r="BO408" i="2"/>
  <c r="S408" i="2"/>
  <c r="O408" i="2"/>
  <c r="N408" i="2"/>
  <c r="J408" i="2"/>
  <c r="I408" i="2"/>
  <c r="BO407" i="2"/>
  <c r="S407" i="2"/>
  <c r="N407" i="2"/>
  <c r="O407" i="2" s="1"/>
  <c r="J407" i="2"/>
  <c r="I407" i="2"/>
  <c r="BO406" i="2"/>
  <c r="S406" i="2"/>
  <c r="N406" i="2"/>
  <c r="O406" i="2" s="1"/>
  <c r="J406" i="2"/>
  <c r="I406" i="2"/>
  <c r="BO405" i="2"/>
  <c r="S405" i="2"/>
  <c r="O405" i="2"/>
  <c r="N405" i="2"/>
  <c r="J405" i="2"/>
  <c r="I405" i="2"/>
  <c r="BO404" i="2"/>
  <c r="S404" i="2"/>
  <c r="O404" i="2"/>
  <c r="N404" i="2"/>
  <c r="J404" i="2"/>
  <c r="I404" i="2"/>
  <c r="BO403" i="2"/>
  <c r="S403" i="2"/>
  <c r="N403" i="2"/>
  <c r="O403" i="2" s="1"/>
  <c r="J403" i="2"/>
  <c r="I403" i="2"/>
  <c r="BO402" i="2"/>
  <c r="S402" i="2"/>
  <c r="N402" i="2"/>
  <c r="O402" i="2" s="1"/>
  <c r="J402" i="2"/>
  <c r="I402" i="2"/>
  <c r="BO401" i="2"/>
  <c r="S401" i="2"/>
  <c r="O401" i="2"/>
  <c r="N401" i="2"/>
  <c r="J401" i="2"/>
  <c r="I401" i="2"/>
  <c r="BO400" i="2"/>
  <c r="S400" i="2"/>
  <c r="O400" i="2"/>
  <c r="N400" i="2"/>
  <c r="J400" i="2"/>
  <c r="I400" i="2"/>
  <c r="BO399" i="2"/>
  <c r="S399" i="2"/>
  <c r="N399" i="2"/>
  <c r="O399" i="2" s="1"/>
  <c r="J399" i="2"/>
  <c r="I399" i="2"/>
  <c r="BO398" i="2"/>
  <c r="S398" i="2"/>
  <c r="N398" i="2"/>
  <c r="O398" i="2" s="1"/>
  <c r="J398" i="2"/>
  <c r="I398" i="2"/>
  <c r="BO397" i="2"/>
  <c r="S397" i="2"/>
  <c r="O397" i="2"/>
  <c r="N397" i="2"/>
  <c r="J397" i="2"/>
  <c r="I397" i="2"/>
  <c r="BO396" i="2"/>
  <c r="S396" i="2"/>
  <c r="O396" i="2"/>
  <c r="N396" i="2"/>
  <c r="J396" i="2"/>
  <c r="I396" i="2"/>
  <c r="BO395" i="2"/>
  <c r="S395" i="2"/>
  <c r="N395" i="2"/>
  <c r="O395" i="2" s="1"/>
  <c r="J395" i="2"/>
  <c r="I395" i="2"/>
  <c r="BO394" i="2"/>
  <c r="S394" i="2"/>
  <c r="N394" i="2"/>
  <c r="O394" i="2" s="1"/>
  <c r="J394" i="2"/>
  <c r="I394" i="2"/>
  <c r="BO393" i="2"/>
  <c r="S393" i="2"/>
  <c r="O393" i="2"/>
  <c r="N393" i="2"/>
  <c r="J393" i="2"/>
  <c r="I393" i="2"/>
  <c r="BO392" i="2"/>
  <c r="S392" i="2"/>
  <c r="O392" i="2"/>
  <c r="N392" i="2"/>
  <c r="J392" i="2"/>
  <c r="I392" i="2"/>
  <c r="BO391" i="2"/>
  <c r="S391" i="2"/>
  <c r="N391" i="2"/>
  <c r="O391" i="2" s="1"/>
  <c r="J391" i="2"/>
  <c r="I391" i="2"/>
  <c r="BO390" i="2"/>
  <c r="S390" i="2"/>
  <c r="N390" i="2"/>
  <c r="O390" i="2" s="1"/>
  <c r="J390" i="2"/>
  <c r="I390" i="2"/>
  <c r="BO389" i="2"/>
  <c r="S389" i="2"/>
  <c r="O389" i="2"/>
  <c r="N389" i="2"/>
  <c r="J389" i="2"/>
  <c r="I389" i="2"/>
  <c r="BO388" i="2"/>
  <c r="S388" i="2"/>
  <c r="O388" i="2"/>
  <c r="N388" i="2"/>
  <c r="J388" i="2"/>
  <c r="I388" i="2"/>
  <c r="BO387" i="2"/>
  <c r="S387" i="2"/>
  <c r="N387" i="2"/>
  <c r="O387" i="2" s="1"/>
  <c r="J387" i="2"/>
  <c r="I387" i="2"/>
  <c r="BO386" i="2"/>
  <c r="S386" i="2"/>
  <c r="N386" i="2"/>
  <c r="O386" i="2" s="1"/>
  <c r="J386" i="2"/>
  <c r="I386" i="2"/>
  <c r="BO385" i="2"/>
  <c r="S385" i="2"/>
  <c r="O385" i="2"/>
  <c r="N385" i="2"/>
  <c r="J385" i="2"/>
  <c r="I385" i="2"/>
  <c r="BO384" i="2"/>
  <c r="S384" i="2"/>
  <c r="O384" i="2"/>
  <c r="N384" i="2"/>
  <c r="J384" i="2"/>
  <c r="I384" i="2"/>
  <c r="BO383" i="2"/>
  <c r="S383" i="2"/>
  <c r="N383" i="2"/>
  <c r="O383" i="2" s="1"/>
  <c r="J383" i="2"/>
  <c r="I383" i="2"/>
  <c r="BO382" i="2"/>
  <c r="S382" i="2"/>
  <c r="N382" i="2"/>
  <c r="O382" i="2" s="1"/>
  <c r="J382" i="2"/>
  <c r="I382" i="2"/>
  <c r="BO381" i="2"/>
  <c r="S381" i="2"/>
  <c r="O381" i="2"/>
  <c r="N381" i="2"/>
  <c r="J381" i="2"/>
  <c r="I381" i="2"/>
  <c r="BO380" i="2"/>
  <c r="S380" i="2"/>
  <c r="O380" i="2"/>
  <c r="N380" i="2"/>
  <c r="J380" i="2"/>
  <c r="I380" i="2"/>
  <c r="BO379" i="2"/>
  <c r="S379" i="2"/>
  <c r="N379" i="2"/>
  <c r="O379" i="2" s="1"/>
  <c r="J379" i="2"/>
  <c r="I379" i="2"/>
  <c r="BO378" i="2"/>
  <c r="S378" i="2"/>
  <c r="N378" i="2"/>
  <c r="O378" i="2" s="1"/>
  <c r="J378" i="2"/>
  <c r="I378" i="2"/>
  <c r="BO377" i="2"/>
  <c r="S377" i="2"/>
  <c r="O377" i="2"/>
  <c r="N377" i="2"/>
  <c r="J377" i="2"/>
  <c r="I377" i="2"/>
  <c r="BO376" i="2"/>
  <c r="S376" i="2"/>
  <c r="O376" i="2"/>
  <c r="N376" i="2"/>
  <c r="J376" i="2"/>
  <c r="I376" i="2"/>
  <c r="BO375" i="2"/>
  <c r="S375" i="2"/>
  <c r="N375" i="2"/>
  <c r="O375" i="2" s="1"/>
  <c r="J375" i="2"/>
  <c r="I375" i="2"/>
  <c r="BO374" i="2"/>
  <c r="S374" i="2"/>
  <c r="N374" i="2"/>
  <c r="O374" i="2" s="1"/>
  <c r="J374" i="2"/>
  <c r="I374" i="2"/>
  <c r="BO373" i="2"/>
  <c r="S373" i="2"/>
  <c r="O373" i="2"/>
  <c r="N373" i="2"/>
  <c r="J373" i="2"/>
  <c r="I373" i="2"/>
  <c r="BO372" i="2"/>
  <c r="S372" i="2"/>
  <c r="O372" i="2"/>
  <c r="N372" i="2"/>
  <c r="J372" i="2"/>
  <c r="I372" i="2"/>
  <c r="BO371" i="2"/>
  <c r="S371" i="2"/>
  <c r="N371" i="2"/>
  <c r="O371" i="2" s="1"/>
  <c r="J371" i="2"/>
  <c r="I371" i="2"/>
  <c r="BO370" i="2"/>
  <c r="S370" i="2"/>
  <c r="N370" i="2"/>
  <c r="O370" i="2" s="1"/>
  <c r="J370" i="2"/>
  <c r="I370" i="2"/>
  <c r="BO369" i="2"/>
  <c r="S369" i="2"/>
  <c r="O369" i="2"/>
  <c r="N369" i="2"/>
  <c r="J369" i="2"/>
  <c r="I369" i="2"/>
  <c r="BO368" i="2"/>
  <c r="S368" i="2"/>
  <c r="O368" i="2"/>
  <c r="N368" i="2"/>
  <c r="J368" i="2"/>
  <c r="I368" i="2"/>
  <c r="BO367" i="2"/>
  <c r="S367" i="2"/>
  <c r="N367" i="2"/>
  <c r="O367" i="2" s="1"/>
  <c r="J367" i="2"/>
  <c r="I367" i="2"/>
  <c r="BO366" i="2"/>
  <c r="S366" i="2"/>
  <c r="N366" i="2"/>
  <c r="O366" i="2" s="1"/>
  <c r="J366" i="2"/>
  <c r="I366" i="2"/>
  <c r="BO365" i="2"/>
  <c r="S365" i="2"/>
  <c r="O365" i="2"/>
  <c r="N365" i="2"/>
  <c r="J365" i="2"/>
  <c r="I365" i="2"/>
  <c r="BO364" i="2"/>
  <c r="S364" i="2"/>
  <c r="O364" i="2"/>
  <c r="N364" i="2"/>
  <c r="J364" i="2"/>
  <c r="I364" i="2"/>
  <c r="BO363" i="2"/>
  <c r="S363" i="2"/>
  <c r="N363" i="2"/>
  <c r="O363" i="2" s="1"/>
  <c r="J363" i="2"/>
  <c r="I363" i="2"/>
  <c r="BO362" i="2"/>
  <c r="S362" i="2"/>
  <c r="N362" i="2"/>
  <c r="O362" i="2" s="1"/>
  <c r="J362" i="2"/>
  <c r="I362" i="2"/>
  <c r="BO361" i="2"/>
  <c r="S361" i="2"/>
  <c r="O361" i="2"/>
  <c r="N361" i="2"/>
  <c r="J361" i="2"/>
  <c r="I361" i="2"/>
  <c r="BO360" i="2"/>
  <c r="S360" i="2"/>
  <c r="O360" i="2"/>
  <c r="N360" i="2"/>
  <c r="J360" i="2"/>
  <c r="I360" i="2"/>
  <c r="BO359" i="2"/>
  <c r="S359" i="2"/>
  <c r="N359" i="2"/>
  <c r="O359" i="2" s="1"/>
  <c r="J359" i="2"/>
  <c r="I359" i="2"/>
  <c r="BO358" i="2"/>
  <c r="S358" i="2"/>
  <c r="N358" i="2"/>
  <c r="O358" i="2" s="1"/>
  <c r="J358" i="2"/>
  <c r="I358" i="2"/>
  <c r="BO357" i="2"/>
  <c r="S357" i="2"/>
  <c r="O357" i="2"/>
  <c r="N357" i="2"/>
  <c r="J357" i="2"/>
  <c r="I357" i="2"/>
  <c r="BO356" i="2"/>
  <c r="S356" i="2"/>
  <c r="O356" i="2"/>
  <c r="N356" i="2"/>
  <c r="J356" i="2"/>
  <c r="I356" i="2"/>
  <c r="BO355" i="2"/>
  <c r="S355" i="2"/>
  <c r="N355" i="2"/>
  <c r="O355" i="2" s="1"/>
  <c r="J355" i="2"/>
  <c r="I355" i="2"/>
  <c r="BO354" i="2"/>
  <c r="S354" i="2"/>
  <c r="N354" i="2"/>
  <c r="O354" i="2" s="1"/>
  <c r="J354" i="2"/>
  <c r="I354" i="2"/>
  <c r="BO353" i="2"/>
  <c r="S353" i="2"/>
  <c r="O353" i="2"/>
  <c r="N353" i="2"/>
  <c r="J353" i="2"/>
  <c r="I353" i="2"/>
  <c r="BO352" i="2"/>
  <c r="S352" i="2"/>
  <c r="O352" i="2"/>
  <c r="N352" i="2"/>
  <c r="J352" i="2"/>
  <c r="I352" i="2"/>
  <c r="BO351" i="2"/>
  <c r="S351" i="2"/>
  <c r="N351" i="2"/>
  <c r="O351" i="2" s="1"/>
  <c r="J351" i="2"/>
  <c r="I351" i="2"/>
  <c r="BO350" i="2"/>
  <c r="S350" i="2"/>
  <c r="N350" i="2"/>
  <c r="O350" i="2" s="1"/>
  <c r="J350" i="2"/>
  <c r="I350" i="2"/>
  <c r="BO349" i="2"/>
  <c r="S349" i="2"/>
  <c r="O349" i="2"/>
  <c r="N349" i="2"/>
  <c r="J349" i="2"/>
  <c r="I349" i="2"/>
  <c r="BO348" i="2"/>
  <c r="S348" i="2"/>
  <c r="O348" i="2"/>
  <c r="N348" i="2"/>
  <c r="J348" i="2"/>
  <c r="I348" i="2"/>
  <c r="BO347" i="2"/>
  <c r="S347" i="2"/>
  <c r="N347" i="2"/>
  <c r="O347" i="2" s="1"/>
  <c r="J347" i="2"/>
  <c r="I347" i="2"/>
  <c r="BO346" i="2"/>
  <c r="S346" i="2"/>
  <c r="N346" i="2"/>
  <c r="O346" i="2" s="1"/>
  <c r="J346" i="2"/>
  <c r="I346" i="2"/>
  <c r="BO345" i="2"/>
  <c r="S345" i="2"/>
  <c r="O345" i="2"/>
  <c r="N345" i="2"/>
  <c r="J345" i="2"/>
  <c r="I345" i="2"/>
  <c r="BO344" i="2"/>
  <c r="S344" i="2"/>
  <c r="O344" i="2"/>
  <c r="N344" i="2"/>
  <c r="J344" i="2"/>
  <c r="I344" i="2"/>
  <c r="BO343" i="2"/>
  <c r="S343" i="2"/>
  <c r="N343" i="2"/>
  <c r="O343" i="2" s="1"/>
  <c r="J343" i="2"/>
  <c r="I343" i="2"/>
  <c r="BO342" i="2"/>
  <c r="S342" i="2"/>
  <c r="N342" i="2"/>
  <c r="O342" i="2" s="1"/>
  <c r="J342" i="2"/>
  <c r="I342" i="2"/>
  <c r="BO341" i="2"/>
  <c r="S341" i="2"/>
  <c r="O341" i="2"/>
  <c r="N341" i="2"/>
  <c r="J341" i="2"/>
  <c r="I341" i="2"/>
  <c r="BO340" i="2"/>
  <c r="S340" i="2"/>
  <c r="O340" i="2"/>
  <c r="N340" i="2"/>
  <c r="J340" i="2"/>
  <c r="I340" i="2"/>
  <c r="BO339" i="2"/>
  <c r="S339" i="2"/>
  <c r="N339" i="2"/>
  <c r="O339" i="2" s="1"/>
  <c r="J339" i="2"/>
  <c r="I339" i="2"/>
  <c r="BO338" i="2"/>
  <c r="S338" i="2"/>
  <c r="N338" i="2"/>
  <c r="O338" i="2" s="1"/>
  <c r="J338" i="2"/>
  <c r="I338" i="2"/>
  <c r="BO337" i="2"/>
  <c r="S337" i="2"/>
  <c r="O337" i="2"/>
  <c r="N337" i="2"/>
  <c r="J337" i="2"/>
  <c r="I337" i="2"/>
  <c r="BO336" i="2"/>
  <c r="S336" i="2"/>
  <c r="O336" i="2"/>
  <c r="N336" i="2"/>
  <c r="J336" i="2"/>
  <c r="I336" i="2"/>
  <c r="BO335" i="2"/>
  <c r="S335" i="2"/>
  <c r="N335" i="2"/>
  <c r="O335" i="2" s="1"/>
  <c r="J335" i="2"/>
  <c r="I335" i="2"/>
  <c r="BO334" i="2"/>
  <c r="S334" i="2"/>
  <c r="N334" i="2"/>
  <c r="O334" i="2" s="1"/>
  <c r="J334" i="2"/>
  <c r="I334" i="2"/>
  <c r="BO333" i="2"/>
  <c r="S333" i="2"/>
  <c r="O333" i="2"/>
  <c r="N333" i="2"/>
  <c r="J333" i="2"/>
  <c r="I333" i="2"/>
  <c r="BO332" i="2"/>
  <c r="S332" i="2"/>
  <c r="O332" i="2"/>
  <c r="N332" i="2"/>
  <c r="J332" i="2"/>
  <c r="I332" i="2"/>
  <c r="BO331" i="2"/>
  <c r="S331" i="2"/>
  <c r="N331" i="2"/>
  <c r="O331" i="2" s="1"/>
  <c r="J331" i="2"/>
  <c r="I331" i="2"/>
  <c r="BO330" i="2"/>
  <c r="S330" i="2"/>
  <c r="N330" i="2"/>
  <c r="O330" i="2" s="1"/>
  <c r="J330" i="2"/>
  <c r="I330" i="2"/>
  <c r="BO329" i="2"/>
  <c r="S329" i="2"/>
  <c r="O329" i="2"/>
  <c r="N329" i="2"/>
  <c r="J329" i="2"/>
  <c r="I329" i="2"/>
  <c r="BO328" i="2"/>
  <c r="S328" i="2"/>
  <c r="O328" i="2"/>
  <c r="N328" i="2"/>
  <c r="J328" i="2"/>
  <c r="I328" i="2"/>
  <c r="BO327" i="2"/>
  <c r="S327" i="2"/>
  <c r="N327" i="2"/>
  <c r="O327" i="2" s="1"/>
  <c r="J327" i="2"/>
  <c r="I327" i="2"/>
  <c r="BO326" i="2"/>
  <c r="S326" i="2"/>
  <c r="N326" i="2"/>
  <c r="O326" i="2" s="1"/>
  <c r="J326" i="2"/>
  <c r="I326" i="2"/>
  <c r="BO325" i="2"/>
  <c r="S325" i="2"/>
  <c r="O325" i="2"/>
  <c r="N325" i="2"/>
  <c r="J325" i="2"/>
  <c r="I325" i="2"/>
  <c r="BO324" i="2"/>
  <c r="S324" i="2"/>
  <c r="O324" i="2"/>
  <c r="N324" i="2"/>
  <c r="J324" i="2"/>
  <c r="I324" i="2"/>
  <c r="BO323" i="2"/>
  <c r="S323" i="2"/>
  <c r="N323" i="2"/>
  <c r="O323" i="2" s="1"/>
  <c r="J323" i="2"/>
  <c r="I323" i="2"/>
  <c r="BO322" i="2"/>
  <c r="S322" i="2"/>
  <c r="N322" i="2"/>
  <c r="O322" i="2" s="1"/>
  <c r="J322" i="2"/>
  <c r="I322" i="2"/>
  <c r="BO321" i="2"/>
  <c r="S321" i="2"/>
  <c r="O321" i="2"/>
  <c r="N321" i="2"/>
  <c r="J321" i="2"/>
  <c r="I321" i="2"/>
  <c r="BO320" i="2"/>
  <c r="S320" i="2"/>
  <c r="O320" i="2"/>
  <c r="N320" i="2"/>
  <c r="J320" i="2"/>
  <c r="I320" i="2"/>
  <c r="BO319" i="2"/>
  <c r="S319" i="2"/>
  <c r="N319" i="2"/>
  <c r="O319" i="2" s="1"/>
  <c r="J319" i="2"/>
  <c r="I319" i="2"/>
  <c r="BO318" i="2"/>
  <c r="S318" i="2"/>
  <c r="N318" i="2"/>
  <c r="O318" i="2" s="1"/>
  <c r="J318" i="2"/>
  <c r="I318" i="2"/>
  <c r="BO317" i="2"/>
  <c r="S317" i="2"/>
  <c r="O317" i="2"/>
  <c r="N317" i="2"/>
  <c r="J317" i="2"/>
  <c r="I317" i="2"/>
  <c r="BO316" i="2"/>
  <c r="S316" i="2"/>
  <c r="O316" i="2"/>
  <c r="N316" i="2"/>
  <c r="J316" i="2"/>
  <c r="I316" i="2"/>
  <c r="BO315" i="2"/>
  <c r="S315" i="2"/>
  <c r="N315" i="2"/>
  <c r="O315" i="2" s="1"/>
  <c r="J315" i="2"/>
  <c r="I315" i="2"/>
  <c r="BO314" i="2"/>
  <c r="S314" i="2"/>
  <c r="N314" i="2"/>
  <c r="O314" i="2" s="1"/>
  <c r="J314" i="2"/>
  <c r="I314" i="2"/>
  <c r="BO313" i="2"/>
  <c r="S313" i="2"/>
  <c r="O313" i="2"/>
  <c r="N313" i="2"/>
  <c r="J313" i="2"/>
  <c r="I313" i="2"/>
  <c r="BO312" i="2"/>
  <c r="S312" i="2"/>
  <c r="O312" i="2"/>
  <c r="N312" i="2"/>
  <c r="J312" i="2"/>
  <c r="I312" i="2"/>
  <c r="BO311" i="2"/>
  <c r="S311" i="2"/>
  <c r="N311" i="2"/>
  <c r="O311" i="2" s="1"/>
  <c r="J311" i="2"/>
  <c r="I311" i="2"/>
  <c r="BO310" i="2"/>
  <c r="S310" i="2"/>
  <c r="N310" i="2"/>
  <c r="O310" i="2" s="1"/>
  <c r="J310" i="2"/>
  <c r="I310" i="2"/>
  <c r="BO309" i="2"/>
  <c r="S309" i="2"/>
  <c r="O309" i="2"/>
  <c r="N309" i="2"/>
  <c r="J309" i="2"/>
  <c r="I309" i="2"/>
  <c r="BO308" i="2"/>
  <c r="S308" i="2"/>
  <c r="O308" i="2"/>
  <c r="N308" i="2"/>
  <c r="J308" i="2"/>
  <c r="I308" i="2"/>
  <c r="BO307" i="2"/>
  <c r="S307" i="2"/>
  <c r="N307" i="2"/>
  <c r="O307" i="2" s="1"/>
  <c r="J307" i="2"/>
  <c r="I307" i="2"/>
  <c r="BO306" i="2"/>
  <c r="S306" i="2"/>
  <c r="N306" i="2"/>
  <c r="O306" i="2" s="1"/>
  <c r="J306" i="2"/>
  <c r="I306" i="2"/>
  <c r="BO305" i="2"/>
  <c r="S305" i="2"/>
  <c r="O305" i="2"/>
  <c r="N305" i="2"/>
  <c r="J305" i="2"/>
  <c r="I305" i="2"/>
  <c r="BO304" i="2"/>
  <c r="S304" i="2"/>
  <c r="O304" i="2"/>
  <c r="N304" i="2"/>
  <c r="J304" i="2"/>
  <c r="I304" i="2"/>
  <c r="BO303" i="2"/>
  <c r="S303" i="2"/>
  <c r="N303" i="2"/>
  <c r="O303" i="2" s="1"/>
  <c r="J303" i="2"/>
  <c r="I303" i="2"/>
  <c r="BO302" i="2"/>
  <c r="S302" i="2"/>
  <c r="N302" i="2"/>
  <c r="O302" i="2" s="1"/>
  <c r="J302" i="2"/>
  <c r="I302" i="2"/>
  <c r="BO301" i="2"/>
  <c r="S301" i="2"/>
  <c r="O301" i="2"/>
  <c r="N301" i="2"/>
  <c r="J301" i="2"/>
  <c r="I301" i="2"/>
  <c r="BO300" i="2"/>
  <c r="S300" i="2"/>
  <c r="O300" i="2"/>
  <c r="N300" i="2"/>
  <c r="J300" i="2"/>
  <c r="I300" i="2"/>
  <c r="BO299" i="2"/>
  <c r="S299" i="2"/>
  <c r="N299" i="2"/>
  <c r="O299" i="2" s="1"/>
  <c r="J299" i="2"/>
  <c r="I299" i="2"/>
  <c r="BO298" i="2"/>
  <c r="S298" i="2"/>
  <c r="N298" i="2"/>
  <c r="O298" i="2" s="1"/>
  <c r="J298" i="2"/>
  <c r="I298" i="2"/>
  <c r="BO297" i="2"/>
  <c r="S297" i="2"/>
  <c r="O297" i="2"/>
  <c r="N297" i="2"/>
  <c r="J297" i="2"/>
  <c r="I297" i="2"/>
  <c r="BO296" i="2"/>
  <c r="S296" i="2"/>
  <c r="O296" i="2"/>
  <c r="N296" i="2"/>
  <c r="J296" i="2"/>
  <c r="I296" i="2"/>
  <c r="BO295" i="2"/>
  <c r="S295" i="2"/>
  <c r="N295" i="2"/>
  <c r="O295" i="2" s="1"/>
  <c r="J295" i="2"/>
  <c r="I295" i="2"/>
  <c r="BO294" i="2"/>
  <c r="S294" i="2"/>
  <c r="N294" i="2"/>
  <c r="O294" i="2" s="1"/>
  <c r="J294" i="2"/>
  <c r="I294" i="2"/>
  <c r="BO293" i="2"/>
  <c r="S293" i="2"/>
  <c r="O293" i="2"/>
  <c r="N293" i="2"/>
  <c r="J293" i="2"/>
  <c r="I293" i="2"/>
  <c r="BO292" i="2"/>
  <c r="S292" i="2"/>
  <c r="O292" i="2"/>
  <c r="N292" i="2"/>
  <c r="J292" i="2"/>
  <c r="I292" i="2"/>
  <c r="BO291" i="2"/>
  <c r="S291" i="2"/>
  <c r="N291" i="2"/>
  <c r="O291" i="2" s="1"/>
  <c r="J291" i="2"/>
  <c r="I291" i="2"/>
  <c r="BO290" i="2"/>
  <c r="S290" i="2"/>
  <c r="N290" i="2"/>
  <c r="O290" i="2" s="1"/>
  <c r="J290" i="2"/>
  <c r="I290" i="2"/>
  <c r="BO289" i="2"/>
  <c r="S289" i="2"/>
  <c r="O289" i="2"/>
  <c r="N289" i="2"/>
  <c r="J289" i="2"/>
  <c r="I289" i="2"/>
  <c r="BO288" i="2"/>
  <c r="S288" i="2"/>
  <c r="O288" i="2"/>
  <c r="N288" i="2"/>
  <c r="J288" i="2"/>
  <c r="I288" i="2"/>
  <c r="BO287" i="2"/>
  <c r="S287" i="2"/>
  <c r="N287" i="2"/>
  <c r="O287" i="2" s="1"/>
  <c r="J287" i="2"/>
  <c r="I287" i="2"/>
  <c r="BO286" i="2"/>
  <c r="S286" i="2"/>
  <c r="N286" i="2"/>
  <c r="O286" i="2" s="1"/>
  <c r="J286" i="2"/>
  <c r="I286" i="2"/>
  <c r="BO285" i="2"/>
  <c r="S285" i="2"/>
  <c r="O285" i="2"/>
  <c r="N285" i="2"/>
  <c r="J285" i="2"/>
  <c r="I285" i="2"/>
  <c r="BO284" i="2"/>
  <c r="S284" i="2"/>
  <c r="O284" i="2"/>
  <c r="N284" i="2"/>
  <c r="J284" i="2"/>
  <c r="I284" i="2"/>
  <c r="BO283" i="2"/>
  <c r="S283" i="2"/>
  <c r="N283" i="2"/>
  <c r="O283" i="2" s="1"/>
  <c r="J283" i="2"/>
  <c r="I283" i="2"/>
  <c r="BO282" i="2"/>
  <c r="S282" i="2"/>
  <c r="N282" i="2"/>
  <c r="O282" i="2" s="1"/>
  <c r="J282" i="2"/>
  <c r="I282" i="2"/>
  <c r="BO281" i="2"/>
  <c r="S281" i="2"/>
  <c r="O281" i="2"/>
  <c r="N281" i="2"/>
  <c r="J281" i="2"/>
  <c r="I281" i="2"/>
  <c r="BO280" i="2"/>
  <c r="S280" i="2"/>
  <c r="O280" i="2"/>
  <c r="N280" i="2"/>
  <c r="J280" i="2"/>
  <c r="I280" i="2"/>
  <c r="BO279" i="2"/>
  <c r="S279" i="2"/>
  <c r="N279" i="2"/>
  <c r="O279" i="2" s="1"/>
  <c r="J279" i="2"/>
  <c r="I279" i="2"/>
  <c r="BO278" i="2"/>
  <c r="S278" i="2"/>
  <c r="N278" i="2"/>
  <c r="O278" i="2" s="1"/>
  <c r="J278" i="2"/>
  <c r="I278" i="2"/>
  <c r="BO277" i="2"/>
  <c r="S277" i="2"/>
  <c r="O277" i="2"/>
  <c r="N277" i="2"/>
  <c r="J277" i="2"/>
  <c r="I277" i="2"/>
  <c r="BO276" i="2"/>
  <c r="S276" i="2"/>
  <c r="O276" i="2"/>
  <c r="N276" i="2"/>
  <c r="J276" i="2"/>
  <c r="I276" i="2"/>
  <c r="BO275" i="2"/>
  <c r="S275" i="2"/>
  <c r="N275" i="2"/>
  <c r="O275" i="2" s="1"/>
  <c r="J275" i="2"/>
  <c r="I275" i="2"/>
  <c r="BO274" i="2"/>
  <c r="S274" i="2"/>
  <c r="N274" i="2"/>
  <c r="O274" i="2" s="1"/>
  <c r="J274" i="2"/>
  <c r="I274" i="2"/>
  <c r="BO273" i="2"/>
  <c r="S273" i="2"/>
  <c r="O273" i="2"/>
  <c r="N273" i="2"/>
  <c r="J273" i="2"/>
  <c r="I273" i="2"/>
  <c r="BO272" i="2"/>
  <c r="S272" i="2"/>
  <c r="O272" i="2"/>
  <c r="N272" i="2"/>
  <c r="J272" i="2"/>
  <c r="I272" i="2"/>
  <c r="BO271" i="2"/>
  <c r="S271" i="2"/>
  <c r="N271" i="2"/>
  <c r="O271" i="2" s="1"/>
  <c r="J271" i="2"/>
  <c r="I271" i="2"/>
  <c r="BO270" i="2"/>
  <c r="S270" i="2"/>
  <c r="N270" i="2"/>
  <c r="O270" i="2" s="1"/>
  <c r="J270" i="2"/>
  <c r="I270" i="2"/>
  <c r="BO269" i="2"/>
  <c r="S269" i="2"/>
  <c r="O269" i="2"/>
  <c r="N269" i="2"/>
  <c r="J269" i="2"/>
  <c r="I269" i="2"/>
  <c r="BO268" i="2"/>
  <c r="S268" i="2"/>
  <c r="O268" i="2"/>
  <c r="N268" i="2"/>
  <c r="J268" i="2"/>
  <c r="I268" i="2"/>
  <c r="BO267" i="2"/>
  <c r="S267" i="2"/>
  <c r="N267" i="2"/>
  <c r="O267" i="2" s="1"/>
  <c r="J267" i="2"/>
  <c r="I267" i="2"/>
  <c r="BO266" i="2"/>
  <c r="S266" i="2"/>
  <c r="N266" i="2"/>
  <c r="O266" i="2" s="1"/>
  <c r="J266" i="2"/>
  <c r="I266" i="2"/>
  <c r="BO265" i="2"/>
  <c r="S265" i="2"/>
  <c r="O265" i="2"/>
  <c r="N265" i="2"/>
  <c r="J265" i="2"/>
  <c r="I265" i="2"/>
  <c r="BO264" i="2"/>
  <c r="S264" i="2"/>
  <c r="O264" i="2"/>
  <c r="N264" i="2"/>
  <c r="J264" i="2"/>
  <c r="I264" i="2"/>
  <c r="BO263" i="2"/>
  <c r="S263" i="2"/>
  <c r="N263" i="2"/>
  <c r="O263" i="2" s="1"/>
  <c r="J263" i="2"/>
  <c r="I263" i="2"/>
  <c r="BO262" i="2"/>
  <c r="S262" i="2"/>
  <c r="N262" i="2"/>
  <c r="O262" i="2" s="1"/>
  <c r="J262" i="2"/>
  <c r="I262" i="2"/>
  <c r="BO261" i="2"/>
  <c r="S261" i="2"/>
  <c r="O261" i="2"/>
  <c r="N261" i="2"/>
  <c r="J261" i="2"/>
  <c r="I261" i="2"/>
  <c r="BO260" i="2"/>
  <c r="S260" i="2"/>
  <c r="O260" i="2"/>
  <c r="N260" i="2"/>
  <c r="J260" i="2"/>
  <c r="I260" i="2"/>
  <c r="BO259" i="2"/>
  <c r="S259" i="2"/>
  <c r="N259" i="2"/>
  <c r="O259" i="2" s="1"/>
  <c r="J259" i="2"/>
  <c r="I259" i="2"/>
  <c r="BO258" i="2"/>
  <c r="S258" i="2"/>
  <c r="N258" i="2"/>
  <c r="O258" i="2" s="1"/>
  <c r="J258" i="2"/>
  <c r="I258" i="2"/>
  <c r="BO257" i="2"/>
  <c r="S257" i="2"/>
  <c r="O257" i="2"/>
  <c r="N257" i="2"/>
  <c r="J257" i="2"/>
  <c r="I257" i="2"/>
  <c r="BO256" i="2"/>
  <c r="S256" i="2"/>
  <c r="O256" i="2"/>
  <c r="N256" i="2"/>
  <c r="J256" i="2"/>
  <c r="I256" i="2"/>
  <c r="BO255" i="2"/>
  <c r="S255" i="2"/>
  <c r="N255" i="2"/>
  <c r="O255" i="2" s="1"/>
  <c r="J255" i="2"/>
  <c r="I255" i="2"/>
  <c r="BO254" i="2"/>
  <c r="S254" i="2"/>
  <c r="N254" i="2"/>
  <c r="O254" i="2" s="1"/>
  <c r="J254" i="2"/>
  <c r="I254" i="2"/>
  <c r="BO253" i="2"/>
  <c r="S253" i="2"/>
  <c r="O253" i="2"/>
  <c r="N253" i="2"/>
  <c r="J253" i="2"/>
  <c r="I253" i="2"/>
  <c r="BO252" i="2"/>
  <c r="S252" i="2"/>
  <c r="O252" i="2"/>
  <c r="N252" i="2"/>
  <c r="J252" i="2"/>
  <c r="I252" i="2"/>
  <c r="BO251" i="2"/>
  <c r="S251" i="2"/>
  <c r="N251" i="2"/>
  <c r="O251" i="2" s="1"/>
  <c r="J251" i="2"/>
  <c r="I251" i="2"/>
  <c r="BO250" i="2"/>
  <c r="S250" i="2"/>
  <c r="N250" i="2"/>
  <c r="O250" i="2" s="1"/>
  <c r="J250" i="2"/>
  <c r="I250" i="2"/>
  <c r="BO249" i="2"/>
  <c r="S249" i="2"/>
  <c r="O249" i="2"/>
  <c r="N249" i="2"/>
  <c r="J249" i="2"/>
  <c r="I249" i="2"/>
  <c r="BO248" i="2"/>
  <c r="S248" i="2"/>
  <c r="O248" i="2"/>
  <c r="N248" i="2"/>
  <c r="J248" i="2"/>
  <c r="I248" i="2"/>
  <c r="BO247" i="2"/>
  <c r="S247" i="2"/>
  <c r="N247" i="2"/>
  <c r="O247" i="2" s="1"/>
  <c r="J247" i="2"/>
  <c r="I247" i="2"/>
  <c r="BO246" i="2"/>
  <c r="S246" i="2"/>
  <c r="N246" i="2"/>
  <c r="O246" i="2" s="1"/>
  <c r="J246" i="2"/>
  <c r="I246" i="2"/>
  <c r="BO245" i="2"/>
  <c r="S245" i="2"/>
  <c r="O245" i="2"/>
  <c r="N245" i="2"/>
  <c r="J245" i="2"/>
  <c r="I245" i="2"/>
  <c r="BO244" i="2"/>
  <c r="S244" i="2"/>
  <c r="O244" i="2"/>
  <c r="N244" i="2"/>
  <c r="J244" i="2"/>
  <c r="I244" i="2"/>
  <c r="BO243" i="2"/>
  <c r="S243" i="2"/>
  <c r="N243" i="2"/>
  <c r="O243" i="2" s="1"/>
  <c r="J243" i="2"/>
  <c r="I243" i="2"/>
  <c r="BO242" i="2"/>
  <c r="S242" i="2"/>
  <c r="N242" i="2"/>
  <c r="O242" i="2" s="1"/>
  <c r="J242" i="2"/>
  <c r="I242" i="2"/>
  <c r="BO241" i="2"/>
  <c r="S241" i="2"/>
  <c r="O241" i="2"/>
  <c r="N241" i="2"/>
  <c r="J241" i="2"/>
  <c r="I241" i="2"/>
  <c r="BO240" i="2"/>
  <c r="S240" i="2"/>
  <c r="O240" i="2"/>
  <c r="N240" i="2"/>
  <c r="J240" i="2"/>
  <c r="I240" i="2"/>
  <c r="BO239" i="2"/>
  <c r="S239" i="2"/>
  <c r="N239" i="2"/>
  <c r="O239" i="2" s="1"/>
  <c r="J239" i="2"/>
  <c r="I239" i="2"/>
  <c r="BO238" i="2"/>
  <c r="S238" i="2"/>
  <c r="N238" i="2"/>
  <c r="O238" i="2" s="1"/>
  <c r="J238" i="2"/>
  <c r="I238" i="2"/>
  <c r="BO237" i="2"/>
  <c r="S237" i="2"/>
  <c r="O237" i="2"/>
  <c r="N237" i="2"/>
  <c r="J237" i="2"/>
  <c r="I237" i="2"/>
  <c r="BO236" i="2"/>
  <c r="S236" i="2"/>
  <c r="O236" i="2"/>
  <c r="N236" i="2"/>
  <c r="J236" i="2"/>
  <c r="I236" i="2"/>
  <c r="BO235" i="2"/>
  <c r="S235" i="2"/>
  <c r="N235" i="2"/>
  <c r="O235" i="2" s="1"/>
  <c r="J235" i="2"/>
  <c r="I235" i="2"/>
  <c r="BO234" i="2"/>
  <c r="S234" i="2"/>
  <c r="N234" i="2"/>
  <c r="O234" i="2" s="1"/>
  <c r="J234" i="2"/>
  <c r="I234" i="2"/>
  <c r="BO233" i="2"/>
  <c r="S233" i="2"/>
  <c r="O233" i="2"/>
  <c r="N233" i="2"/>
  <c r="J233" i="2"/>
  <c r="I233" i="2"/>
  <c r="BO232" i="2"/>
  <c r="S232" i="2"/>
  <c r="O232" i="2"/>
  <c r="N232" i="2"/>
  <c r="J232" i="2"/>
  <c r="I232" i="2"/>
  <c r="BO231" i="2"/>
  <c r="S231" i="2"/>
  <c r="N231" i="2"/>
  <c r="O231" i="2" s="1"/>
  <c r="J231" i="2"/>
  <c r="I231" i="2"/>
  <c r="BO230" i="2"/>
  <c r="J230" i="2" s="1"/>
  <c r="S230" i="2"/>
  <c r="N230" i="2"/>
  <c r="O230" i="2" s="1"/>
  <c r="I230" i="2"/>
  <c r="BO229" i="2"/>
  <c r="S229" i="2"/>
  <c r="O229" i="2"/>
  <c r="N229" i="2"/>
  <c r="J229" i="2"/>
  <c r="I229" i="2"/>
  <c r="BO228" i="2"/>
  <c r="S228" i="2"/>
  <c r="O228" i="2"/>
  <c r="N228" i="2"/>
  <c r="J228" i="2"/>
  <c r="I228" i="2"/>
  <c r="BO227" i="2"/>
  <c r="S227" i="2"/>
  <c r="N227" i="2"/>
  <c r="O227" i="2" s="1"/>
  <c r="J227" i="2"/>
  <c r="I227" i="2"/>
  <c r="BO226" i="2"/>
  <c r="S226" i="2"/>
  <c r="N226" i="2"/>
  <c r="O226" i="2" s="1"/>
  <c r="J226" i="2"/>
  <c r="I226" i="2"/>
  <c r="BO225" i="2"/>
  <c r="S225" i="2"/>
  <c r="O225" i="2"/>
  <c r="N225" i="2"/>
  <c r="J225" i="2"/>
  <c r="I225" i="2"/>
  <c r="BO224" i="2"/>
  <c r="S224" i="2"/>
  <c r="O224" i="2"/>
  <c r="N224" i="2"/>
  <c r="J224" i="2"/>
  <c r="I224" i="2"/>
  <c r="BO223" i="2"/>
  <c r="S223" i="2"/>
  <c r="N223" i="2"/>
  <c r="O223" i="2" s="1"/>
  <c r="J223" i="2"/>
  <c r="I223" i="2"/>
  <c r="BO222" i="2"/>
  <c r="J222" i="2" s="1"/>
  <c r="S222" i="2"/>
  <c r="N222" i="2"/>
  <c r="O222" i="2" s="1"/>
  <c r="I222" i="2"/>
  <c r="BO221" i="2"/>
  <c r="S221" i="2"/>
  <c r="O221" i="2"/>
  <c r="N221" i="2"/>
  <c r="J221" i="2"/>
  <c r="I221" i="2"/>
  <c r="BO220" i="2"/>
  <c r="S220" i="2"/>
  <c r="O220" i="2"/>
  <c r="N220" i="2"/>
  <c r="J220" i="2"/>
  <c r="I220" i="2"/>
  <c r="BO219" i="2"/>
  <c r="S219" i="2"/>
  <c r="N219" i="2"/>
  <c r="O219" i="2" s="1"/>
  <c r="J219" i="2"/>
  <c r="I219" i="2"/>
  <c r="BO218" i="2"/>
  <c r="J218" i="2" s="1"/>
  <c r="S218" i="2"/>
  <c r="N218" i="2"/>
  <c r="O218" i="2" s="1"/>
  <c r="I218" i="2"/>
  <c r="BO217" i="2"/>
  <c r="S217" i="2"/>
  <c r="O217" i="2"/>
  <c r="N217" i="2"/>
  <c r="J217" i="2"/>
  <c r="I217" i="2"/>
  <c r="BO216" i="2"/>
  <c r="S216" i="2"/>
  <c r="O216" i="2"/>
  <c r="N216" i="2"/>
  <c r="J216" i="2"/>
  <c r="I216" i="2"/>
  <c r="BO215" i="2"/>
  <c r="S215" i="2"/>
  <c r="N215" i="2"/>
  <c r="O215" i="2" s="1"/>
  <c r="J215" i="2"/>
  <c r="I215" i="2"/>
  <c r="BO214" i="2"/>
  <c r="J214" i="2" s="1"/>
  <c r="S214" i="2"/>
  <c r="N214" i="2"/>
  <c r="O214" i="2" s="1"/>
  <c r="I214" i="2"/>
  <c r="BO213" i="2"/>
  <c r="S213" i="2"/>
  <c r="O213" i="2"/>
  <c r="N213" i="2"/>
  <c r="J213" i="2"/>
  <c r="I213" i="2"/>
  <c r="BO212" i="2"/>
  <c r="S212" i="2"/>
  <c r="O212" i="2"/>
  <c r="N212" i="2"/>
  <c r="J212" i="2"/>
  <c r="I212" i="2"/>
  <c r="BO211" i="2"/>
  <c r="S211" i="2"/>
  <c r="N211" i="2"/>
  <c r="O211" i="2" s="1"/>
  <c r="J211" i="2"/>
  <c r="I211" i="2"/>
  <c r="BO210" i="2"/>
  <c r="J210" i="2" s="1"/>
  <c r="S210" i="2"/>
  <c r="N210" i="2"/>
  <c r="O210" i="2" s="1"/>
  <c r="I210" i="2"/>
  <c r="BO209" i="2"/>
  <c r="S209" i="2"/>
  <c r="O209" i="2"/>
  <c r="N209" i="2"/>
  <c r="J209" i="2"/>
  <c r="I209" i="2"/>
  <c r="BO208" i="2"/>
  <c r="S208" i="2"/>
  <c r="O208" i="2"/>
  <c r="N208" i="2"/>
  <c r="J208" i="2"/>
  <c r="I208" i="2"/>
  <c r="BO207" i="2"/>
  <c r="S207" i="2"/>
  <c r="N207" i="2"/>
  <c r="O207" i="2" s="1"/>
  <c r="J207" i="2"/>
  <c r="I207" i="2"/>
  <c r="BO206" i="2"/>
  <c r="J206" i="2" s="1"/>
  <c r="S206" i="2"/>
  <c r="N206" i="2"/>
  <c r="O206" i="2" s="1"/>
  <c r="I206" i="2"/>
  <c r="BO205" i="2"/>
  <c r="S205" i="2"/>
  <c r="O205" i="2"/>
  <c r="N205" i="2"/>
  <c r="J205" i="2"/>
  <c r="I205" i="2"/>
  <c r="BO204" i="2"/>
  <c r="S204" i="2"/>
  <c r="O204" i="2"/>
  <c r="N204" i="2"/>
  <c r="J204" i="2"/>
  <c r="I204" i="2"/>
  <c r="BO203" i="2"/>
  <c r="S203" i="2"/>
  <c r="N203" i="2"/>
  <c r="O203" i="2" s="1"/>
  <c r="J203" i="2"/>
  <c r="I203" i="2"/>
  <c r="BO202" i="2"/>
  <c r="J202" i="2" s="1"/>
  <c r="S202" i="2"/>
  <c r="N202" i="2"/>
  <c r="O202" i="2" s="1"/>
  <c r="I202" i="2"/>
  <c r="BO201" i="2"/>
  <c r="S201" i="2"/>
  <c r="O201" i="2"/>
  <c r="N201" i="2"/>
  <c r="J201" i="2"/>
  <c r="I201" i="2"/>
  <c r="BO200" i="2"/>
  <c r="S200" i="2"/>
  <c r="O200" i="2"/>
  <c r="N200" i="2"/>
  <c r="J200" i="2"/>
  <c r="I200" i="2"/>
  <c r="BO199" i="2"/>
  <c r="S199" i="2"/>
  <c r="N199" i="2"/>
  <c r="O199" i="2" s="1"/>
  <c r="J199" i="2"/>
  <c r="I199" i="2"/>
  <c r="BO198" i="2"/>
  <c r="J198" i="2" s="1"/>
  <c r="S198" i="2"/>
  <c r="N198" i="2"/>
  <c r="O198" i="2" s="1"/>
  <c r="I198" i="2"/>
  <c r="BO197" i="2"/>
  <c r="S197" i="2"/>
  <c r="O197" i="2"/>
  <c r="N197" i="2"/>
  <c r="J197" i="2"/>
  <c r="I197" i="2"/>
  <c r="BO196" i="2"/>
  <c r="S196" i="2"/>
  <c r="O196" i="2"/>
  <c r="N196" i="2"/>
  <c r="J196" i="2"/>
  <c r="I196" i="2"/>
  <c r="BO195" i="2"/>
  <c r="S195" i="2"/>
  <c r="N195" i="2"/>
  <c r="O195" i="2" s="1"/>
  <c r="J195" i="2"/>
  <c r="I195" i="2"/>
  <c r="BO194" i="2"/>
  <c r="S194" i="2"/>
  <c r="N194" i="2"/>
  <c r="O194" i="2" s="1"/>
  <c r="J194" i="2"/>
  <c r="I194" i="2"/>
  <c r="BO193" i="2"/>
  <c r="S193" i="2"/>
  <c r="O193" i="2"/>
  <c r="N193" i="2"/>
  <c r="J193" i="2"/>
  <c r="I193" i="2"/>
  <c r="BO192" i="2"/>
  <c r="S192" i="2"/>
  <c r="O192" i="2"/>
  <c r="N192" i="2"/>
  <c r="J192" i="2"/>
  <c r="I192" i="2"/>
  <c r="BO191" i="2"/>
  <c r="S191" i="2"/>
  <c r="N191" i="2"/>
  <c r="O191" i="2" s="1"/>
  <c r="J191" i="2"/>
  <c r="I191" i="2"/>
  <c r="BO190" i="2"/>
  <c r="S190" i="2"/>
  <c r="N190" i="2"/>
  <c r="O190" i="2" s="1"/>
  <c r="J190" i="2"/>
  <c r="I190" i="2"/>
  <c r="BO189" i="2"/>
  <c r="S189" i="2"/>
  <c r="O189" i="2"/>
  <c r="N189" i="2"/>
  <c r="J189" i="2"/>
  <c r="I189" i="2"/>
  <c r="BO188" i="2"/>
  <c r="S188" i="2"/>
  <c r="O188" i="2"/>
  <c r="N188" i="2"/>
  <c r="J188" i="2"/>
  <c r="I188" i="2"/>
  <c r="BO187" i="2"/>
  <c r="S187" i="2"/>
  <c r="N187" i="2"/>
  <c r="O187" i="2" s="1"/>
  <c r="J187" i="2"/>
  <c r="I187" i="2"/>
  <c r="BO186" i="2"/>
  <c r="S186" i="2"/>
  <c r="N186" i="2"/>
  <c r="O186" i="2" s="1"/>
  <c r="J186" i="2"/>
  <c r="I186" i="2"/>
  <c r="BO185" i="2"/>
  <c r="S185" i="2"/>
  <c r="O185" i="2"/>
  <c r="N185" i="2"/>
  <c r="J185" i="2"/>
  <c r="I185" i="2"/>
  <c r="BO184" i="2"/>
  <c r="S184" i="2"/>
  <c r="O184" i="2"/>
  <c r="N184" i="2"/>
  <c r="J184" i="2"/>
  <c r="I184" i="2"/>
  <c r="BO183" i="2"/>
  <c r="S183" i="2"/>
  <c r="N183" i="2"/>
  <c r="O183" i="2" s="1"/>
  <c r="J183" i="2"/>
  <c r="I183" i="2"/>
  <c r="BO182" i="2"/>
  <c r="S182" i="2"/>
  <c r="N182" i="2"/>
  <c r="O182" i="2" s="1"/>
  <c r="J182" i="2"/>
  <c r="I182" i="2"/>
  <c r="BO181" i="2"/>
  <c r="S181" i="2"/>
  <c r="O181" i="2"/>
  <c r="N181" i="2"/>
  <c r="J181" i="2"/>
  <c r="I181" i="2"/>
  <c r="BO180" i="2"/>
  <c r="S180" i="2"/>
  <c r="O180" i="2"/>
  <c r="N180" i="2"/>
  <c r="J180" i="2"/>
  <c r="I180" i="2"/>
  <c r="BO179" i="2"/>
  <c r="S179" i="2"/>
  <c r="N179" i="2"/>
  <c r="O179" i="2" s="1"/>
  <c r="J179" i="2"/>
  <c r="I179" i="2"/>
  <c r="BO178" i="2"/>
  <c r="S178" i="2"/>
  <c r="N178" i="2"/>
  <c r="O178" i="2" s="1"/>
  <c r="J178" i="2"/>
  <c r="I178" i="2"/>
  <c r="BO177" i="2"/>
  <c r="S177" i="2"/>
  <c r="O177" i="2"/>
  <c r="N177" i="2"/>
  <c r="J177" i="2"/>
  <c r="I177" i="2"/>
  <c r="BO176" i="2"/>
  <c r="S176" i="2"/>
  <c r="O176" i="2"/>
  <c r="N176" i="2"/>
  <c r="J176" i="2"/>
  <c r="I176" i="2"/>
  <c r="BO175" i="2"/>
  <c r="S175" i="2"/>
  <c r="N175" i="2"/>
  <c r="O175" i="2" s="1"/>
  <c r="J175" i="2"/>
  <c r="I175" i="2"/>
  <c r="BO174" i="2"/>
  <c r="S174" i="2"/>
  <c r="N174" i="2"/>
  <c r="O174" i="2" s="1"/>
  <c r="J174" i="2"/>
  <c r="I174" i="2"/>
  <c r="BO173" i="2"/>
  <c r="S173" i="2"/>
  <c r="O173" i="2"/>
  <c r="N173" i="2"/>
  <c r="J173" i="2"/>
  <c r="I173" i="2"/>
  <c r="BO172" i="2"/>
  <c r="S172" i="2"/>
  <c r="O172" i="2"/>
  <c r="N172" i="2"/>
  <c r="J172" i="2"/>
  <c r="I172" i="2"/>
  <c r="BO171" i="2"/>
  <c r="S171" i="2"/>
  <c r="N171" i="2"/>
  <c r="O171" i="2" s="1"/>
  <c r="J171" i="2"/>
  <c r="I171" i="2"/>
  <c r="BO170" i="2"/>
  <c r="S170" i="2"/>
  <c r="N170" i="2"/>
  <c r="O170" i="2" s="1"/>
  <c r="J170" i="2"/>
  <c r="I170" i="2"/>
  <c r="BO169" i="2"/>
  <c r="S169" i="2"/>
  <c r="O169" i="2"/>
  <c r="N169" i="2"/>
  <c r="J169" i="2"/>
  <c r="I169" i="2"/>
  <c r="BO168" i="2"/>
  <c r="S168" i="2"/>
  <c r="O168" i="2"/>
  <c r="N168" i="2"/>
  <c r="J168" i="2"/>
  <c r="I168" i="2"/>
  <c r="BO167" i="2"/>
  <c r="S167" i="2"/>
  <c r="N167" i="2"/>
  <c r="O167" i="2" s="1"/>
  <c r="J167" i="2"/>
  <c r="I167" i="2"/>
  <c r="BO166" i="2"/>
  <c r="S166" i="2"/>
  <c r="N166" i="2"/>
  <c r="O166" i="2" s="1"/>
  <c r="J166" i="2"/>
  <c r="I166" i="2"/>
  <c r="BO165" i="2"/>
  <c r="S165" i="2"/>
  <c r="O165" i="2"/>
  <c r="N165" i="2"/>
  <c r="J165" i="2"/>
  <c r="I165" i="2"/>
  <c r="BO164" i="2"/>
  <c r="S164" i="2"/>
  <c r="O164" i="2"/>
  <c r="N164" i="2"/>
  <c r="J164" i="2"/>
  <c r="I164" i="2"/>
  <c r="BO163" i="2"/>
  <c r="S163" i="2"/>
  <c r="N163" i="2"/>
  <c r="O163" i="2" s="1"/>
  <c r="J163" i="2"/>
  <c r="I163" i="2"/>
  <c r="BO162" i="2"/>
  <c r="S162" i="2"/>
  <c r="N162" i="2"/>
  <c r="O162" i="2" s="1"/>
  <c r="J162" i="2"/>
  <c r="I162" i="2"/>
  <c r="BO161" i="2"/>
  <c r="S161" i="2"/>
  <c r="O161" i="2"/>
  <c r="N161" i="2"/>
  <c r="J161" i="2"/>
  <c r="I161" i="2"/>
  <c r="BO160" i="2"/>
  <c r="S160" i="2"/>
  <c r="O160" i="2"/>
  <c r="N160" i="2"/>
  <c r="J160" i="2"/>
  <c r="I160" i="2"/>
  <c r="BO159" i="2"/>
  <c r="S159" i="2"/>
  <c r="N159" i="2"/>
  <c r="O159" i="2" s="1"/>
  <c r="J159" i="2"/>
  <c r="I159" i="2"/>
  <c r="BO158" i="2"/>
  <c r="S158" i="2"/>
  <c r="N158" i="2"/>
  <c r="O158" i="2" s="1"/>
  <c r="J158" i="2"/>
  <c r="I158" i="2"/>
  <c r="BO157" i="2"/>
  <c r="S157" i="2"/>
  <c r="O157" i="2"/>
  <c r="N157" i="2"/>
  <c r="J157" i="2"/>
  <c r="I157" i="2"/>
  <c r="BO156" i="2"/>
  <c r="S156" i="2"/>
  <c r="O156" i="2"/>
  <c r="N156" i="2"/>
  <c r="J156" i="2"/>
  <c r="I156" i="2"/>
  <c r="BO155" i="2"/>
  <c r="S155" i="2"/>
  <c r="N155" i="2"/>
  <c r="O155" i="2" s="1"/>
  <c r="J155" i="2"/>
  <c r="I155" i="2"/>
  <c r="BO154" i="2"/>
  <c r="S154" i="2"/>
  <c r="N154" i="2"/>
  <c r="O154" i="2" s="1"/>
  <c r="J154" i="2"/>
  <c r="I154" i="2"/>
  <c r="BO153" i="2"/>
  <c r="S153" i="2"/>
  <c r="O153" i="2"/>
  <c r="N153" i="2"/>
  <c r="J153" i="2"/>
  <c r="I153" i="2"/>
  <c r="BO152" i="2"/>
  <c r="S152" i="2"/>
  <c r="O152" i="2"/>
  <c r="N152" i="2"/>
  <c r="J152" i="2"/>
  <c r="I152" i="2"/>
  <c r="BO151" i="2"/>
  <c r="S151" i="2"/>
  <c r="N151" i="2"/>
  <c r="O151" i="2" s="1"/>
  <c r="J151" i="2"/>
  <c r="I151" i="2"/>
  <c r="BO150" i="2"/>
  <c r="S150" i="2"/>
  <c r="N150" i="2"/>
  <c r="O150" i="2" s="1"/>
  <c r="J150" i="2"/>
  <c r="I150" i="2"/>
  <c r="BO149" i="2"/>
  <c r="S149" i="2"/>
  <c r="O149" i="2"/>
  <c r="N149" i="2"/>
  <c r="J149" i="2"/>
  <c r="I149" i="2"/>
  <c r="BO148" i="2"/>
  <c r="S148" i="2"/>
  <c r="O148" i="2"/>
  <c r="N148" i="2"/>
  <c r="J148" i="2"/>
  <c r="I148" i="2"/>
  <c r="BO147" i="2"/>
  <c r="S147" i="2"/>
  <c r="N147" i="2"/>
  <c r="O147" i="2" s="1"/>
  <c r="J147" i="2"/>
  <c r="I147" i="2"/>
  <c r="BO146" i="2"/>
  <c r="S146" i="2"/>
  <c r="N146" i="2"/>
  <c r="O146" i="2" s="1"/>
  <c r="J146" i="2"/>
  <c r="I146" i="2"/>
  <c r="BO145" i="2"/>
  <c r="S145" i="2"/>
  <c r="O145" i="2"/>
  <c r="N145" i="2"/>
  <c r="J145" i="2"/>
  <c r="I145" i="2"/>
  <c r="BO144" i="2"/>
  <c r="S144" i="2"/>
  <c r="O144" i="2"/>
  <c r="N144" i="2"/>
  <c r="J144" i="2"/>
  <c r="I144" i="2"/>
  <c r="BO143" i="2"/>
  <c r="S143" i="2"/>
  <c r="N143" i="2"/>
  <c r="O143" i="2" s="1"/>
  <c r="J143" i="2"/>
  <c r="I143" i="2"/>
  <c r="BO142" i="2"/>
  <c r="S142" i="2"/>
  <c r="N142" i="2"/>
  <c r="O142" i="2" s="1"/>
  <c r="J142" i="2"/>
  <c r="I142" i="2"/>
  <c r="BO141" i="2"/>
  <c r="S141" i="2"/>
  <c r="O141" i="2"/>
  <c r="N141" i="2"/>
  <c r="J141" i="2"/>
  <c r="I141" i="2"/>
  <c r="BO140" i="2"/>
  <c r="S140" i="2"/>
  <c r="O140" i="2"/>
  <c r="N140" i="2"/>
  <c r="J140" i="2"/>
  <c r="I140" i="2"/>
  <c r="BO139" i="2"/>
  <c r="S139" i="2"/>
  <c r="N139" i="2"/>
  <c r="O139" i="2" s="1"/>
  <c r="J139" i="2"/>
  <c r="I139" i="2"/>
  <c r="BO138" i="2"/>
  <c r="S138" i="2"/>
  <c r="N138" i="2"/>
  <c r="O138" i="2" s="1"/>
  <c r="J138" i="2"/>
  <c r="I138" i="2"/>
  <c r="BO137" i="2"/>
  <c r="S137" i="2"/>
  <c r="O137" i="2"/>
  <c r="N137" i="2"/>
  <c r="J137" i="2"/>
  <c r="I137" i="2"/>
  <c r="BO136" i="2"/>
  <c r="S136" i="2"/>
  <c r="O136" i="2"/>
  <c r="N136" i="2"/>
  <c r="J136" i="2"/>
  <c r="I136" i="2"/>
  <c r="BO135" i="2"/>
  <c r="S135" i="2"/>
  <c r="N135" i="2"/>
  <c r="O135" i="2" s="1"/>
  <c r="J135" i="2"/>
  <c r="I135" i="2"/>
  <c r="BO134" i="2"/>
  <c r="S134" i="2"/>
  <c r="N134" i="2"/>
  <c r="O134" i="2" s="1"/>
  <c r="J134" i="2"/>
  <c r="I134" i="2"/>
  <c r="BO133" i="2"/>
  <c r="S133" i="2"/>
  <c r="O133" i="2"/>
  <c r="N133" i="2"/>
  <c r="J133" i="2"/>
  <c r="I133" i="2"/>
  <c r="BO132" i="2"/>
  <c r="S132" i="2"/>
  <c r="O132" i="2"/>
  <c r="N132" i="2"/>
  <c r="J132" i="2"/>
  <c r="I132" i="2"/>
  <c r="BO131" i="2"/>
  <c r="S131" i="2"/>
  <c r="N131" i="2"/>
  <c r="O131" i="2" s="1"/>
  <c r="J131" i="2"/>
  <c r="I131" i="2"/>
  <c r="BO130" i="2"/>
  <c r="S130" i="2"/>
  <c r="N130" i="2"/>
  <c r="O130" i="2" s="1"/>
  <c r="J130" i="2"/>
  <c r="I130" i="2"/>
  <c r="BO129" i="2"/>
  <c r="S129" i="2"/>
  <c r="O129" i="2"/>
  <c r="N129" i="2"/>
  <c r="J129" i="2"/>
  <c r="I129" i="2"/>
  <c r="BO128" i="2"/>
  <c r="S128" i="2"/>
  <c r="O128" i="2"/>
  <c r="N128" i="2"/>
  <c r="J128" i="2"/>
  <c r="I128" i="2"/>
  <c r="BO127" i="2"/>
  <c r="S127" i="2"/>
  <c r="N127" i="2"/>
  <c r="O127" i="2" s="1"/>
  <c r="J127" i="2"/>
  <c r="I127" i="2"/>
  <c r="BO126" i="2"/>
  <c r="S126" i="2"/>
  <c r="N126" i="2"/>
  <c r="O126" i="2" s="1"/>
  <c r="J126" i="2"/>
  <c r="I126" i="2"/>
  <c r="BO125" i="2"/>
  <c r="S125" i="2"/>
  <c r="O125" i="2"/>
  <c r="N125" i="2"/>
  <c r="J125" i="2"/>
  <c r="I125" i="2"/>
  <c r="BO124" i="2"/>
  <c r="S124" i="2"/>
  <c r="O124" i="2"/>
  <c r="N124" i="2"/>
  <c r="J124" i="2"/>
  <c r="I124" i="2"/>
  <c r="BO123" i="2"/>
  <c r="S123" i="2"/>
  <c r="N123" i="2"/>
  <c r="O123" i="2" s="1"/>
  <c r="J123" i="2"/>
  <c r="I123" i="2"/>
  <c r="BO122" i="2"/>
  <c r="S122" i="2"/>
  <c r="N122" i="2"/>
  <c r="O122" i="2" s="1"/>
  <c r="J122" i="2"/>
  <c r="I122" i="2"/>
  <c r="BO121" i="2"/>
  <c r="S121" i="2"/>
  <c r="O121" i="2"/>
  <c r="N121" i="2"/>
  <c r="J121" i="2"/>
  <c r="I121" i="2"/>
  <c r="BO120" i="2"/>
  <c r="S120" i="2"/>
  <c r="O120" i="2"/>
  <c r="N120" i="2"/>
  <c r="J120" i="2"/>
  <c r="I120" i="2"/>
  <c r="BO119" i="2"/>
  <c r="S119" i="2"/>
  <c r="N119" i="2"/>
  <c r="O119" i="2" s="1"/>
  <c r="J119" i="2"/>
  <c r="I119" i="2"/>
  <c r="BO118" i="2"/>
  <c r="S118" i="2"/>
  <c r="N118" i="2"/>
  <c r="O118" i="2" s="1"/>
  <c r="J118" i="2"/>
  <c r="I118" i="2"/>
  <c r="BO117" i="2"/>
  <c r="S117" i="2"/>
  <c r="O117" i="2"/>
  <c r="N117" i="2"/>
  <c r="J117" i="2"/>
  <c r="I117" i="2"/>
  <c r="BO116" i="2"/>
  <c r="S116" i="2"/>
  <c r="O116" i="2"/>
  <c r="N116" i="2"/>
  <c r="J116" i="2"/>
  <c r="I116" i="2"/>
  <c r="BO115" i="2"/>
  <c r="S115" i="2"/>
  <c r="N115" i="2"/>
  <c r="O115" i="2" s="1"/>
  <c r="J115" i="2"/>
  <c r="I115" i="2"/>
  <c r="BO114" i="2"/>
  <c r="S114" i="2"/>
  <c r="N114" i="2"/>
  <c r="O114" i="2" s="1"/>
  <c r="J114" i="2"/>
  <c r="I114" i="2"/>
  <c r="BO113" i="2"/>
  <c r="S113" i="2"/>
  <c r="O113" i="2"/>
  <c r="N113" i="2"/>
  <c r="J113" i="2"/>
  <c r="I113" i="2"/>
  <c r="BO112" i="2"/>
  <c r="S112" i="2"/>
  <c r="O112" i="2"/>
  <c r="N112" i="2"/>
  <c r="J112" i="2"/>
  <c r="I112" i="2"/>
  <c r="BO111" i="2"/>
  <c r="S111" i="2"/>
  <c r="N111" i="2"/>
  <c r="O111" i="2" s="1"/>
  <c r="J111" i="2"/>
  <c r="I111" i="2"/>
  <c r="BO110" i="2"/>
  <c r="S110" i="2"/>
  <c r="N110" i="2"/>
  <c r="O110" i="2" s="1"/>
  <c r="J110" i="2"/>
  <c r="I110" i="2"/>
  <c r="BO109" i="2"/>
  <c r="S109" i="2"/>
  <c r="O109" i="2"/>
  <c r="N109" i="2"/>
  <c r="J109" i="2"/>
  <c r="I109" i="2"/>
  <c r="BO108" i="2"/>
  <c r="S108" i="2"/>
  <c r="O108" i="2"/>
  <c r="N108" i="2"/>
  <c r="J108" i="2"/>
  <c r="I108" i="2"/>
  <c r="BO107" i="2"/>
  <c r="S107" i="2"/>
  <c r="N107" i="2"/>
  <c r="O107" i="2" s="1"/>
  <c r="J107" i="2"/>
  <c r="I107" i="2"/>
  <c r="BO106" i="2"/>
  <c r="S106" i="2"/>
  <c r="N106" i="2"/>
  <c r="O106" i="2" s="1"/>
  <c r="J106" i="2"/>
  <c r="I106" i="2"/>
  <c r="BO105" i="2"/>
  <c r="S105" i="2"/>
  <c r="O105" i="2"/>
  <c r="N105" i="2"/>
  <c r="J105" i="2"/>
  <c r="I105" i="2"/>
  <c r="BO104" i="2"/>
  <c r="S104" i="2"/>
  <c r="O104" i="2"/>
  <c r="N104" i="2"/>
  <c r="J104" i="2"/>
  <c r="I104" i="2"/>
  <c r="BO103" i="2"/>
  <c r="S103" i="2"/>
  <c r="N103" i="2"/>
  <c r="O103" i="2" s="1"/>
  <c r="J103" i="2"/>
  <c r="I103" i="2"/>
  <c r="BO102" i="2"/>
  <c r="S102" i="2"/>
  <c r="N102" i="2"/>
  <c r="O102" i="2" s="1"/>
  <c r="J102" i="2"/>
  <c r="I102" i="2"/>
  <c r="BO101" i="2"/>
  <c r="S101" i="2"/>
  <c r="O101" i="2"/>
  <c r="N101" i="2"/>
  <c r="J101" i="2"/>
  <c r="I101" i="2"/>
  <c r="BO100" i="2"/>
  <c r="S100" i="2"/>
  <c r="O100" i="2"/>
  <c r="N100" i="2"/>
  <c r="J100" i="2"/>
  <c r="I100" i="2"/>
  <c r="BO99" i="2"/>
  <c r="S99" i="2"/>
  <c r="N99" i="2"/>
  <c r="O99" i="2" s="1"/>
  <c r="J99" i="2"/>
  <c r="I99" i="2"/>
  <c r="BO98" i="2"/>
  <c r="S98" i="2"/>
  <c r="N98" i="2"/>
  <c r="O98" i="2" s="1"/>
  <c r="J98" i="2"/>
  <c r="I98" i="2"/>
  <c r="BO97" i="2"/>
  <c r="S97" i="2"/>
  <c r="O97" i="2"/>
  <c r="N97" i="2"/>
  <c r="J97" i="2"/>
  <c r="I97" i="2"/>
  <c r="BO96" i="2"/>
  <c r="S96" i="2"/>
  <c r="O96" i="2"/>
  <c r="N96" i="2"/>
  <c r="J96" i="2"/>
  <c r="I96" i="2"/>
  <c r="BO95" i="2"/>
  <c r="S95" i="2"/>
  <c r="N95" i="2"/>
  <c r="O95" i="2" s="1"/>
  <c r="J95" i="2"/>
  <c r="I95" i="2"/>
  <c r="BO94" i="2"/>
  <c r="S94" i="2"/>
  <c r="N94" i="2"/>
  <c r="O94" i="2" s="1"/>
  <c r="J94" i="2"/>
  <c r="I94" i="2"/>
  <c r="BO93" i="2"/>
  <c r="S93" i="2"/>
  <c r="O93" i="2"/>
  <c r="N93" i="2"/>
  <c r="J93" i="2"/>
  <c r="I93" i="2"/>
  <c r="BO92" i="2"/>
  <c r="S92" i="2"/>
  <c r="O92" i="2"/>
  <c r="N92" i="2"/>
  <c r="J92" i="2"/>
  <c r="I92" i="2"/>
  <c r="BO91" i="2"/>
  <c r="S91" i="2"/>
  <c r="N91" i="2"/>
  <c r="O91" i="2" s="1"/>
  <c r="J91" i="2"/>
  <c r="I91" i="2"/>
  <c r="BO90" i="2"/>
  <c r="S90" i="2"/>
  <c r="N90" i="2"/>
  <c r="O90" i="2" s="1"/>
  <c r="J90" i="2"/>
  <c r="I90" i="2"/>
  <c r="BO89" i="2"/>
  <c r="S89" i="2"/>
  <c r="O89" i="2"/>
  <c r="N89" i="2"/>
  <c r="J89" i="2"/>
  <c r="I89" i="2"/>
  <c r="BO88" i="2"/>
  <c r="S88" i="2"/>
  <c r="O88" i="2"/>
  <c r="N88" i="2"/>
  <c r="J88" i="2"/>
  <c r="I88" i="2"/>
  <c r="BO87" i="2"/>
  <c r="S87" i="2"/>
  <c r="N87" i="2"/>
  <c r="O87" i="2" s="1"/>
  <c r="J87" i="2"/>
  <c r="I87" i="2"/>
  <c r="BO86" i="2"/>
  <c r="S86" i="2"/>
  <c r="N86" i="2"/>
  <c r="O86" i="2" s="1"/>
  <c r="J86" i="2"/>
  <c r="I86" i="2"/>
  <c r="BO85" i="2"/>
  <c r="S85" i="2"/>
  <c r="O85" i="2"/>
  <c r="N85" i="2"/>
  <c r="J85" i="2"/>
  <c r="I85" i="2"/>
  <c r="BO84" i="2"/>
  <c r="S84" i="2"/>
  <c r="O84" i="2"/>
  <c r="N84" i="2"/>
  <c r="J84" i="2"/>
  <c r="I84" i="2"/>
  <c r="BO83" i="2"/>
  <c r="S83" i="2"/>
  <c r="N83" i="2"/>
  <c r="O83" i="2" s="1"/>
  <c r="J83" i="2"/>
  <c r="I83" i="2"/>
  <c r="BO82" i="2"/>
  <c r="S82" i="2"/>
  <c r="N82" i="2"/>
  <c r="O82" i="2" s="1"/>
  <c r="J82" i="2"/>
  <c r="I82" i="2"/>
  <c r="BO81" i="2"/>
  <c r="S81" i="2"/>
  <c r="O81" i="2"/>
  <c r="N81" i="2"/>
  <c r="J81" i="2"/>
  <c r="I81" i="2"/>
  <c r="BO80" i="2"/>
  <c r="S80" i="2"/>
  <c r="O80" i="2"/>
  <c r="N80" i="2"/>
  <c r="J80" i="2"/>
  <c r="I80" i="2"/>
  <c r="BO79" i="2"/>
  <c r="S79" i="2"/>
  <c r="N79" i="2"/>
  <c r="O79" i="2" s="1"/>
  <c r="J79" i="2"/>
  <c r="I79" i="2"/>
  <c r="BO78" i="2"/>
  <c r="S78" i="2"/>
  <c r="N78" i="2"/>
  <c r="O78" i="2" s="1"/>
  <c r="J78" i="2"/>
  <c r="I78" i="2"/>
  <c r="BO77" i="2"/>
  <c r="S77" i="2"/>
  <c r="O77" i="2"/>
  <c r="N77" i="2"/>
  <c r="J77" i="2"/>
  <c r="I77" i="2"/>
  <c r="BO76" i="2"/>
  <c r="S76" i="2"/>
  <c r="O76" i="2"/>
  <c r="N76" i="2"/>
  <c r="J76" i="2"/>
  <c r="I76" i="2"/>
  <c r="BO75" i="2"/>
  <c r="S75" i="2"/>
  <c r="N75" i="2"/>
  <c r="O75" i="2" s="1"/>
  <c r="J75" i="2"/>
  <c r="I75" i="2"/>
  <c r="BO74" i="2"/>
  <c r="S74" i="2"/>
  <c r="N74" i="2"/>
  <c r="O74" i="2" s="1"/>
  <c r="J74" i="2"/>
  <c r="I74" i="2"/>
  <c r="BO73" i="2"/>
  <c r="S73" i="2"/>
  <c r="O73" i="2"/>
  <c r="N73" i="2"/>
  <c r="J73" i="2"/>
  <c r="I73" i="2"/>
  <c r="BO72" i="2"/>
  <c r="S72" i="2"/>
  <c r="O72" i="2"/>
  <c r="N72" i="2"/>
  <c r="J72" i="2"/>
  <c r="I72" i="2"/>
  <c r="BO71" i="2"/>
  <c r="S71" i="2"/>
  <c r="N71" i="2"/>
  <c r="O71" i="2" s="1"/>
  <c r="J71" i="2"/>
  <c r="I71" i="2"/>
  <c r="BO70" i="2"/>
  <c r="S70" i="2"/>
  <c r="N70" i="2"/>
  <c r="O70" i="2" s="1"/>
  <c r="J70" i="2"/>
  <c r="I70" i="2"/>
  <c r="BO69" i="2"/>
  <c r="S69" i="2"/>
  <c r="O69" i="2"/>
  <c r="N69" i="2"/>
  <c r="J69" i="2"/>
  <c r="I69" i="2"/>
  <c r="BO68" i="2"/>
  <c r="S68" i="2"/>
  <c r="O68" i="2"/>
  <c r="N68" i="2"/>
  <c r="J68" i="2"/>
  <c r="I68" i="2"/>
  <c r="BO67" i="2"/>
  <c r="S67" i="2"/>
  <c r="N67" i="2"/>
  <c r="O67" i="2" s="1"/>
  <c r="J67" i="2"/>
  <c r="I67" i="2"/>
  <c r="BO66" i="2"/>
  <c r="S66" i="2"/>
  <c r="N66" i="2"/>
  <c r="O66" i="2" s="1"/>
  <c r="J66" i="2"/>
  <c r="I66" i="2"/>
  <c r="BO65" i="2"/>
  <c r="S65" i="2"/>
  <c r="O65" i="2"/>
  <c r="N65" i="2"/>
  <c r="J65" i="2"/>
  <c r="I65" i="2"/>
  <c r="BO64" i="2"/>
  <c r="S64" i="2"/>
  <c r="O64" i="2"/>
  <c r="N64" i="2"/>
  <c r="J64" i="2"/>
  <c r="I64" i="2"/>
  <c r="BO63" i="2"/>
  <c r="S63" i="2"/>
  <c r="N63" i="2"/>
  <c r="O63" i="2" s="1"/>
  <c r="J63" i="2"/>
  <c r="I63" i="2"/>
  <c r="BO62" i="2"/>
  <c r="S62" i="2"/>
  <c r="N62" i="2"/>
  <c r="O62" i="2" s="1"/>
  <c r="J62" i="2"/>
  <c r="I62" i="2"/>
  <c r="BO61" i="2"/>
  <c r="S61" i="2"/>
  <c r="O61" i="2"/>
  <c r="N61" i="2"/>
  <c r="J61" i="2"/>
  <c r="I61" i="2"/>
  <c r="BO60" i="2"/>
  <c r="S60" i="2"/>
  <c r="O60" i="2"/>
  <c r="N60" i="2"/>
  <c r="J60" i="2"/>
  <c r="I60" i="2"/>
  <c r="BO59" i="2"/>
  <c r="S59" i="2"/>
  <c r="N59" i="2"/>
  <c r="O59" i="2" s="1"/>
  <c r="J59" i="2"/>
  <c r="I59" i="2"/>
  <c r="BO58" i="2"/>
  <c r="S58" i="2"/>
  <c r="N58" i="2"/>
  <c r="O58" i="2" s="1"/>
  <c r="J58" i="2"/>
  <c r="I58" i="2"/>
  <c r="BO57" i="2"/>
  <c r="S57" i="2"/>
  <c r="O57" i="2"/>
  <c r="N57" i="2"/>
  <c r="J57" i="2"/>
  <c r="I57" i="2"/>
  <c r="BO56" i="2"/>
  <c r="S56" i="2"/>
  <c r="O56" i="2"/>
  <c r="N56" i="2"/>
  <c r="J56" i="2"/>
  <c r="I56" i="2"/>
  <c r="BO55" i="2"/>
  <c r="S55" i="2"/>
  <c r="N55" i="2"/>
  <c r="O55" i="2" s="1"/>
  <c r="J55" i="2"/>
  <c r="I55" i="2"/>
  <c r="BO54" i="2"/>
  <c r="S54" i="2"/>
  <c r="N54" i="2"/>
  <c r="O54" i="2" s="1"/>
  <c r="J54" i="2"/>
  <c r="I54" i="2"/>
  <c r="BO53" i="2"/>
  <c r="S53" i="2"/>
  <c r="O53" i="2"/>
  <c r="N53" i="2"/>
  <c r="J53" i="2"/>
  <c r="I53" i="2"/>
  <c r="BO52" i="2"/>
  <c r="S52" i="2"/>
  <c r="O52" i="2"/>
  <c r="N52" i="2"/>
  <c r="J52" i="2"/>
  <c r="I52" i="2"/>
  <c r="BO51" i="2"/>
  <c r="S51" i="2"/>
  <c r="N51" i="2"/>
  <c r="O51" i="2" s="1"/>
  <c r="J51" i="2"/>
  <c r="I51" i="2"/>
  <c r="BO50" i="2"/>
  <c r="S50" i="2"/>
  <c r="N50" i="2"/>
  <c r="O50" i="2" s="1"/>
  <c r="J50" i="2"/>
  <c r="I50" i="2"/>
  <c r="BO49" i="2"/>
  <c r="S49" i="2"/>
  <c r="O49" i="2"/>
  <c r="N49" i="2"/>
  <c r="J49" i="2"/>
  <c r="I49" i="2"/>
  <c r="BO48" i="2"/>
  <c r="S48" i="2"/>
  <c r="O48" i="2"/>
  <c r="N48" i="2"/>
  <c r="J48" i="2"/>
  <c r="I48" i="2"/>
  <c r="BO47" i="2"/>
  <c r="S47" i="2"/>
  <c r="N47" i="2"/>
  <c r="O47" i="2" s="1"/>
  <c r="J47" i="2"/>
  <c r="I47" i="2"/>
  <c r="BO46" i="2"/>
  <c r="S46" i="2"/>
  <c r="N46" i="2"/>
  <c r="O46" i="2" s="1"/>
  <c r="J46" i="2"/>
  <c r="I46" i="2"/>
  <c r="BO45" i="2"/>
  <c r="S45" i="2"/>
  <c r="O45" i="2"/>
  <c r="N45" i="2"/>
  <c r="J45" i="2"/>
  <c r="I45" i="2"/>
  <c r="BO44" i="2"/>
  <c r="S44" i="2"/>
  <c r="O44" i="2"/>
  <c r="N44" i="2"/>
  <c r="J44" i="2"/>
  <c r="I44" i="2"/>
  <c r="BO43" i="2"/>
  <c r="S43" i="2"/>
  <c r="N43" i="2"/>
  <c r="O43" i="2" s="1"/>
  <c r="J43" i="2"/>
  <c r="I43" i="2"/>
  <c r="BO42" i="2"/>
  <c r="S42" i="2"/>
  <c r="N42" i="2"/>
  <c r="O42" i="2" s="1"/>
  <c r="J42" i="2"/>
  <c r="I42" i="2"/>
  <c r="BO41" i="2"/>
  <c r="S41" i="2"/>
  <c r="O41" i="2"/>
  <c r="N41" i="2"/>
  <c r="J41" i="2"/>
  <c r="I41" i="2"/>
  <c r="BO40" i="2"/>
  <c r="S40" i="2"/>
  <c r="O40" i="2"/>
  <c r="N40" i="2"/>
  <c r="J40" i="2"/>
  <c r="I40" i="2"/>
  <c r="BO39" i="2"/>
  <c r="S39" i="2"/>
  <c r="N39" i="2"/>
  <c r="O39" i="2" s="1"/>
  <c r="J39" i="2"/>
  <c r="I39" i="2"/>
  <c r="BO38" i="2"/>
  <c r="S38" i="2"/>
  <c r="N38" i="2"/>
  <c r="O38" i="2" s="1"/>
  <c r="J38" i="2"/>
  <c r="I38" i="2"/>
  <c r="BO37" i="2"/>
  <c r="S37" i="2"/>
  <c r="O37" i="2"/>
  <c r="N37" i="2"/>
  <c r="J37" i="2"/>
  <c r="I37" i="2"/>
  <c r="BO36" i="2"/>
  <c r="S36" i="2"/>
  <c r="O36" i="2"/>
  <c r="N36" i="2"/>
  <c r="J36" i="2"/>
  <c r="I36" i="2"/>
  <c r="BO35" i="2"/>
  <c r="S35" i="2"/>
  <c r="N35" i="2"/>
  <c r="O35" i="2" s="1"/>
  <c r="J35" i="2"/>
  <c r="I35" i="2"/>
  <c r="BO34" i="2"/>
  <c r="S34" i="2"/>
  <c r="N34" i="2"/>
  <c r="O34" i="2" s="1"/>
  <c r="J34" i="2"/>
  <c r="I34" i="2"/>
  <c r="BO33" i="2"/>
  <c r="S33" i="2"/>
  <c r="O33" i="2"/>
  <c r="N33" i="2"/>
  <c r="J33" i="2"/>
  <c r="I33" i="2"/>
  <c r="BO32" i="2"/>
  <c r="S32" i="2"/>
  <c r="O32" i="2"/>
  <c r="N32" i="2"/>
  <c r="J32" i="2"/>
  <c r="I32" i="2"/>
  <c r="BO31" i="2"/>
  <c r="S31" i="2"/>
  <c r="N31" i="2"/>
  <c r="O31" i="2" s="1"/>
  <c r="J31" i="2"/>
  <c r="I31" i="2"/>
  <c r="BO30" i="2"/>
  <c r="S30" i="2"/>
  <c r="N30" i="2"/>
  <c r="O30" i="2" s="1"/>
  <c r="J30" i="2"/>
  <c r="I30" i="2"/>
  <c r="BO29" i="2"/>
  <c r="S29" i="2"/>
  <c r="O29" i="2"/>
  <c r="N29" i="2"/>
  <c r="J29" i="2"/>
  <c r="I29" i="2"/>
  <c r="BO28" i="2"/>
  <c r="S28" i="2"/>
  <c r="O28" i="2"/>
  <c r="N28" i="2"/>
  <c r="J28" i="2"/>
  <c r="I28" i="2"/>
  <c r="BO27" i="2"/>
  <c r="S27" i="2"/>
  <c r="N27" i="2"/>
  <c r="O27" i="2" s="1"/>
  <c r="J27" i="2"/>
  <c r="I27" i="2"/>
  <c r="BO26" i="2"/>
  <c r="J26" i="2" s="1"/>
  <c r="S26" i="2"/>
  <c r="N26" i="2"/>
  <c r="O26" i="2" s="1"/>
  <c r="I26" i="2"/>
  <c r="BO25" i="2"/>
  <c r="S25" i="2"/>
  <c r="O25" i="2"/>
  <c r="N25" i="2"/>
  <c r="J25" i="2"/>
  <c r="I25" i="2"/>
  <c r="BO24" i="2"/>
  <c r="S24" i="2"/>
  <c r="N24" i="2"/>
  <c r="O24" i="2" s="1"/>
  <c r="J24" i="2"/>
  <c r="I24" i="2"/>
  <c r="BO23" i="2"/>
  <c r="S23" i="2"/>
  <c r="O23" i="2"/>
  <c r="N23" i="2"/>
  <c r="J23" i="2"/>
  <c r="I23" i="2"/>
  <c r="BO22" i="2"/>
  <c r="S22" i="2"/>
  <c r="N22" i="2"/>
  <c r="O22" i="2" s="1"/>
  <c r="J22" i="2"/>
  <c r="I22" i="2"/>
  <c r="BO21" i="2"/>
  <c r="S21" i="2"/>
  <c r="O21" i="2"/>
  <c r="N21" i="2"/>
  <c r="J21" i="2"/>
  <c r="I21" i="2"/>
  <c r="BO20" i="2"/>
  <c r="S20" i="2"/>
  <c r="O20" i="2"/>
  <c r="N20" i="2"/>
  <c r="J20" i="2"/>
  <c r="I20" i="2"/>
  <c r="BO19" i="2"/>
  <c r="J19" i="2" s="1"/>
  <c r="S19" i="2"/>
  <c r="N19" i="2"/>
  <c r="O19" i="2" s="1"/>
  <c r="I19" i="2"/>
  <c r="BO18" i="2"/>
  <c r="J18" i="2" s="1"/>
  <c r="S18" i="2"/>
  <c r="N18" i="2"/>
  <c r="O18" i="2" s="1"/>
  <c r="I18" i="2"/>
  <c r="BO17" i="2"/>
  <c r="S17" i="2"/>
  <c r="O17" i="2"/>
  <c r="N17" i="2"/>
  <c r="J17" i="2"/>
  <c r="I17" i="2"/>
  <c r="A17" i="2"/>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BO16" i="2"/>
  <c r="J16" i="2" s="1"/>
  <c r="S16" i="2"/>
  <c r="N16" i="2"/>
  <c r="O16" i="2" s="1"/>
  <c r="I16" i="2"/>
  <c r="A16" i="2"/>
  <c r="BM15" i="2"/>
  <c r="BL15" i="2"/>
  <c r="BK15" i="2"/>
  <c r="BJ15" i="2"/>
  <c r="BI15" i="2"/>
  <c r="BF15" i="2"/>
  <c r="BE15" i="2"/>
  <c r="BD15" i="2"/>
  <c r="BC15" i="2"/>
  <c r="BB15" i="2"/>
  <c r="AU15" i="2"/>
  <c r="AT15" i="2"/>
  <c r="AS15" i="2"/>
  <c r="AR15" i="2"/>
  <c r="AQ15" i="2"/>
  <c r="AP15" i="2"/>
  <c r="AO15" i="2"/>
  <c r="AL15" i="2"/>
  <c r="AK15" i="2"/>
  <c r="AJ15" i="2"/>
  <c r="AI15" i="2"/>
  <c r="AC15" i="2"/>
  <c r="AB15" i="2"/>
  <c r="W15" i="2"/>
  <c r="V15" i="2"/>
  <c r="U15" i="2"/>
  <c r="T15" i="2"/>
  <c r="O14" i="2"/>
  <c r="O13" i="2"/>
  <c r="O12" i="2"/>
  <c r="O11" i="2"/>
  <c r="O10" i="2"/>
  <c r="O9" i="2"/>
  <c r="B2" i="2"/>
  <c r="F90" i="1"/>
  <c r="F89" i="1"/>
  <c r="J88" i="1"/>
  <c r="H88" i="1"/>
  <c r="J87" i="1"/>
  <c r="H87" i="1"/>
  <c r="J86" i="1"/>
  <c r="H86" i="1"/>
  <c r="J85" i="1"/>
  <c r="H85" i="1"/>
  <c r="J84" i="1"/>
  <c r="H84" i="1"/>
  <c r="J83" i="1"/>
  <c r="H83" i="1"/>
  <c r="J82" i="1"/>
  <c r="H82" i="1"/>
  <c r="M81" i="1"/>
  <c r="N81" i="1" s="1"/>
  <c r="J81" i="1"/>
  <c r="H81" i="1"/>
  <c r="J80" i="1"/>
  <c r="H80" i="1"/>
  <c r="J79" i="1"/>
  <c r="H79" i="1"/>
  <c r="J78" i="1"/>
  <c r="H78" i="1"/>
  <c r="J77" i="1"/>
  <c r="H77" i="1"/>
  <c r="J76" i="1"/>
  <c r="H76" i="1"/>
  <c r="O81" i="1" s="1"/>
  <c r="M75" i="1"/>
  <c r="O75" i="1" s="1"/>
  <c r="C75" i="1"/>
  <c r="H74" i="1"/>
  <c r="G74" i="1"/>
  <c r="F74" i="1"/>
  <c r="D74" i="1"/>
  <c r="C74" i="1"/>
  <c r="F72" i="1"/>
  <c r="J71" i="1"/>
  <c r="H71" i="1"/>
  <c r="J61" i="1"/>
  <c r="H61" i="1"/>
  <c r="J60" i="1"/>
  <c r="H60" i="1"/>
  <c r="J59" i="1"/>
  <c r="H59" i="1"/>
  <c r="M58" i="1"/>
  <c r="O58" i="1" s="1"/>
  <c r="C58" i="1"/>
  <c r="F57" i="1"/>
  <c r="D57" i="1"/>
  <c r="L53" i="1"/>
  <c r="M48" i="1" s="1"/>
  <c r="L52" i="1"/>
  <c r="M47" i="1" s="1"/>
  <c r="L51" i="1"/>
  <c r="M46" i="1" s="1"/>
  <c r="F51" i="1"/>
  <c r="V19" i="19" s="1"/>
  <c r="C51" i="1"/>
  <c r="L50" i="1"/>
  <c r="B50" i="1"/>
  <c r="L49" i="1"/>
  <c r="M44" i="1" s="1"/>
  <c r="L48" i="1"/>
  <c r="M43" i="1" s="1"/>
  <c r="J48" i="1"/>
  <c r="L47" i="1"/>
  <c r="M42" i="1" s="1"/>
  <c r="C47" i="1"/>
  <c r="L46" i="1"/>
  <c r="C46" i="1"/>
  <c r="W45" i="1"/>
  <c r="M45" i="1"/>
  <c r="L45" i="1"/>
  <c r="M40" i="1" s="1"/>
  <c r="C45" i="1"/>
  <c r="W44" i="1"/>
  <c r="R44" i="1"/>
  <c r="L44" i="1"/>
  <c r="M39" i="1" s="1"/>
  <c r="W43" i="1"/>
  <c r="V43" i="1"/>
  <c r="L43" i="1"/>
  <c r="C43" i="1"/>
  <c r="W42" i="1"/>
  <c r="Q42" i="1"/>
  <c r="L42" i="1"/>
  <c r="C42" i="1"/>
  <c r="M41" i="1"/>
  <c r="L41" i="1"/>
  <c r="K41" i="1"/>
  <c r="K9" i="1" s="1"/>
  <c r="W40" i="1"/>
  <c r="V40" i="1"/>
  <c r="L40" i="1"/>
  <c r="F40" i="1"/>
  <c r="Y39" i="1"/>
  <c r="W39" i="1"/>
  <c r="V39" i="1"/>
  <c r="G39" i="1"/>
  <c r="G25" i="20" s="1"/>
  <c r="M38" i="1"/>
  <c r="X37" i="1"/>
  <c r="I44" i="1" s="1"/>
  <c r="K36" i="1"/>
  <c r="K33" i="1"/>
  <c r="B33" i="1"/>
  <c r="L32" i="1"/>
  <c r="N31" i="1"/>
  <c r="L31" i="1"/>
  <c r="L30" i="1"/>
  <c r="I30" i="1"/>
  <c r="L29" i="1"/>
  <c r="H29" i="1"/>
  <c r="L28" i="1"/>
  <c r="B28" i="1"/>
  <c r="L27" i="1"/>
  <c r="B27" i="1"/>
  <c r="L26" i="1"/>
  <c r="N25" i="1"/>
  <c r="L25" i="1"/>
  <c r="L24" i="1"/>
  <c r="B24" i="1"/>
  <c r="L23" i="1"/>
  <c r="B23" i="1"/>
  <c r="L22" i="1"/>
  <c r="L21" i="1"/>
  <c r="I21" i="1"/>
  <c r="L20" i="1"/>
  <c r="M60" i="1" s="1"/>
  <c r="I20" i="1"/>
  <c r="L19" i="1"/>
  <c r="I19" i="1"/>
  <c r="B19" i="1"/>
  <c r="L18" i="1"/>
  <c r="B18" i="1"/>
  <c r="L17" i="1"/>
  <c r="B17" i="1"/>
  <c r="L16" i="1"/>
  <c r="L15" i="1"/>
  <c r="M55" i="1" s="1"/>
  <c r="B15" i="1"/>
  <c r="W14" i="1"/>
  <c r="V14" i="1"/>
  <c r="U14" i="1"/>
  <c r="T14" i="1"/>
  <c r="W13" i="1"/>
  <c r="V13" i="1"/>
  <c r="U13" i="1"/>
  <c r="T13" i="1"/>
  <c r="B13" i="1"/>
  <c r="W12" i="1"/>
  <c r="V12" i="1"/>
  <c r="U12" i="1"/>
  <c r="T12" i="1"/>
  <c r="B12" i="1"/>
  <c r="W11" i="1"/>
  <c r="V11" i="1"/>
  <c r="U11" i="1"/>
  <c r="T11" i="1"/>
  <c r="B11" i="1"/>
  <c r="W10" i="1"/>
  <c r="V10" i="1"/>
  <c r="U10" i="1"/>
  <c r="T10" i="1"/>
  <c r="L10" i="1"/>
  <c r="K10" i="1"/>
  <c r="C53" i="1" s="1"/>
  <c r="E10" i="1"/>
  <c r="B10" i="1"/>
  <c r="W9" i="1"/>
  <c r="V9" i="1"/>
  <c r="U9" i="1"/>
  <c r="T9" i="1"/>
  <c r="L9" i="1"/>
  <c r="W8" i="1"/>
  <c r="V8" i="1"/>
  <c r="U8" i="1"/>
  <c r="T8" i="1"/>
  <c r="K8" i="1"/>
  <c r="B8" i="1"/>
  <c r="W7" i="1"/>
  <c r="V7" i="1"/>
  <c r="U7" i="1"/>
  <c r="T7" i="1"/>
  <c r="W6" i="1"/>
  <c r="V6" i="1"/>
  <c r="U6" i="1"/>
  <c r="T6" i="1"/>
  <c r="W5" i="1"/>
  <c r="V5" i="1"/>
  <c r="U5" i="1"/>
  <c r="T5" i="1"/>
  <c r="W4" i="1"/>
  <c r="V4" i="1"/>
  <c r="U4" i="1"/>
  <c r="T4" i="1"/>
  <c r="K4" i="1"/>
  <c r="B4" i="1"/>
  <c r="W3" i="1"/>
  <c r="V3" i="1"/>
  <c r="U3" i="1"/>
  <c r="T3" i="1"/>
  <c r="B2" i="1"/>
  <c r="B1" i="1"/>
  <c r="F39" i="8" l="1"/>
  <c r="F11" i="8"/>
  <c r="F38" i="8"/>
  <c r="F41" i="8" s="1"/>
  <c r="M1" i="21"/>
  <c r="G520" i="2"/>
  <c r="O60" i="1"/>
  <c r="N60" i="1"/>
  <c r="D75" i="19"/>
  <c r="D73" i="19"/>
  <c r="D71" i="19"/>
  <c r="D55" i="19"/>
  <c r="D35" i="19"/>
  <c r="D17" i="19"/>
  <c r="D57" i="19"/>
  <c r="D53" i="19"/>
  <c r="D37" i="19"/>
  <c r="D21" i="19"/>
  <c r="D39" i="19"/>
  <c r="D19" i="19"/>
  <c r="P81" i="1"/>
  <c r="K529" i="3"/>
  <c r="K529" i="2"/>
  <c r="K538" i="3"/>
  <c r="K538" i="2"/>
  <c r="G606" i="5"/>
  <c r="G561" i="5"/>
  <c r="G516" i="5"/>
  <c r="G471" i="5"/>
  <c r="G426" i="5"/>
  <c r="G381" i="5"/>
  <c r="G336" i="5"/>
  <c r="G291" i="5"/>
  <c r="G246" i="5"/>
  <c r="D606" i="5"/>
  <c r="D561" i="5"/>
  <c r="D516" i="5"/>
  <c r="D471" i="5"/>
  <c r="D426" i="5"/>
  <c r="D381" i="5"/>
  <c r="D336" i="5"/>
  <c r="D291" i="5"/>
  <c r="D246" i="5"/>
  <c r="C606" i="5"/>
  <c r="C426" i="5"/>
  <c r="C201" i="5"/>
  <c r="C156" i="5"/>
  <c r="G41" i="5"/>
  <c r="C561" i="5"/>
  <c r="C381" i="5"/>
  <c r="D41" i="5"/>
  <c r="C516" i="5"/>
  <c r="C336" i="5"/>
  <c r="C291" i="5"/>
  <c r="G201" i="5"/>
  <c r="G156" i="5"/>
  <c r="C41" i="5"/>
  <c r="C471" i="5"/>
  <c r="C246" i="5"/>
  <c r="D201" i="5"/>
  <c r="D156" i="5"/>
  <c r="G616" i="5"/>
  <c r="G571" i="5"/>
  <c r="G526" i="5"/>
  <c r="G481" i="5"/>
  <c r="G436" i="5"/>
  <c r="G391" i="5"/>
  <c r="G346" i="5"/>
  <c r="G301" i="5"/>
  <c r="G256" i="5"/>
  <c r="D616" i="5"/>
  <c r="D571" i="5"/>
  <c r="D526" i="5"/>
  <c r="D481" i="5"/>
  <c r="D436" i="5"/>
  <c r="D391" i="5"/>
  <c r="D346" i="5"/>
  <c r="D301" i="5"/>
  <c r="D256" i="5"/>
  <c r="C481" i="5"/>
  <c r="C256" i="5"/>
  <c r="C211" i="5"/>
  <c r="C166" i="5"/>
  <c r="G51" i="5"/>
  <c r="C616" i="5"/>
  <c r="C436" i="5"/>
  <c r="D51" i="5"/>
  <c r="C571" i="5"/>
  <c r="C391" i="5"/>
  <c r="G211" i="5"/>
  <c r="G166" i="5"/>
  <c r="C51" i="5"/>
  <c r="C526" i="5"/>
  <c r="C301" i="5"/>
  <c r="D211" i="5"/>
  <c r="D166" i="5"/>
  <c r="C346" i="5"/>
  <c r="G620" i="5"/>
  <c r="G575" i="5"/>
  <c r="G530" i="5"/>
  <c r="G485" i="5"/>
  <c r="G440" i="5"/>
  <c r="G395" i="5"/>
  <c r="G350" i="5"/>
  <c r="G305" i="5"/>
  <c r="G260" i="5"/>
  <c r="D620" i="5"/>
  <c r="D575" i="5"/>
  <c r="D530" i="5"/>
  <c r="D485" i="5"/>
  <c r="D440" i="5"/>
  <c r="D395" i="5"/>
  <c r="D350" i="5"/>
  <c r="D305" i="5"/>
  <c r="D260" i="5"/>
  <c r="C530" i="5"/>
  <c r="C350" i="5"/>
  <c r="C305" i="5"/>
  <c r="C215" i="5"/>
  <c r="C170" i="5"/>
  <c r="G55" i="5"/>
  <c r="C485" i="5"/>
  <c r="C260" i="5"/>
  <c r="D55" i="5"/>
  <c r="C620" i="5"/>
  <c r="C440" i="5"/>
  <c r="G215" i="5"/>
  <c r="G170" i="5"/>
  <c r="C55" i="5"/>
  <c r="C575" i="5"/>
  <c r="D215" i="5"/>
  <c r="D170" i="5"/>
  <c r="C395" i="5"/>
  <c r="B3" i="1"/>
  <c r="K524" i="3"/>
  <c r="K524" i="2"/>
  <c r="K525" i="3"/>
  <c r="K525" i="2"/>
  <c r="C6" i="20"/>
  <c r="C67" i="5"/>
  <c r="Z11" i="5" s="1"/>
  <c r="C21" i="6"/>
  <c r="F10" i="15" s="1"/>
  <c r="C7" i="20"/>
  <c r="I21" i="6"/>
  <c r="F11" i="15" s="1"/>
  <c r="C81" i="5"/>
  <c r="Z12" i="5" s="1"/>
  <c r="AA12" i="5" s="1"/>
  <c r="K530" i="3"/>
  <c r="K530" i="2"/>
  <c r="K533" i="3"/>
  <c r="K533" i="2"/>
  <c r="K534" i="3"/>
  <c r="K534" i="2"/>
  <c r="C15" i="20"/>
  <c r="I73" i="6"/>
  <c r="F44" i="15" s="1"/>
  <c r="C317" i="5"/>
  <c r="K539" i="3"/>
  <c r="K539" i="2"/>
  <c r="T6" i="12"/>
  <c r="T7" i="12"/>
  <c r="Q4" i="6"/>
  <c r="W7" i="6"/>
  <c r="F588" i="5"/>
  <c r="F543" i="5"/>
  <c r="F498" i="5"/>
  <c r="F453" i="5"/>
  <c r="F408" i="5"/>
  <c r="F363" i="5"/>
  <c r="F318" i="5"/>
  <c r="F273" i="5"/>
  <c r="F228" i="5"/>
  <c r="F124" i="5"/>
  <c r="F96" i="5"/>
  <c r="F68" i="5"/>
  <c r="F23" i="5"/>
  <c r="P10" i="7"/>
  <c r="P11" i="7" s="1"/>
  <c r="F9" i="5"/>
  <c r="F110" i="5"/>
  <c r="F183" i="5"/>
  <c r="F138" i="5"/>
  <c r="F82" i="5"/>
  <c r="T4" i="5"/>
  <c r="T9" i="5" s="1"/>
  <c r="W8" i="6" s="1"/>
  <c r="M57" i="1"/>
  <c r="C595" i="5"/>
  <c r="C550" i="5"/>
  <c r="C505" i="5"/>
  <c r="C460" i="5"/>
  <c r="C415" i="5"/>
  <c r="C370" i="5"/>
  <c r="C325" i="5"/>
  <c r="C280" i="5"/>
  <c r="G595" i="5"/>
  <c r="G550" i="5"/>
  <c r="G505" i="5"/>
  <c r="G460" i="5"/>
  <c r="G415" i="5"/>
  <c r="G370" i="5"/>
  <c r="G325" i="5"/>
  <c r="G280" i="5"/>
  <c r="G235" i="5"/>
  <c r="D595" i="5"/>
  <c r="D415" i="5"/>
  <c r="D190" i="5"/>
  <c r="D145" i="5"/>
  <c r="D550" i="5"/>
  <c r="D370" i="5"/>
  <c r="D235" i="5"/>
  <c r="C190" i="5"/>
  <c r="C145" i="5"/>
  <c r="G30" i="5"/>
  <c r="D505" i="5"/>
  <c r="D325" i="5"/>
  <c r="D280" i="5"/>
  <c r="C235" i="5"/>
  <c r="D30" i="5"/>
  <c r="D460" i="5"/>
  <c r="G190" i="5"/>
  <c r="G145" i="5"/>
  <c r="C30" i="5"/>
  <c r="M74" i="1"/>
  <c r="D610" i="5"/>
  <c r="D565" i="5"/>
  <c r="D520" i="5"/>
  <c r="D475" i="5"/>
  <c r="D430" i="5"/>
  <c r="D385" i="5"/>
  <c r="D340" i="5"/>
  <c r="D295" i="5"/>
  <c r="D250" i="5"/>
  <c r="C610" i="5"/>
  <c r="C565" i="5"/>
  <c r="C520" i="5"/>
  <c r="C475" i="5"/>
  <c r="C430" i="5"/>
  <c r="C385" i="5"/>
  <c r="C340" i="5"/>
  <c r="C295" i="5"/>
  <c r="C250" i="5"/>
  <c r="G475" i="5"/>
  <c r="G250" i="5"/>
  <c r="G205" i="5"/>
  <c r="G160" i="5"/>
  <c r="C45" i="5"/>
  <c r="G610" i="5"/>
  <c r="G430" i="5"/>
  <c r="D205" i="5"/>
  <c r="D160" i="5"/>
  <c r="G565" i="5"/>
  <c r="G385" i="5"/>
  <c r="C205" i="5"/>
  <c r="C160" i="5"/>
  <c r="G45" i="5"/>
  <c r="G340" i="5"/>
  <c r="D45" i="5"/>
  <c r="G520" i="5"/>
  <c r="G295" i="5"/>
  <c r="M80" i="1"/>
  <c r="S516" i="2"/>
  <c r="K528" i="3"/>
  <c r="K528" i="2"/>
  <c r="K532" i="3"/>
  <c r="K532" i="2"/>
  <c r="K537" i="3"/>
  <c r="K537" i="2"/>
  <c r="G612" i="5"/>
  <c r="G567" i="5"/>
  <c r="G522" i="5"/>
  <c r="G477" i="5"/>
  <c r="G432" i="5"/>
  <c r="G387" i="5"/>
  <c r="G342" i="5"/>
  <c r="G297" i="5"/>
  <c r="G252" i="5"/>
  <c r="D612" i="5"/>
  <c r="D567" i="5"/>
  <c r="D522" i="5"/>
  <c r="D477" i="5"/>
  <c r="D432" i="5"/>
  <c r="D387" i="5"/>
  <c r="D342" i="5"/>
  <c r="D297" i="5"/>
  <c r="D252" i="5"/>
  <c r="C612" i="5"/>
  <c r="C432" i="5"/>
  <c r="C207" i="5"/>
  <c r="C162" i="5"/>
  <c r="G47" i="5"/>
  <c r="C567" i="5"/>
  <c r="C387" i="5"/>
  <c r="D47" i="5"/>
  <c r="C522" i="5"/>
  <c r="C342" i="5"/>
  <c r="C297" i="5"/>
  <c r="G207" i="5"/>
  <c r="G162" i="5"/>
  <c r="C47" i="5"/>
  <c r="C477" i="5"/>
  <c r="C252" i="5"/>
  <c r="D207" i="5"/>
  <c r="D162" i="5"/>
  <c r="D618" i="5"/>
  <c r="D573" i="5"/>
  <c r="D528" i="5"/>
  <c r="D483" i="5"/>
  <c r="D438" i="5"/>
  <c r="D393" i="5"/>
  <c r="D348" i="5"/>
  <c r="D303" i="5"/>
  <c r="D258" i="5"/>
  <c r="C618" i="5"/>
  <c r="C573" i="5"/>
  <c r="C528" i="5"/>
  <c r="C483" i="5"/>
  <c r="C438" i="5"/>
  <c r="C393" i="5"/>
  <c r="C348" i="5"/>
  <c r="C303" i="5"/>
  <c r="C258" i="5"/>
  <c r="G573" i="5"/>
  <c r="G393" i="5"/>
  <c r="G213" i="5"/>
  <c r="G168" i="5"/>
  <c r="C53" i="5"/>
  <c r="G528" i="5"/>
  <c r="G348" i="5"/>
  <c r="G303" i="5"/>
  <c r="D213" i="5"/>
  <c r="D168" i="5"/>
  <c r="G483" i="5"/>
  <c r="G258" i="5"/>
  <c r="C213" i="5"/>
  <c r="C168" i="5"/>
  <c r="G53" i="5"/>
  <c r="G618" i="5"/>
  <c r="D53" i="5"/>
  <c r="G438" i="5"/>
  <c r="J516" i="2"/>
  <c r="K527" i="3"/>
  <c r="K527" i="2"/>
  <c r="N21" i="1"/>
  <c r="C44" i="1"/>
  <c r="C49" i="1"/>
  <c r="G50" i="1"/>
  <c r="N58" i="1"/>
  <c r="P58" i="1" s="1"/>
  <c r="C609" i="5"/>
  <c r="C564" i="5"/>
  <c r="C519" i="5"/>
  <c r="C474" i="5"/>
  <c r="C429" i="5"/>
  <c r="C384" i="5"/>
  <c r="C339" i="5"/>
  <c r="C294" i="5"/>
  <c r="C249" i="5"/>
  <c r="G609" i="5"/>
  <c r="G564" i="5"/>
  <c r="G519" i="5"/>
  <c r="G474" i="5"/>
  <c r="G429" i="5"/>
  <c r="G384" i="5"/>
  <c r="G339" i="5"/>
  <c r="G294" i="5"/>
  <c r="G249" i="5"/>
  <c r="D519" i="5"/>
  <c r="D339" i="5"/>
  <c r="D294" i="5"/>
  <c r="D204" i="5"/>
  <c r="D159" i="5"/>
  <c r="D474" i="5"/>
  <c r="D249" i="5"/>
  <c r="C204" i="5"/>
  <c r="C159" i="5"/>
  <c r="G44" i="5"/>
  <c r="D609" i="5"/>
  <c r="D429" i="5"/>
  <c r="D44" i="5"/>
  <c r="D384" i="5"/>
  <c r="G204" i="5"/>
  <c r="G159" i="5"/>
  <c r="C44" i="5"/>
  <c r="D564" i="5"/>
  <c r="J516" i="3"/>
  <c r="K523" i="3"/>
  <c r="K523" i="2"/>
  <c r="C5" i="20"/>
  <c r="C22" i="5"/>
  <c r="Z10" i="5" s="1"/>
  <c r="I8" i="6"/>
  <c r="F9" i="15" s="1"/>
  <c r="K536" i="3"/>
  <c r="K536" i="2"/>
  <c r="M77" i="1"/>
  <c r="D614" i="5"/>
  <c r="D569" i="5"/>
  <c r="D524" i="5"/>
  <c r="D479" i="5"/>
  <c r="D434" i="5"/>
  <c r="D389" i="5"/>
  <c r="D344" i="5"/>
  <c r="D299" i="5"/>
  <c r="D254" i="5"/>
  <c r="C614" i="5"/>
  <c r="C569" i="5"/>
  <c r="C524" i="5"/>
  <c r="C479" i="5"/>
  <c r="C434" i="5"/>
  <c r="C389" i="5"/>
  <c r="C344" i="5"/>
  <c r="C299" i="5"/>
  <c r="C254" i="5"/>
  <c r="G524" i="5"/>
  <c r="G344" i="5"/>
  <c r="G299" i="5"/>
  <c r="G209" i="5"/>
  <c r="G164" i="5"/>
  <c r="C49" i="5"/>
  <c r="G479" i="5"/>
  <c r="G254" i="5"/>
  <c r="D209" i="5"/>
  <c r="D164" i="5"/>
  <c r="G614" i="5"/>
  <c r="G434" i="5"/>
  <c r="C209" i="5"/>
  <c r="C164" i="5"/>
  <c r="G49" i="5"/>
  <c r="G389" i="5"/>
  <c r="G569" i="5"/>
  <c r="D49" i="5"/>
  <c r="L1" i="21"/>
  <c r="L1" i="19"/>
  <c r="G4" i="18"/>
  <c r="M4" i="14"/>
  <c r="E1" i="11"/>
  <c r="H4" i="17"/>
  <c r="N4" i="13"/>
  <c r="N1" i="12"/>
  <c r="Q1" i="10"/>
  <c r="N4" i="8"/>
  <c r="O3" i="16"/>
  <c r="AD7" i="9"/>
  <c r="K1" i="7"/>
  <c r="P1" i="15"/>
  <c r="Q2" i="6"/>
  <c r="Q2" i="5"/>
  <c r="A3" i="4"/>
  <c r="D4" i="3"/>
  <c r="E12" i="1"/>
  <c r="B14" i="1"/>
  <c r="B16" i="1"/>
  <c r="F17" i="1"/>
  <c r="I18" i="1"/>
  <c r="B21" i="1"/>
  <c r="K531" i="3"/>
  <c r="K531" i="2"/>
  <c r="N24" i="1"/>
  <c r="B26" i="1"/>
  <c r="K535" i="3"/>
  <c r="K535" i="2"/>
  <c r="N28" i="1"/>
  <c r="N29" i="1"/>
  <c r="B31" i="1"/>
  <c r="K32" i="1"/>
  <c r="B34" i="1"/>
  <c r="K37" i="1"/>
  <c r="E38" i="1"/>
  <c r="L39" i="1"/>
  <c r="F41" i="1"/>
  <c r="C56" i="1"/>
  <c r="G57" i="1"/>
  <c r="N55" i="1" s="1"/>
  <c r="D594" i="5"/>
  <c r="D549" i="5"/>
  <c r="D504" i="5"/>
  <c r="D459" i="5"/>
  <c r="D414" i="5"/>
  <c r="D369" i="5"/>
  <c r="D324" i="5"/>
  <c r="D279" i="5"/>
  <c r="C594" i="5"/>
  <c r="C549" i="5"/>
  <c r="C504" i="5"/>
  <c r="C459" i="5"/>
  <c r="C414" i="5"/>
  <c r="C369" i="5"/>
  <c r="C324" i="5"/>
  <c r="C279" i="5"/>
  <c r="C234" i="5"/>
  <c r="G459" i="5"/>
  <c r="D234" i="5"/>
  <c r="G189" i="5"/>
  <c r="G144" i="5"/>
  <c r="C29" i="5"/>
  <c r="G594" i="5"/>
  <c r="G414" i="5"/>
  <c r="D189" i="5"/>
  <c r="D144" i="5"/>
  <c r="G549" i="5"/>
  <c r="G369" i="5"/>
  <c r="C189" i="5"/>
  <c r="C144" i="5"/>
  <c r="G29" i="5"/>
  <c r="G504" i="5"/>
  <c r="G279" i="5"/>
  <c r="D29" i="5"/>
  <c r="G324" i="5"/>
  <c r="G234" i="5"/>
  <c r="D596" i="5"/>
  <c r="D551" i="5"/>
  <c r="D506" i="5"/>
  <c r="D461" i="5"/>
  <c r="D416" i="5"/>
  <c r="D371" i="5"/>
  <c r="D326" i="5"/>
  <c r="D281" i="5"/>
  <c r="C596" i="5"/>
  <c r="C551" i="5"/>
  <c r="C506" i="5"/>
  <c r="C461" i="5"/>
  <c r="C416" i="5"/>
  <c r="C371" i="5"/>
  <c r="C326" i="5"/>
  <c r="C281" i="5"/>
  <c r="C236" i="5"/>
  <c r="G551" i="5"/>
  <c r="G371" i="5"/>
  <c r="D236" i="5"/>
  <c r="G191" i="5"/>
  <c r="G146" i="5"/>
  <c r="C31" i="5"/>
  <c r="G506" i="5"/>
  <c r="G326" i="5"/>
  <c r="G281" i="5"/>
  <c r="D191" i="5"/>
  <c r="D146" i="5"/>
  <c r="G461" i="5"/>
  <c r="C191" i="5"/>
  <c r="C146" i="5"/>
  <c r="G31" i="5"/>
  <c r="G416" i="5"/>
  <c r="G596" i="5"/>
  <c r="G236" i="5"/>
  <c r="D31" i="5"/>
  <c r="M71" i="1"/>
  <c r="N75" i="1"/>
  <c r="P75" i="1" s="1"/>
  <c r="G611" i="5"/>
  <c r="G566" i="5"/>
  <c r="G521" i="5"/>
  <c r="G476" i="5"/>
  <c r="G431" i="5"/>
  <c r="G386" i="5"/>
  <c r="G341" i="5"/>
  <c r="G296" i="5"/>
  <c r="G251" i="5"/>
  <c r="D611" i="5"/>
  <c r="D566" i="5"/>
  <c r="D521" i="5"/>
  <c r="D476" i="5"/>
  <c r="D431" i="5"/>
  <c r="D386" i="5"/>
  <c r="D341" i="5"/>
  <c r="D296" i="5"/>
  <c r="D251" i="5"/>
  <c r="C611" i="5"/>
  <c r="C566" i="5"/>
  <c r="C521" i="5"/>
  <c r="C476" i="5"/>
  <c r="C431" i="5"/>
  <c r="C386" i="5"/>
  <c r="C341" i="5"/>
  <c r="C296" i="5"/>
  <c r="C251" i="5"/>
  <c r="D46" i="5"/>
  <c r="G206" i="5"/>
  <c r="G161" i="5"/>
  <c r="C46" i="5"/>
  <c r="D206" i="5"/>
  <c r="D161" i="5"/>
  <c r="C206" i="5"/>
  <c r="C161" i="5"/>
  <c r="G46" i="5"/>
  <c r="M79" i="1"/>
  <c r="C4" i="2"/>
  <c r="B2" i="21"/>
  <c r="C2" i="20"/>
  <c r="B4" i="19"/>
  <c r="B2" i="18"/>
  <c r="B2" i="17"/>
  <c r="B2" i="16"/>
  <c r="B2" i="13"/>
  <c r="B2" i="12"/>
  <c r="B2" i="15"/>
  <c r="B2" i="14"/>
  <c r="B9" i="11"/>
  <c r="B2" i="10"/>
  <c r="B2" i="8"/>
  <c r="B2" i="9"/>
  <c r="B2" i="7"/>
  <c r="B2" i="6"/>
  <c r="C2" i="4"/>
  <c r="B2" i="5"/>
  <c r="B2" i="3"/>
  <c r="K12" i="1"/>
  <c r="L12" i="1" s="1"/>
  <c r="E14" i="1"/>
  <c r="F16" i="1"/>
  <c r="H17" i="1"/>
  <c r="K526" i="3"/>
  <c r="K526" i="2"/>
  <c r="B20" i="1"/>
  <c r="E21" i="1"/>
  <c r="B22" i="1"/>
  <c r="N23" i="1"/>
  <c r="B25" i="1"/>
  <c r="E26" i="1"/>
  <c r="N27" i="1"/>
  <c r="B29" i="1"/>
  <c r="B30" i="1"/>
  <c r="E31" i="1"/>
  <c r="K540" i="3"/>
  <c r="K540" i="2"/>
  <c r="E35" i="1"/>
  <c r="L37" i="1"/>
  <c r="M37" i="1" s="1"/>
  <c r="L38" i="1"/>
  <c r="E40" i="1"/>
  <c r="O40" i="1"/>
  <c r="G41" i="1"/>
  <c r="W41" i="1"/>
  <c r="V44" i="1"/>
  <c r="C52" i="1"/>
  <c r="M56" i="1"/>
  <c r="C57" i="1"/>
  <c r="H57" i="1"/>
  <c r="M59" i="1"/>
  <c r="M61" i="1"/>
  <c r="B62" i="1"/>
  <c r="M72" i="1"/>
  <c r="M73" i="1"/>
  <c r="M76" i="1"/>
  <c r="M78" i="1"/>
  <c r="B79" i="1"/>
  <c r="C613" i="5"/>
  <c r="C568" i="5"/>
  <c r="C523" i="5"/>
  <c r="C478" i="5"/>
  <c r="C433" i="5"/>
  <c r="C388" i="5"/>
  <c r="C343" i="5"/>
  <c r="C298" i="5"/>
  <c r="C253" i="5"/>
  <c r="G613" i="5"/>
  <c r="G568" i="5"/>
  <c r="G523" i="5"/>
  <c r="G478" i="5"/>
  <c r="G433" i="5"/>
  <c r="G388" i="5"/>
  <c r="G343" i="5"/>
  <c r="G298" i="5"/>
  <c r="G253" i="5"/>
  <c r="D568" i="5"/>
  <c r="D388" i="5"/>
  <c r="D208" i="5"/>
  <c r="D163" i="5"/>
  <c r="D523" i="5"/>
  <c r="D343" i="5"/>
  <c r="D298" i="5"/>
  <c r="C208" i="5"/>
  <c r="C163" i="5"/>
  <c r="G48" i="5"/>
  <c r="D478" i="5"/>
  <c r="D253" i="5"/>
  <c r="D48" i="5"/>
  <c r="D433" i="5"/>
  <c r="D613" i="5"/>
  <c r="G208" i="5"/>
  <c r="G163" i="5"/>
  <c r="C48" i="5"/>
  <c r="G615" i="5"/>
  <c r="G570" i="5"/>
  <c r="G525" i="5"/>
  <c r="G480" i="5"/>
  <c r="G435" i="5"/>
  <c r="G390" i="5"/>
  <c r="G345" i="5"/>
  <c r="G300" i="5"/>
  <c r="G255" i="5"/>
  <c r="D615" i="5"/>
  <c r="D570" i="5"/>
  <c r="D525" i="5"/>
  <c r="D480" i="5"/>
  <c r="D435" i="5"/>
  <c r="D390" i="5"/>
  <c r="D345" i="5"/>
  <c r="D300" i="5"/>
  <c r="D255" i="5"/>
  <c r="C615" i="5"/>
  <c r="C570" i="5"/>
  <c r="C525" i="5"/>
  <c r="C480" i="5"/>
  <c r="C435" i="5"/>
  <c r="C390" i="5"/>
  <c r="C345" i="5"/>
  <c r="C300" i="5"/>
  <c r="C255" i="5"/>
  <c r="D50" i="5"/>
  <c r="G210" i="5"/>
  <c r="G165" i="5"/>
  <c r="C50" i="5"/>
  <c r="D210" i="5"/>
  <c r="D165" i="5"/>
  <c r="G50" i="5"/>
  <c r="C210" i="5"/>
  <c r="C165" i="5"/>
  <c r="C617" i="5"/>
  <c r="C572" i="5"/>
  <c r="C527" i="5"/>
  <c r="C482" i="5"/>
  <c r="C437" i="5"/>
  <c r="C392" i="5"/>
  <c r="C347" i="5"/>
  <c r="C302" i="5"/>
  <c r="C257" i="5"/>
  <c r="G617" i="5"/>
  <c r="G572" i="5"/>
  <c r="G527" i="5"/>
  <c r="G482" i="5"/>
  <c r="G437" i="5"/>
  <c r="G392" i="5"/>
  <c r="G347" i="5"/>
  <c r="G302" i="5"/>
  <c r="G257" i="5"/>
  <c r="D617" i="5"/>
  <c r="D437" i="5"/>
  <c r="D212" i="5"/>
  <c r="D167" i="5"/>
  <c r="D572" i="5"/>
  <c r="D392" i="5"/>
  <c r="C212" i="5"/>
  <c r="C167" i="5"/>
  <c r="G52" i="5"/>
  <c r="D527" i="5"/>
  <c r="D347" i="5"/>
  <c r="D302" i="5"/>
  <c r="D52" i="5"/>
  <c r="D482" i="5"/>
  <c r="D257" i="5"/>
  <c r="G212" i="5"/>
  <c r="G167" i="5"/>
  <c r="C52" i="5"/>
  <c r="G619" i="5"/>
  <c r="G574" i="5"/>
  <c r="G529" i="5"/>
  <c r="G484" i="5"/>
  <c r="G439" i="5"/>
  <c r="G394" i="5"/>
  <c r="G349" i="5"/>
  <c r="G304" i="5"/>
  <c r="G259" i="5"/>
  <c r="D619" i="5"/>
  <c r="D574" i="5"/>
  <c r="D529" i="5"/>
  <c r="D484" i="5"/>
  <c r="D439" i="5"/>
  <c r="D394" i="5"/>
  <c r="D349" i="5"/>
  <c r="D304" i="5"/>
  <c r="D259" i="5"/>
  <c r="C619" i="5"/>
  <c r="C574" i="5"/>
  <c r="C529" i="5"/>
  <c r="C484" i="5"/>
  <c r="C439" i="5"/>
  <c r="C394" i="5"/>
  <c r="C349" i="5"/>
  <c r="C304" i="5"/>
  <c r="C259" i="5"/>
  <c r="D54" i="5"/>
  <c r="G214" i="5"/>
  <c r="G169" i="5"/>
  <c r="C54" i="5"/>
  <c r="D214" i="5"/>
  <c r="D169" i="5"/>
  <c r="G54" i="5"/>
  <c r="C214" i="5"/>
  <c r="C169" i="5"/>
  <c r="C621" i="5"/>
  <c r="C576" i="5"/>
  <c r="C531" i="5"/>
  <c r="C486" i="5"/>
  <c r="C441" i="5"/>
  <c r="C396" i="5"/>
  <c r="C351" i="5"/>
  <c r="C306" i="5"/>
  <c r="C261" i="5"/>
  <c r="G621" i="5"/>
  <c r="G576" i="5"/>
  <c r="G531" i="5"/>
  <c r="G486" i="5"/>
  <c r="G441" i="5"/>
  <c r="G396" i="5"/>
  <c r="G351" i="5"/>
  <c r="G306" i="5"/>
  <c r="G261" i="5"/>
  <c r="D486" i="5"/>
  <c r="D261" i="5"/>
  <c r="D216" i="5"/>
  <c r="D171" i="5"/>
  <c r="D621" i="5"/>
  <c r="D441" i="5"/>
  <c r="C216" i="5"/>
  <c r="C171" i="5"/>
  <c r="G56" i="5"/>
  <c r="D576" i="5"/>
  <c r="D396" i="5"/>
  <c r="D56" i="5"/>
  <c r="G216" i="5"/>
  <c r="G171" i="5"/>
  <c r="C56" i="5"/>
  <c r="D351" i="5"/>
  <c r="D531" i="5"/>
  <c r="D306" i="5"/>
  <c r="C71" i="19"/>
  <c r="E71" i="19" s="1"/>
  <c r="C75" i="19"/>
  <c r="E75" i="19" s="1"/>
  <c r="C73" i="19"/>
  <c r="E73" i="19" s="1"/>
  <c r="C39" i="19"/>
  <c r="E39" i="19" s="1"/>
  <c r="C37" i="19"/>
  <c r="E37" i="19" s="1"/>
  <c r="C21" i="19"/>
  <c r="E21" i="19" s="1"/>
  <c r="C19" i="19"/>
  <c r="E19" i="19" s="1"/>
  <c r="C35" i="19"/>
  <c r="E35" i="19" s="1"/>
  <c r="C17" i="19"/>
  <c r="E17" i="19" s="1"/>
  <c r="C57" i="19"/>
  <c r="E57" i="19" s="1"/>
  <c r="C55" i="19"/>
  <c r="E55" i="19" s="1"/>
  <c r="C53" i="19"/>
  <c r="E53" i="19" s="1"/>
  <c r="J9" i="13"/>
  <c r="I11" i="7"/>
  <c r="I13" i="21"/>
  <c r="J15" i="7"/>
  <c r="L15" i="7"/>
  <c r="J13" i="13"/>
  <c r="I19" i="7"/>
  <c r="J20" i="13"/>
  <c r="I23" i="7"/>
  <c r="J24" i="13"/>
  <c r="I27" i="7"/>
  <c r="J28" i="13"/>
  <c r="I31" i="7"/>
  <c r="J35" i="13"/>
  <c r="I35" i="7"/>
  <c r="J39" i="13"/>
  <c r="I39" i="7"/>
  <c r="J46" i="13"/>
  <c r="I43" i="7"/>
  <c r="J50" i="13"/>
  <c r="I47" i="7"/>
  <c r="J57" i="13"/>
  <c r="I51" i="7"/>
  <c r="J61" i="13"/>
  <c r="I55" i="7"/>
  <c r="I14" i="21"/>
  <c r="L16" i="7"/>
  <c r="J16" i="7"/>
  <c r="J14" i="13"/>
  <c r="G50" i="17" s="1"/>
  <c r="I20" i="7"/>
  <c r="J21" i="13"/>
  <c r="I24" i="7"/>
  <c r="J25" i="13"/>
  <c r="I28" i="7"/>
  <c r="J32" i="13"/>
  <c r="I32" i="7"/>
  <c r="J36" i="13"/>
  <c r="I36" i="7"/>
  <c r="J40" i="13"/>
  <c r="I40" i="7"/>
  <c r="J47" i="13"/>
  <c r="I44" i="7"/>
  <c r="J51" i="13"/>
  <c r="I48" i="7"/>
  <c r="J58" i="13"/>
  <c r="I52" i="7"/>
  <c r="J62" i="13"/>
  <c r="G55" i="17" s="1"/>
  <c r="F15" i="18" s="1"/>
  <c r="I56" i="7"/>
  <c r="I11" i="21"/>
  <c r="J13" i="7"/>
  <c r="L13" i="7"/>
  <c r="J11" i="13"/>
  <c r="I17" i="7"/>
  <c r="J15" i="13"/>
  <c r="I22" i="7"/>
  <c r="I21" i="7"/>
  <c r="J22" i="13"/>
  <c r="I25" i="7"/>
  <c r="J26" i="13"/>
  <c r="I29" i="7"/>
  <c r="J33" i="13"/>
  <c r="I33" i="7"/>
  <c r="J37" i="13"/>
  <c r="I37" i="7"/>
  <c r="J44" i="13"/>
  <c r="I41" i="7"/>
  <c r="J48" i="13"/>
  <c r="G57" i="17" s="1"/>
  <c r="F16" i="18" s="1"/>
  <c r="I45" i="7"/>
  <c r="J52" i="13"/>
  <c r="I49" i="7"/>
  <c r="J59" i="13"/>
  <c r="G54" i="17" s="1"/>
  <c r="F14" i="18" s="1"/>
  <c r="I53" i="7"/>
  <c r="J63" i="13"/>
  <c r="I57" i="7"/>
  <c r="J32" i="14"/>
  <c r="I82" i="7"/>
  <c r="J8" i="13"/>
  <c r="I10" i="7"/>
  <c r="I12" i="21"/>
  <c r="L14" i="7"/>
  <c r="J14" i="7"/>
  <c r="J12" i="13"/>
  <c r="I18" i="7"/>
  <c r="J23" i="13"/>
  <c r="I26" i="7"/>
  <c r="J27" i="13"/>
  <c r="I30" i="7"/>
  <c r="J34" i="13"/>
  <c r="I34" i="7"/>
  <c r="J38" i="13"/>
  <c r="I38" i="7"/>
  <c r="J45" i="13"/>
  <c r="I42" i="7"/>
  <c r="J49" i="13"/>
  <c r="I46" i="7"/>
  <c r="J56" i="13"/>
  <c r="I50" i="7"/>
  <c r="J60" i="13"/>
  <c r="I54" i="7"/>
  <c r="J64" i="13"/>
  <c r="I58" i="7"/>
  <c r="J42" i="14"/>
  <c r="I99" i="7"/>
  <c r="I99" i="21"/>
  <c r="J101" i="7"/>
  <c r="I100" i="21"/>
  <c r="J102" i="7"/>
  <c r="I104" i="21"/>
  <c r="J106" i="7"/>
  <c r="J46" i="14"/>
  <c r="I110" i="7"/>
  <c r="J50" i="14"/>
  <c r="I114" i="7"/>
  <c r="J57" i="14"/>
  <c r="I118" i="7"/>
  <c r="J61" i="14"/>
  <c r="I122" i="7"/>
  <c r="J68" i="14"/>
  <c r="I126" i="7"/>
  <c r="J72" i="14"/>
  <c r="I130" i="7"/>
  <c r="J79" i="14"/>
  <c r="I134" i="7"/>
  <c r="J83" i="14"/>
  <c r="I138" i="7"/>
  <c r="E93" i="19"/>
  <c r="J13" i="14"/>
  <c r="A12" i="22" s="1"/>
  <c r="I66" i="7"/>
  <c r="J17" i="14"/>
  <c r="G67" i="17" s="1"/>
  <c r="I70" i="7"/>
  <c r="J21" i="14"/>
  <c r="G73" i="17" s="1"/>
  <c r="I74" i="7"/>
  <c r="I78" i="7"/>
  <c r="J25" i="14"/>
  <c r="I84" i="21"/>
  <c r="L86" i="7"/>
  <c r="J86" i="7"/>
  <c r="I90" i="7"/>
  <c r="J33" i="14"/>
  <c r="I94" i="7"/>
  <c r="J37" i="14"/>
  <c r="J41" i="14"/>
  <c r="I98" i="7"/>
  <c r="K1014" i="4"/>
  <c r="D40" i="5"/>
  <c r="C39" i="5"/>
  <c r="G37" i="5"/>
  <c r="D36" i="5"/>
  <c r="C35" i="5"/>
  <c r="G33" i="5"/>
  <c r="D32" i="5"/>
  <c r="V10" i="5"/>
  <c r="AA10" i="5" s="1"/>
  <c r="C40" i="5"/>
  <c r="G38" i="5"/>
  <c r="D37" i="5"/>
  <c r="C36" i="5"/>
  <c r="G34" i="5"/>
  <c r="D33" i="5"/>
  <c r="C32" i="5"/>
  <c r="N21" i="5"/>
  <c r="G39" i="5"/>
  <c r="D38" i="5"/>
  <c r="C37" i="5"/>
  <c r="G35" i="5"/>
  <c r="D34" i="5"/>
  <c r="C33" i="5"/>
  <c r="D35" i="5"/>
  <c r="G40" i="5"/>
  <c r="I63" i="7"/>
  <c r="J10" i="14"/>
  <c r="I67" i="7"/>
  <c r="J14" i="14"/>
  <c r="J18" i="14"/>
  <c r="G70" i="17" s="1"/>
  <c r="I71" i="7"/>
  <c r="J22" i="14"/>
  <c r="G75" i="17" s="1"/>
  <c r="F32" i="18" s="1"/>
  <c r="I75" i="7"/>
  <c r="J26" i="14"/>
  <c r="I79" i="7"/>
  <c r="I81" i="21"/>
  <c r="J83" i="7"/>
  <c r="L83" i="7"/>
  <c r="I85" i="21"/>
  <c r="J87" i="7"/>
  <c r="L87" i="7"/>
  <c r="J34" i="14"/>
  <c r="I91" i="7"/>
  <c r="J38" i="14"/>
  <c r="I95" i="7"/>
  <c r="I101" i="21"/>
  <c r="J103" i="7"/>
  <c r="J43" i="14"/>
  <c r="I107" i="7"/>
  <c r="J47" i="14"/>
  <c r="I111" i="7"/>
  <c r="J54" i="14"/>
  <c r="I115" i="7"/>
  <c r="J62" i="14"/>
  <c r="I123" i="7"/>
  <c r="J69" i="14"/>
  <c r="I127" i="7"/>
  <c r="J73" i="14"/>
  <c r="I131" i="7"/>
  <c r="J80" i="14"/>
  <c r="K86" i="14" s="1"/>
  <c r="A16" i="22" s="1"/>
  <c r="I135" i="7"/>
  <c r="J84" i="14"/>
  <c r="I139" i="7"/>
  <c r="G36" i="5"/>
  <c r="I119" i="7"/>
  <c r="I133" i="7"/>
  <c r="E89" i="19"/>
  <c r="J11" i="14"/>
  <c r="I64" i="7"/>
  <c r="J15" i="14"/>
  <c r="G74" i="17" s="1"/>
  <c r="F31" i="18" s="1"/>
  <c r="I68" i="7"/>
  <c r="J19" i="14"/>
  <c r="I72" i="7"/>
  <c r="I76" i="7"/>
  <c r="J23" i="14"/>
  <c r="G87" i="17" s="1"/>
  <c r="I80" i="7"/>
  <c r="J27" i="14"/>
  <c r="I82" i="21"/>
  <c r="L84" i="7"/>
  <c r="J84" i="7"/>
  <c r="I86" i="21"/>
  <c r="L88" i="7"/>
  <c r="J88" i="7"/>
  <c r="J35" i="14"/>
  <c r="I92" i="7"/>
  <c r="J39" i="14"/>
  <c r="I96" i="7"/>
  <c r="I98" i="21"/>
  <c r="J100" i="7"/>
  <c r="I102" i="21"/>
  <c r="J104" i="7"/>
  <c r="J44" i="14"/>
  <c r="G79" i="17" s="1"/>
  <c r="F34" i="18" s="1"/>
  <c r="I108" i="7"/>
  <c r="J48" i="14"/>
  <c r="I112" i="7"/>
  <c r="J55" i="14"/>
  <c r="I116" i="7"/>
  <c r="J59" i="14"/>
  <c r="I120" i="7"/>
  <c r="J66" i="14"/>
  <c r="I124" i="7"/>
  <c r="J70" i="14"/>
  <c r="I128" i="7"/>
  <c r="J74" i="14"/>
  <c r="I132" i="7"/>
  <c r="J81" i="14"/>
  <c r="I136" i="7"/>
  <c r="J85" i="14"/>
  <c r="I140" i="7"/>
  <c r="G32" i="5"/>
  <c r="C38" i="5"/>
  <c r="V15" i="5"/>
  <c r="AA15" i="5" s="1"/>
  <c r="N122" i="5"/>
  <c r="E91" i="19"/>
  <c r="J12" i="14"/>
  <c r="I65" i="7"/>
  <c r="J16" i="14"/>
  <c r="I69" i="7"/>
  <c r="J20" i="14"/>
  <c r="G69" i="17" s="1"/>
  <c r="F27" i="18" s="1"/>
  <c r="I73" i="7"/>
  <c r="J24" i="14"/>
  <c r="I77" i="7"/>
  <c r="J28" i="14"/>
  <c r="I81" i="7"/>
  <c r="I83" i="21"/>
  <c r="J85" i="7"/>
  <c r="L85" i="7"/>
  <c r="I87" i="21"/>
  <c r="J89" i="7"/>
  <c r="L89" i="7"/>
  <c r="I93" i="7"/>
  <c r="J36" i="14"/>
  <c r="I97" i="7"/>
  <c r="J40" i="14"/>
  <c r="I103" i="21"/>
  <c r="J105" i="7"/>
  <c r="J45" i="14"/>
  <c r="I109" i="7"/>
  <c r="J49" i="14"/>
  <c r="I113" i="7"/>
  <c r="J56" i="14"/>
  <c r="I117" i="7"/>
  <c r="J60" i="14"/>
  <c r="I121" i="7"/>
  <c r="J67" i="14"/>
  <c r="I125" i="7"/>
  <c r="J71" i="14"/>
  <c r="I129" i="7"/>
  <c r="G68" i="17"/>
  <c r="J82" i="14"/>
  <c r="I137" i="7"/>
  <c r="V13" i="5"/>
  <c r="AA13" i="5" s="1"/>
  <c r="C34" i="5"/>
  <c r="D39" i="5"/>
  <c r="V11" i="5"/>
  <c r="AA11" i="5" s="1"/>
  <c r="N66" i="5"/>
  <c r="N7" i="5"/>
  <c r="L11" i="15"/>
  <c r="K22" i="6"/>
  <c r="L13" i="15"/>
  <c r="K35" i="6"/>
  <c r="L17" i="15"/>
  <c r="L21" i="15" s="1"/>
  <c r="K48" i="6"/>
  <c r="D147" i="5"/>
  <c r="G148" i="5"/>
  <c r="C150" i="5"/>
  <c r="D151" i="5"/>
  <c r="G152" i="5"/>
  <c r="C154" i="5"/>
  <c r="D155" i="5"/>
  <c r="D192" i="5"/>
  <c r="G193" i="5"/>
  <c r="C195" i="5"/>
  <c r="D196" i="5"/>
  <c r="G197" i="5"/>
  <c r="C199" i="5"/>
  <c r="D200" i="5"/>
  <c r="G237" i="5"/>
  <c r="C242" i="5"/>
  <c r="G147" i="5"/>
  <c r="C149" i="5"/>
  <c r="D150" i="5"/>
  <c r="G151" i="5"/>
  <c r="C153" i="5"/>
  <c r="D154" i="5"/>
  <c r="G155" i="5"/>
  <c r="G192" i="5"/>
  <c r="C194" i="5"/>
  <c r="D195" i="5"/>
  <c r="G196" i="5"/>
  <c r="C198" i="5"/>
  <c r="D199" i="5"/>
  <c r="G200" i="5"/>
  <c r="C238" i="5"/>
  <c r="E9" i="6"/>
  <c r="E61" i="6"/>
  <c r="L9" i="15"/>
  <c r="K9" i="6"/>
  <c r="L10" i="15"/>
  <c r="E22" i="6"/>
  <c r="L12" i="15"/>
  <c r="E35" i="6"/>
  <c r="L14" i="15"/>
  <c r="E48" i="6"/>
  <c r="C148" i="5"/>
  <c r="D149" i="5"/>
  <c r="G150" i="5"/>
  <c r="C152" i="5"/>
  <c r="D153" i="5"/>
  <c r="C193" i="5"/>
  <c r="D194" i="5"/>
  <c r="G195" i="5"/>
  <c r="C197" i="5"/>
  <c r="D198" i="5"/>
  <c r="G245" i="5"/>
  <c r="D244" i="5"/>
  <c r="C243" i="5"/>
  <c r="G241" i="5"/>
  <c r="D240" i="5"/>
  <c r="C239" i="5"/>
  <c r="D245" i="5"/>
  <c r="C244" i="5"/>
  <c r="G242" i="5"/>
  <c r="D241" i="5"/>
  <c r="C240" i="5"/>
  <c r="G238" i="5"/>
  <c r="D237" i="5"/>
  <c r="C245" i="5"/>
  <c r="G243" i="5"/>
  <c r="D242" i="5"/>
  <c r="C241" i="5"/>
  <c r="G239" i="5"/>
  <c r="D238" i="5"/>
  <c r="C237" i="5"/>
  <c r="N226" i="5"/>
  <c r="D239" i="5"/>
  <c r="G244" i="5"/>
  <c r="N271" i="5"/>
  <c r="C282" i="5"/>
  <c r="D283" i="5"/>
  <c r="G284" i="5"/>
  <c r="C286" i="5"/>
  <c r="D287" i="5"/>
  <c r="G288" i="5"/>
  <c r="C290" i="5"/>
  <c r="N316" i="5"/>
  <c r="C327" i="5"/>
  <c r="D328" i="5"/>
  <c r="G329" i="5"/>
  <c r="C331" i="5"/>
  <c r="D332" i="5"/>
  <c r="G333" i="5"/>
  <c r="C335" i="5"/>
  <c r="N361" i="5"/>
  <c r="C372" i="5"/>
  <c r="D373" i="5"/>
  <c r="G374" i="5"/>
  <c r="C376" i="5"/>
  <c r="D377" i="5"/>
  <c r="G378" i="5"/>
  <c r="C380" i="5"/>
  <c r="N406" i="5"/>
  <c r="C417" i="5"/>
  <c r="D418" i="5"/>
  <c r="G419" i="5"/>
  <c r="C421" i="5"/>
  <c r="D422" i="5"/>
  <c r="G423" i="5"/>
  <c r="C425" i="5"/>
  <c r="N451" i="5"/>
  <c r="C462" i="5"/>
  <c r="D463" i="5"/>
  <c r="G464" i="5"/>
  <c r="C466" i="5"/>
  <c r="D467" i="5"/>
  <c r="G468" i="5"/>
  <c r="C470" i="5"/>
  <c r="N496" i="5"/>
  <c r="C507" i="5"/>
  <c r="D508" i="5"/>
  <c r="G509" i="5"/>
  <c r="C511" i="5"/>
  <c r="D512" i="5"/>
  <c r="G513" i="5"/>
  <c r="C515" i="5"/>
  <c r="N541" i="5"/>
  <c r="C552" i="5"/>
  <c r="D553" i="5"/>
  <c r="G554" i="5"/>
  <c r="C556" i="5"/>
  <c r="D557" i="5"/>
  <c r="G558" i="5"/>
  <c r="C560" i="5"/>
  <c r="N586" i="5"/>
  <c r="C597" i="5"/>
  <c r="D598" i="5"/>
  <c r="G599" i="5"/>
  <c r="C601" i="5"/>
  <c r="D602" i="5"/>
  <c r="G603" i="5"/>
  <c r="C605" i="5"/>
  <c r="E74" i="6"/>
  <c r="D282" i="5"/>
  <c r="G283" i="5"/>
  <c r="C285" i="5"/>
  <c r="D286" i="5"/>
  <c r="G287" i="5"/>
  <c r="C289" i="5"/>
  <c r="D290" i="5"/>
  <c r="D327" i="5"/>
  <c r="G328" i="5"/>
  <c r="C330" i="5"/>
  <c r="D331" i="5"/>
  <c r="G332" i="5"/>
  <c r="C334" i="5"/>
  <c r="D335" i="5"/>
  <c r="D372" i="5"/>
  <c r="G373" i="5"/>
  <c r="C375" i="5"/>
  <c r="D376" i="5"/>
  <c r="G377" i="5"/>
  <c r="C379" i="5"/>
  <c r="D380" i="5"/>
  <c r="D417" i="5"/>
  <c r="G418" i="5"/>
  <c r="C420" i="5"/>
  <c r="D421" i="5"/>
  <c r="G422" i="5"/>
  <c r="C424" i="5"/>
  <c r="D425" i="5"/>
  <c r="D462" i="5"/>
  <c r="G463" i="5"/>
  <c r="C465" i="5"/>
  <c r="D466" i="5"/>
  <c r="G467" i="5"/>
  <c r="C469" i="5"/>
  <c r="D470" i="5"/>
  <c r="D507" i="5"/>
  <c r="G508" i="5"/>
  <c r="C510" i="5"/>
  <c r="D511" i="5"/>
  <c r="G512" i="5"/>
  <c r="C514" i="5"/>
  <c r="D515" i="5"/>
  <c r="D552" i="5"/>
  <c r="G553" i="5"/>
  <c r="C555" i="5"/>
  <c r="D556" i="5"/>
  <c r="G557" i="5"/>
  <c r="C559" i="5"/>
  <c r="D560" i="5"/>
  <c r="D597" i="5"/>
  <c r="G598" i="5"/>
  <c r="C600" i="5"/>
  <c r="D601" i="5"/>
  <c r="G602" i="5"/>
  <c r="C604" i="5"/>
  <c r="D605" i="5"/>
  <c r="K61" i="6"/>
  <c r="K113" i="6"/>
  <c r="AD64" i="9"/>
  <c r="R1" i="9" s="1"/>
  <c r="G282" i="5"/>
  <c r="C284" i="5"/>
  <c r="D285" i="5"/>
  <c r="G286" i="5"/>
  <c r="C288" i="5"/>
  <c r="D289" i="5"/>
  <c r="G327" i="5"/>
  <c r="C329" i="5"/>
  <c r="D330" i="5"/>
  <c r="G331" i="5"/>
  <c r="C333" i="5"/>
  <c r="D334" i="5"/>
  <c r="G372" i="5"/>
  <c r="C374" i="5"/>
  <c r="D375" i="5"/>
  <c r="G376" i="5"/>
  <c r="C378" i="5"/>
  <c r="D379" i="5"/>
  <c r="G417" i="5"/>
  <c r="C419" i="5"/>
  <c r="D420" i="5"/>
  <c r="G421" i="5"/>
  <c r="C423" i="5"/>
  <c r="D424" i="5"/>
  <c r="G462" i="5"/>
  <c r="C464" i="5"/>
  <c r="D465" i="5"/>
  <c r="G466" i="5"/>
  <c r="C468" i="5"/>
  <c r="D469" i="5"/>
  <c r="G507" i="5"/>
  <c r="C509" i="5"/>
  <c r="D510" i="5"/>
  <c r="G511" i="5"/>
  <c r="C513" i="5"/>
  <c r="D514" i="5"/>
  <c r="G552" i="5"/>
  <c r="C554" i="5"/>
  <c r="D555" i="5"/>
  <c r="G556" i="5"/>
  <c r="C558" i="5"/>
  <c r="D559" i="5"/>
  <c r="G597" i="5"/>
  <c r="C599" i="5"/>
  <c r="D600" i="5"/>
  <c r="G601" i="5"/>
  <c r="C603" i="5"/>
  <c r="D604" i="5"/>
  <c r="K74" i="6"/>
  <c r="E87" i="6"/>
  <c r="E100" i="6"/>
  <c r="T64" i="9"/>
  <c r="P31" i="10"/>
  <c r="AE64" i="9"/>
  <c r="H60" i="7"/>
  <c r="G31" i="20"/>
  <c r="Q64" i="9"/>
  <c r="L82" i="7"/>
  <c r="H142" i="7"/>
  <c r="N3" i="7" s="1"/>
  <c r="C100" i="19"/>
  <c r="D98" i="19"/>
  <c r="F89" i="19"/>
  <c r="D82" i="19"/>
  <c r="E64" i="19"/>
  <c r="F93" i="19"/>
  <c r="C82" i="19"/>
  <c r="D80" i="19"/>
  <c r="E100" i="19"/>
  <c r="F75" i="19"/>
  <c r="D100" i="19"/>
  <c r="E82" i="19"/>
  <c r="F57" i="19"/>
  <c r="C46" i="19"/>
  <c r="D44" i="19"/>
  <c r="E46" i="19"/>
  <c r="E30" i="19"/>
  <c r="D28" i="19"/>
  <c r="F71" i="19"/>
  <c r="D62" i="19"/>
  <c r="F53" i="19"/>
  <c r="D46" i="19"/>
  <c r="C28" i="19"/>
  <c r="D26" i="19"/>
  <c r="F21" i="19"/>
  <c r="F52" i="1" s="1"/>
  <c r="D64" i="19"/>
  <c r="F39" i="19"/>
  <c r="F35" i="19"/>
  <c r="F17" i="19"/>
  <c r="C64" i="19"/>
  <c r="G38" i="17"/>
  <c r="F51" i="18" s="1"/>
  <c r="F37" i="19"/>
  <c r="F73" i="19"/>
  <c r="F91" i="19"/>
  <c r="H58" i="21"/>
  <c r="C62" i="19"/>
  <c r="C80" i="19"/>
  <c r="O2" i="21"/>
  <c r="O6" i="21" s="1"/>
  <c r="L15" i="15" l="1"/>
  <c r="I135" i="21"/>
  <c r="J137" i="7"/>
  <c r="L137" i="7"/>
  <c r="I127" i="21"/>
  <c r="L129" i="7"/>
  <c r="J129" i="7"/>
  <c r="I119" i="21"/>
  <c r="H119" i="21"/>
  <c r="J121" i="7"/>
  <c r="H111" i="21"/>
  <c r="I111" i="21"/>
  <c r="L113" i="7"/>
  <c r="J113" i="7"/>
  <c r="I79" i="21"/>
  <c r="J81" i="7"/>
  <c r="I71" i="21"/>
  <c r="J73" i="7"/>
  <c r="L73" i="7"/>
  <c r="I63" i="21"/>
  <c r="J65" i="7"/>
  <c r="L65" i="7"/>
  <c r="K75" i="14"/>
  <c r="I78" i="21"/>
  <c r="L80" i="7"/>
  <c r="J80" i="7"/>
  <c r="I133" i="21"/>
  <c r="J135" i="7"/>
  <c r="L135" i="7"/>
  <c r="I125" i="21"/>
  <c r="L127" i="7"/>
  <c r="J127" i="7"/>
  <c r="H113" i="21"/>
  <c r="I113" i="21"/>
  <c r="J115" i="7"/>
  <c r="I105" i="21"/>
  <c r="L107" i="7"/>
  <c r="J107" i="7"/>
  <c r="I93" i="21"/>
  <c r="L95" i="7"/>
  <c r="J95" i="7"/>
  <c r="I73" i="21"/>
  <c r="J75" i="7"/>
  <c r="L75" i="7"/>
  <c r="I76" i="21"/>
  <c r="L78" i="7"/>
  <c r="J78" i="7"/>
  <c r="F25" i="18"/>
  <c r="I8" i="21"/>
  <c r="L10" i="7"/>
  <c r="J10" i="7"/>
  <c r="I55" i="21"/>
  <c r="J57" i="7"/>
  <c r="L57" i="7"/>
  <c r="I47" i="21"/>
  <c r="J49" i="7"/>
  <c r="I39" i="21"/>
  <c r="L41" i="7"/>
  <c r="J41" i="7"/>
  <c r="I31" i="21"/>
  <c r="L33" i="7"/>
  <c r="J33" i="7"/>
  <c r="I23" i="21"/>
  <c r="L25" i="7"/>
  <c r="J25" i="7"/>
  <c r="I50" i="21"/>
  <c r="L52" i="7"/>
  <c r="J52" i="7"/>
  <c r="I42" i="21"/>
  <c r="L44" i="7"/>
  <c r="J44" i="7"/>
  <c r="I34" i="21"/>
  <c r="L36" i="7"/>
  <c r="J36" i="7"/>
  <c r="I26" i="21"/>
  <c r="J28" i="7"/>
  <c r="L28" i="7"/>
  <c r="I18" i="21"/>
  <c r="J20" i="7"/>
  <c r="L20" i="7"/>
  <c r="I9" i="21"/>
  <c r="L11" i="7"/>
  <c r="J11" i="7"/>
  <c r="O76" i="1"/>
  <c r="N76" i="1"/>
  <c r="O61" i="1"/>
  <c r="N61" i="1"/>
  <c r="N56" i="1"/>
  <c r="P56" i="1" s="1"/>
  <c r="O56" i="1"/>
  <c r="E522" i="3"/>
  <c r="E522" i="2"/>
  <c r="N79" i="1"/>
  <c r="P79" i="1" s="1"/>
  <c r="O79" i="1"/>
  <c r="G352" i="5"/>
  <c r="K75" i="6" s="1"/>
  <c r="G57" i="5"/>
  <c r="K10" i="6" s="1"/>
  <c r="G577" i="5"/>
  <c r="E114" i="6" s="1"/>
  <c r="G622" i="5"/>
  <c r="K114" i="6" s="1"/>
  <c r="C607" i="5"/>
  <c r="C593" i="5"/>
  <c r="I588" i="5"/>
  <c r="C586" i="5"/>
  <c r="C562" i="5"/>
  <c r="C548" i="5"/>
  <c r="I543" i="5"/>
  <c r="C541" i="5"/>
  <c r="C517" i="5"/>
  <c r="C503" i="5"/>
  <c r="I498" i="5"/>
  <c r="C496" i="5"/>
  <c r="C472" i="5"/>
  <c r="C458" i="5"/>
  <c r="I453" i="5"/>
  <c r="C451" i="5"/>
  <c r="C427" i="5"/>
  <c r="C413" i="5"/>
  <c r="I408" i="5"/>
  <c r="C406" i="5"/>
  <c r="C382" i="5"/>
  <c r="C368" i="5"/>
  <c r="I363" i="5"/>
  <c r="C361" i="5"/>
  <c r="C337" i="5"/>
  <c r="C323" i="5"/>
  <c r="I318" i="5"/>
  <c r="C316" i="5"/>
  <c r="C292" i="5"/>
  <c r="C278" i="5"/>
  <c r="I273" i="5"/>
  <c r="C271" i="5"/>
  <c r="C247" i="5"/>
  <c r="C622" i="5"/>
  <c r="G608" i="5"/>
  <c r="I590" i="5"/>
  <c r="C589" i="5"/>
  <c r="D585" i="5"/>
  <c r="C577" i="5"/>
  <c r="G563" i="5"/>
  <c r="I545" i="5"/>
  <c r="C544" i="5"/>
  <c r="D540" i="5"/>
  <c r="C532" i="5"/>
  <c r="G518" i="5"/>
  <c r="I500" i="5"/>
  <c r="C499" i="5"/>
  <c r="D495" i="5"/>
  <c r="C487" i="5"/>
  <c r="G473" i="5"/>
  <c r="I455" i="5"/>
  <c r="C454" i="5"/>
  <c r="D450" i="5"/>
  <c r="C442" i="5"/>
  <c r="G428" i="5"/>
  <c r="I410" i="5"/>
  <c r="C409" i="5"/>
  <c r="D405" i="5"/>
  <c r="C397" i="5"/>
  <c r="G383" i="5"/>
  <c r="I365" i="5"/>
  <c r="C364" i="5"/>
  <c r="D360" i="5"/>
  <c r="C352" i="5"/>
  <c r="G338" i="5"/>
  <c r="I320" i="5"/>
  <c r="C319" i="5"/>
  <c r="D315" i="5"/>
  <c r="C307" i="5"/>
  <c r="G293" i="5"/>
  <c r="I275" i="5"/>
  <c r="C274" i="5"/>
  <c r="D270" i="5"/>
  <c r="C262" i="5"/>
  <c r="G248" i="5"/>
  <c r="I230" i="5"/>
  <c r="C229" i="5"/>
  <c r="C624" i="5"/>
  <c r="D608" i="5"/>
  <c r="I594" i="5"/>
  <c r="G593" i="5"/>
  <c r="I592" i="5"/>
  <c r="C579" i="5"/>
  <c r="D563" i="5"/>
  <c r="I549" i="5"/>
  <c r="G548" i="5"/>
  <c r="I547" i="5"/>
  <c r="C534" i="5"/>
  <c r="D518" i="5"/>
  <c r="I504" i="5"/>
  <c r="G503" i="5"/>
  <c r="I502" i="5"/>
  <c r="C489" i="5"/>
  <c r="D473" i="5"/>
  <c r="I459" i="5"/>
  <c r="G458" i="5"/>
  <c r="I457" i="5"/>
  <c r="C444" i="5"/>
  <c r="D428" i="5"/>
  <c r="I414" i="5"/>
  <c r="G413" i="5"/>
  <c r="I412" i="5"/>
  <c r="C399" i="5"/>
  <c r="D383" i="5"/>
  <c r="I369" i="5"/>
  <c r="G368" i="5"/>
  <c r="I367" i="5"/>
  <c r="C354" i="5"/>
  <c r="D338" i="5"/>
  <c r="I324" i="5"/>
  <c r="G323" i="5"/>
  <c r="I322" i="5"/>
  <c r="C309" i="5"/>
  <c r="D293" i="5"/>
  <c r="I279" i="5"/>
  <c r="G278" i="5"/>
  <c r="I277" i="5"/>
  <c r="C264" i="5"/>
  <c r="D248" i="5"/>
  <c r="I234" i="5"/>
  <c r="G233" i="5"/>
  <c r="I232" i="5"/>
  <c r="C219" i="5"/>
  <c r="C623" i="5"/>
  <c r="C590" i="5"/>
  <c r="C588" i="5"/>
  <c r="C563" i="5"/>
  <c r="C547" i="5"/>
  <c r="I541" i="5"/>
  <c r="D503" i="5"/>
  <c r="Q498" i="5"/>
  <c r="C443" i="5"/>
  <c r="C410" i="5"/>
  <c r="C408" i="5"/>
  <c r="C383" i="5"/>
  <c r="C367" i="5"/>
  <c r="I361" i="5"/>
  <c r="D323" i="5"/>
  <c r="Q318" i="5"/>
  <c r="I316" i="5"/>
  <c r="D278" i="5"/>
  <c r="Q273" i="5"/>
  <c r="Q228" i="5"/>
  <c r="D225" i="5"/>
  <c r="C218" i="5"/>
  <c r="C203" i="5"/>
  <c r="D188" i="5"/>
  <c r="C187" i="5"/>
  <c r="C185" i="5"/>
  <c r="Q183" i="5"/>
  <c r="C183" i="5"/>
  <c r="I181" i="5"/>
  <c r="C173" i="5"/>
  <c r="C158" i="5"/>
  <c r="D143" i="5"/>
  <c r="C142" i="5"/>
  <c r="C140" i="5"/>
  <c r="Q138" i="5"/>
  <c r="C138" i="5"/>
  <c r="I136" i="5"/>
  <c r="C128" i="5"/>
  <c r="C125" i="5"/>
  <c r="D121" i="5"/>
  <c r="C112" i="5"/>
  <c r="B40" i="8" s="1"/>
  <c r="Q110" i="5"/>
  <c r="C110" i="5"/>
  <c r="I108" i="5"/>
  <c r="C100" i="5"/>
  <c r="C97" i="5"/>
  <c r="B9" i="8" s="1"/>
  <c r="D93" i="5"/>
  <c r="C84" i="5"/>
  <c r="Q82" i="5"/>
  <c r="C82" i="5"/>
  <c r="I80" i="5"/>
  <c r="C72" i="5"/>
  <c r="C69" i="5"/>
  <c r="D65" i="5"/>
  <c r="C57" i="5"/>
  <c r="G43" i="5"/>
  <c r="I25" i="5"/>
  <c r="C24" i="5"/>
  <c r="D20" i="5"/>
  <c r="C13" i="5"/>
  <c r="I9" i="5"/>
  <c r="C7" i="5"/>
  <c r="C4" i="5"/>
  <c r="C4" i="6" s="1"/>
  <c r="B1" i="5"/>
  <c r="C578" i="5"/>
  <c r="C545" i="5"/>
  <c r="C543" i="5"/>
  <c r="C518" i="5"/>
  <c r="C502" i="5"/>
  <c r="I496" i="5"/>
  <c r="D458" i="5"/>
  <c r="Q453" i="5"/>
  <c r="C398" i="5"/>
  <c r="C365" i="5"/>
  <c r="C363" i="5"/>
  <c r="C338" i="5"/>
  <c r="C322" i="5"/>
  <c r="C293" i="5"/>
  <c r="C277" i="5"/>
  <c r="I271" i="5"/>
  <c r="D233" i="5"/>
  <c r="C230" i="5"/>
  <c r="I228" i="5"/>
  <c r="C202" i="5"/>
  <c r="C188" i="5"/>
  <c r="I183" i="5"/>
  <c r="C181" i="5"/>
  <c r="C157" i="5"/>
  <c r="C143" i="5"/>
  <c r="I138" i="5"/>
  <c r="C136" i="5"/>
  <c r="C115" i="5"/>
  <c r="I110" i="5"/>
  <c r="C108" i="5"/>
  <c r="C87" i="5"/>
  <c r="I82" i="5"/>
  <c r="C80" i="5"/>
  <c r="C59" i="5"/>
  <c r="D43" i="5"/>
  <c r="I29" i="5"/>
  <c r="G28" i="5"/>
  <c r="I27" i="5"/>
  <c r="C14" i="5"/>
  <c r="B3" i="5"/>
  <c r="B3" i="7" s="1"/>
  <c r="D593" i="5"/>
  <c r="Q588" i="5"/>
  <c r="C533" i="5"/>
  <c r="C500" i="5"/>
  <c r="C498" i="5"/>
  <c r="C473" i="5"/>
  <c r="C457" i="5"/>
  <c r="I451" i="5"/>
  <c r="D413" i="5"/>
  <c r="Q408" i="5"/>
  <c r="C353" i="5"/>
  <c r="C320" i="5"/>
  <c r="C318" i="5"/>
  <c r="C308" i="5"/>
  <c r="C275" i="5"/>
  <c r="C273" i="5"/>
  <c r="C248" i="5"/>
  <c r="C233" i="5"/>
  <c r="I226" i="5"/>
  <c r="C217" i="5"/>
  <c r="G203" i="5"/>
  <c r="I185" i="5"/>
  <c r="C184" i="5"/>
  <c r="D180" i="5"/>
  <c r="C172" i="5"/>
  <c r="G158" i="5"/>
  <c r="I140" i="5"/>
  <c r="C139" i="5"/>
  <c r="D135" i="5"/>
  <c r="C126" i="5"/>
  <c r="Q124" i="5"/>
  <c r="C124" i="5"/>
  <c r="I122" i="5"/>
  <c r="C114" i="5"/>
  <c r="C111" i="5"/>
  <c r="B39" i="8" s="1"/>
  <c r="D107" i="5"/>
  <c r="C98" i="5"/>
  <c r="B10" i="8" s="1"/>
  <c r="Q96" i="5"/>
  <c r="C96" i="5"/>
  <c r="I94" i="5"/>
  <c r="C86" i="5"/>
  <c r="C83" i="5"/>
  <c r="D79" i="5"/>
  <c r="C70" i="5"/>
  <c r="Q68" i="5"/>
  <c r="C68" i="5"/>
  <c r="I66" i="5"/>
  <c r="C58" i="5"/>
  <c r="C43" i="5"/>
  <c r="D28" i="5"/>
  <c r="C27" i="5"/>
  <c r="C25" i="5"/>
  <c r="Q23" i="5"/>
  <c r="C23" i="5"/>
  <c r="I21" i="5"/>
  <c r="C11" i="5"/>
  <c r="C10" i="5"/>
  <c r="C455" i="5"/>
  <c r="D368" i="5"/>
  <c r="C232" i="5"/>
  <c r="I189" i="5"/>
  <c r="I144" i="5"/>
  <c r="C129" i="5"/>
  <c r="C21" i="5"/>
  <c r="Q9" i="5"/>
  <c r="I7" i="5"/>
  <c r="D548" i="5"/>
  <c r="C488" i="5"/>
  <c r="C428" i="5"/>
  <c r="C412" i="5"/>
  <c r="C263" i="5"/>
  <c r="G188" i="5"/>
  <c r="G143" i="5"/>
  <c r="I96" i="5"/>
  <c r="C94" i="5"/>
  <c r="C66" i="5"/>
  <c r="C28" i="5"/>
  <c r="K23" i="5"/>
  <c r="C608" i="5"/>
  <c r="C592" i="5"/>
  <c r="I406" i="5"/>
  <c r="Q363" i="5"/>
  <c r="C226" i="5"/>
  <c r="D203" i="5"/>
  <c r="I187" i="5"/>
  <c r="D158" i="5"/>
  <c r="I142" i="5"/>
  <c r="C101" i="5"/>
  <c r="I68" i="5"/>
  <c r="C42" i="5"/>
  <c r="C9" i="5"/>
  <c r="I586" i="5"/>
  <c r="Q543" i="5"/>
  <c r="C453" i="5"/>
  <c r="C228" i="5"/>
  <c r="C174" i="5"/>
  <c r="I124" i="5"/>
  <c r="C122" i="5"/>
  <c r="C73" i="5"/>
  <c r="O7" i="9"/>
  <c r="G7" i="9"/>
  <c r="N6" i="9"/>
  <c r="F6" i="9"/>
  <c r="X5" i="9"/>
  <c r="T5" i="9"/>
  <c r="O5" i="9"/>
  <c r="E5" i="9"/>
  <c r="S4" i="9"/>
  <c r="AB2" i="9"/>
  <c r="Q1" i="9"/>
  <c r="M7" i="9"/>
  <c r="E7" i="9"/>
  <c r="L6" i="9"/>
  <c r="W5" i="9"/>
  <c r="M5" i="9"/>
  <c r="D5" i="9"/>
  <c r="R4" i="9"/>
  <c r="U2" i="9"/>
  <c r="B1" i="9"/>
  <c r="K7" i="9"/>
  <c r="J6" i="9"/>
  <c r="Z5" i="9"/>
  <c r="V5" i="9"/>
  <c r="K5" i="9"/>
  <c r="C5" i="9"/>
  <c r="E4" i="9"/>
  <c r="B66" i="9"/>
  <c r="H6" i="9"/>
  <c r="B5" i="9"/>
  <c r="I7" i="9"/>
  <c r="Y5" i="9"/>
  <c r="Q5" i="9"/>
  <c r="I5" i="9"/>
  <c r="U5" i="9"/>
  <c r="P6" i="9"/>
  <c r="B42" i="12"/>
  <c r="E40" i="12"/>
  <c r="B38" i="12"/>
  <c r="B29" i="12"/>
  <c r="C24" i="12"/>
  <c r="E11" i="12"/>
  <c r="B10" i="12"/>
  <c r="B3" i="12"/>
  <c r="B41" i="12"/>
  <c r="D36" i="12"/>
  <c r="B30" i="12"/>
  <c r="B26" i="12"/>
  <c r="G22" i="12"/>
  <c r="G21" i="12"/>
  <c r="C20" i="12"/>
  <c r="C18" i="12"/>
  <c r="B6" i="12"/>
  <c r="J40" i="12"/>
  <c r="B40" i="12"/>
  <c r="B33" i="12"/>
  <c r="B17" i="12"/>
  <c r="B12" i="12"/>
  <c r="B11" i="12"/>
  <c r="B5" i="12"/>
  <c r="B32" i="12"/>
  <c r="C23" i="12"/>
  <c r="B7" i="12"/>
  <c r="C19" i="12"/>
  <c r="B4" i="12"/>
  <c r="B28" i="12"/>
  <c r="C21" i="12"/>
  <c r="B1" i="12"/>
  <c r="F38" i="12"/>
  <c r="C22" i="12"/>
  <c r="B13" i="12"/>
  <c r="T10" i="12"/>
  <c r="B8" i="12" s="1"/>
  <c r="F90" i="14"/>
  <c r="B3" i="14"/>
  <c r="B92" i="14"/>
  <c r="B1" i="14"/>
  <c r="F88" i="14"/>
  <c r="O77" i="1"/>
  <c r="N77" i="1"/>
  <c r="E532" i="3"/>
  <c r="O532" i="3" s="1"/>
  <c r="N232" i="5"/>
  <c r="K68" i="6" s="1"/>
  <c r="G532" i="3"/>
  <c r="G230" i="5" s="1"/>
  <c r="O80" i="1"/>
  <c r="N80" i="1"/>
  <c r="P80" i="1" s="1"/>
  <c r="W3" i="15"/>
  <c r="R5" i="14"/>
  <c r="W4" i="15"/>
  <c r="R4" i="14"/>
  <c r="G539" i="3"/>
  <c r="G545" i="5" s="1"/>
  <c r="E116" i="6" s="1"/>
  <c r="E539" i="3"/>
  <c r="O539" i="3" s="1"/>
  <c r="N547" i="5"/>
  <c r="E120" i="6" s="1"/>
  <c r="G319" i="5"/>
  <c r="E534" i="2"/>
  <c r="O534" i="2" s="1"/>
  <c r="H534" i="2"/>
  <c r="N320" i="5" s="1"/>
  <c r="G139" i="5"/>
  <c r="E530" i="2"/>
  <c r="O530" i="2" s="1"/>
  <c r="H530" i="2"/>
  <c r="N140" i="5" s="1"/>
  <c r="H525" i="2"/>
  <c r="G69" i="5"/>
  <c r="E525" i="2"/>
  <c r="O525" i="2" s="1"/>
  <c r="G529" i="3"/>
  <c r="G126" i="5" s="1"/>
  <c r="E529" i="3"/>
  <c r="O529" i="3" s="1"/>
  <c r="I91" i="21"/>
  <c r="J93" i="7"/>
  <c r="L93" i="7"/>
  <c r="A11" i="22"/>
  <c r="G72" i="17"/>
  <c r="F29" i="18" s="1"/>
  <c r="I134" i="21"/>
  <c r="L136" i="7"/>
  <c r="J136" i="7"/>
  <c r="I126" i="21"/>
  <c r="L128" i="7"/>
  <c r="J128" i="7"/>
  <c r="H118" i="21"/>
  <c r="I118" i="21"/>
  <c r="J120" i="7"/>
  <c r="I110" i="21"/>
  <c r="L112" i="7"/>
  <c r="J112" i="7"/>
  <c r="I94" i="21"/>
  <c r="J96" i="7"/>
  <c r="L96" i="7"/>
  <c r="G29" i="17"/>
  <c r="F43" i="18"/>
  <c r="I66" i="21"/>
  <c r="L68" i="7"/>
  <c r="J68" i="7"/>
  <c r="G93" i="19"/>
  <c r="F100" i="19" s="1"/>
  <c r="G91" i="19"/>
  <c r="F98" i="19" s="1"/>
  <c r="K63" i="14"/>
  <c r="I65" i="21"/>
  <c r="L67" i="7"/>
  <c r="J67" i="7"/>
  <c r="I92" i="21"/>
  <c r="L94" i="7"/>
  <c r="J94" i="7"/>
  <c r="I72" i="21"/>
  <c r="L74" i="7"/>
  <c r="J74" i="7"/>
  <c r="I64" i="21"/>
  <c r="L66" i="7"/>
  <c r="J66" i="7"/>
  <c r="I136" i="21"/>
  <c r="L138" i="7"/>
  <c r="J138" i="7"/>
  <c r="I128" i="21"/>
  <c r="L130" i="7"/>
  <c r="J130" i="7"/>
  <c r="I120" i="21"/>
  <c r="H120" i="21"/>
  <c r="J122" i="7"/>
  <c r="I112" i="21"/>
  <c r="H112" i="21"/>
  <c r="J114" i="7"/>
  <c r="I56" i="21"/>
  <c r="J58" i="7"/>
  <c r="I48" i="21"/>
  <c r="J50" i="7"/>
  <c r="L50" i="7"/>
  <c r="I40" i="21"/>
  <c r="J42" i="7"/>
  <c r="L42" i="7"/>
  <c r="I32" i="21"/>
  <c r="L34" i="7"/>
  <c r="J34" i="7"/>
  <c r="I24" i="21"/>
  <c r="J26" i="7"/>
  <c r="L26" i="7"/>
  <c r="A4" i="22"/>
  <c r="G64" i="17"/>
  <c r="K53" i="13"/>
  <c r="A8" i="22" s="1"/>
  <c r="I15" i="21"/>
  <c r="J17" i="7"/>
  <c r="L17" i="7"/>
  <c r="F8" i="18"/>
  <c r="G13" i="17"/>
  <c r="I53" i="21"/>
  <c r="J55" i="7"/>
  <c r="L55" i="7"/>
  <c r="I45" i="21"/>
  <c r="L47" i="7"/>
  <c r="J47" i="7"/>
  <c r="I37" i="21"/>
  <c r="L39" i="7"/>
  <c r="J39" i="7"/>
  <c r="I29" i="21"/>
  <c r="L31" i="7"/>
  <c r="J31" i="7"/>
  <c r="I21" i="21"/>
  <c r="L23" i="7"/>
  <c r="J23" i="7"/>
  <c r="G21" i="19"/>
  <c r="F28" i="19" s="1"/>
  <c r="G19" i="19"/>
  <c r="F26" i="19" s="1"/>
  <c r="F30" i="19" s="1"/>
  <c r="G75" i="19"/>
  <c r="F82" i="19" s="1"/>
  <c r="G73" i="19"/>
  <c r="F80" i="19" s="1"/>
  <c r="N73" i="1"/>
  <c r="P73" i="1" s="1"/>
  <c r="O73" i="1"/>
  <c r="O59" i="1"/>
  <c r="N59" i="1"/>
  <c r="G487" i="5"/>
  <c r="E101" i="6" s="1"/>
  <c r="C23" i="20"/>
  <c r="C8" i="6"/>
  <c r="F8" i="15" s="1"/>
  <c r="C8" i="5"/>
  <c r="Z9" i="5" s="1"/>
  <c r="AA9" i="5" s="1"/>
  <c r="L36" i="1"/>
  <c r="I121" i="6"/>
  <c r="C120" i="6"/>
  <c r="C119" i="6"/>
  <c r="C118" i="6"/>
  <c r="F117" i="6"/>
  <c r="I116" i="6"/>
  <c r="I115" i="6"/>
  <c r="I114" i="6"/>
  <c r="I113" i="6"/>
  <c r="I108" i="6"/>
  <c r="C107" i="6"/>
  <c r="C106" i="6"/>
  <c r="C105" i="6"/>
  <c r="F104" i="6"/>
  <c r="I103" i="6"/>
  <c r="I102" i="6"/>
  <c r="I101" i="6"/>
  <c r="I100" i="6"/>
  <c r="I95" i="6"/>
  <c r="C94" i="6"/>
  <c r="C93" i="6"/>
  <c r="C92" i="6"/>
  <c r="F91" i="6"/>
  <c r="I90" i="6"/>
  <c r="I89" i="6"/>
  <c r="I88" i="6"/>
  <c r="I87" i="6"/>
  <c r="I120" i="6"/>
  <c r="M117" i="6"/>
  <c r="C121" i="6"/>
  <c r="I119" i="6"/>
  <c r="I118" i="6"/>
  <c r="C117" i="6"/>
  <c r="C116" i="6"/>
  <c r="C115" i="6"/>
  <c r="C114" i="6"/>
  <c r="C113" i="6"/>
  <c r="C108" i="6"/>
  <c r="I106" i="6"/>
  <c r="I105" i="6"/>
  <c r="C104" i="6"/>
  <c r="C103" i="6"/>
  <c r="C102" i="6"/>
  <c r="C101" i="6"/>
  <c r="C100" i="6"/>
  <c r="C95" i="6"/>
  <c r="I93" i="6"/>
  <c r="I92" i="6"/>
  <c r="C91" i="6"/>
  <c r="C90" i="6"/>
  <c r="C89" i="6"/>
  <c r="C88" i="6"/>
  <c r="C87" i="6"/>
  <c r="C82" i="6"/>
  <c r="I80" i="6"/>
  <c r="I79" i="6"/>
  <c r="C78" i="6"/>
  <c r="C77" i="6"/>
  <c r="C76" i="6"/>
  <c r="C75" i="6"/>
  <c r="C74" i="6"/>
  <c r="C69" i="6"/>
  <c r="I107" i="6"/>
  <c r="I94" i="6"/>
  <c r="C81" i="6"/>
  <c r="I78" i="6"/>
  <c r="I77" i="6"/>
  <c r="I69" i="6"/>
  <c r="I68" i="6"/>
  <c r="I67" i="6"/>
  <c r="I66" i="6"/>
  <c r="C65" i="6"/>
  <c r="C64" i="6"/>
  <c r="C63" i="6"/>
  <c r="C62" i="6"/>
  <c r="C61" i="6"/>
  <c r="C56" i="6"/>
  <c r="I55" i="6"/>
  <c r="L52" i="6"/>
  <c r="I39" i="6"/>
  <c r="I26" i="6"/>
  <c r="I16" i="6"/>
  <c r="I14" i="6"/>
  <c r="F13" i="6"/>
  <c r="I12" i="6"/>
  <c r="I11" i="6"/>
  <c r="I10" i="6"/>
  <c r="C9" i="6"/>
  <c r="I117" i="6"/>
  <c r="F78" i="6"/>
  <c r="I74" i="6"/>
  <c r="I65" i="6"/>
  <c r="I53" i="6"/>
  <c r="C52" i="6"/>
  <c r="C51" i="6"/>
  <c r="C50" i="6"/>
  <c r="I48" i="6"/>
  <c r="I43" i="6"/>
  <c r="C40" i="6"/>
  <c r="F39" i="6"/>
  <c r="I38" i="6"/>
  <c r="I37" i="6"/>
  <c r="I35" i="6"/>
  <c r="I30" i="6"/>
  <c r="C27" i="6"/>
  <c r="F26" i="6"/>
  <c r="I25" i="6"/>
  <c r="I24" i="6"/>
  <c r="I22" i="6"/>
  <c r="I17" i="6"/>
  <c r="L13" i="6"/>
  <c r="B1" i="6"/>
  <c r="M104" i="6"/>
  <c r="M91" i="6"/>
  <c r="I82" i="6"/>
  <c r="I81" i="6"/>
  <c r="C79" i="6"/>
  <c r="I75" i="6"/>
  <c r="C68" i="6"/>
  <c r="C67" i="6"/>
  <c r="C66" i="6"/>
  <c r="F65" i="6"/>
  <c r="I64" i="6"/>
  <c r="I63" i="6"/>
  <c r="I62" i="6"/>
  <c r="I61" i="6"/>
  <c r="I56" i="6"/>
  <c r="I52" i="6"/>
  <c r="M39" i="6"/>
  <c r="M26" i="6"/>
  <c r="I15" i="6"/>
  <c r="C13" i="6"/>
  <c r="C12" i="6"/>
  <c r="C11" i="6"/>
  <c r="I9" i="6"/>
  <c r="B3" i="6"/>
  <c r="I91" i="6"/>
  <c r="M78" i="6"/>
  <c r="M65" i="6"/>
  <c r="I54" i="6"/>
  <c r="F52" i="6"/>
  <c r="C48" i="6"/>
  <c r="C37" i="6"/>
  <c r="C26" i="6"/>
  <c r="I104" i="6"/>
  <c r="C80" i="6"/>
  <c r="I51" i="6"/>
  <c r="C43" i="6"/>
  <c r="C35" i="6"/>
  <c r="I27" i="6"/>
  <c r="C25" i="6"/>
  <c r="I13" i="6"/>
  <c r="I76" i="6"/>
  <c r="I50" i="6"/>
  <c r="C39" i="6"/>
  <c r="C24" i="6"/>
  <c r="I49" i="6"/>
  <c r="C38" i="6"/>
  <c r="I40" i="6"/>
  <c r="C30" i="6"/>
  <c r="C22" i="6"/>
  <c r="C53" i="6"/>
  <c r="C137" i="16"/>
  <c r="F36" i="15" s="1"/>
  <c r="C126" i="16"/>
  <c r="F35" i="15" s="1"/>
  <c r="C122" i="16"/>
  <c r="C104" i="16"/>
  <c r="M11" i="16"/>
  <c r="D6" i="16"/>
  <c r="C107" i="16"/>
  <c r="F34" i="15" s="1"/>
  <c r="C103" i="16"/>
  <c r="C93" i="16"/>
  <c r="C82" i="16"/>
  <c r="C8" i="16"/>
  <c r="F25" i="15" s="1"/>
  <c r="C6" i="16"/>
  <c r="B148" i="16"/>
  <c r="C96" i="16"/>
  <c r="F33" i="15" s="1"/>
  <c r="C85" i="16"/>
  <c r="F32" i="15" s="1"/>
  <c r="C81" i="16"/>
  <c r="C71" i="16"/>
  <c r="C60" i="16"/>
  <c r="C49" i="16"/>
  <c r="C38" i="16"/>
  <c r="C27" i="16"/>
  <c r="C16" i="16"/>
  <c r="J6" i="16"/>
  <c r="B6" i="16"/>
  <c r="B1" i="16"/>
  <c r="C134" i="16"/>
  <c r="C52" i="16"/>
  <c r="F29" i="15" s="1"/>
  <c r="C15" i="16"/>
  <c r="C145" i="16"/>
  <c r="C63" i="16"/>
  <c r="F30" i="15" s="1"/>
  <c r="C19" i="16"/>
  <c r="F26" i="15" s="1"/>
  <c r="I6" i="16"/>
  <c r="C74" i="16"/>
  <c r="F31" i="15" s="1"/>
  <c r="C30" i="16"/>
  <c r="F27" i="15" s="1"/>
  <c r="C123" i="16"/>
  <c r="C41" i="16"/>
  <c r="F28" i="15" s="1"/>
  <c r="B3" i="13"/>
  <c r="F67" i="13"/>
  <c r="B1" i="13"/>
  <c r="B4" i="13"/>
  <c r="B5" i="14" s="1"/>
  <c r="B59" i="18"/>
  <c r="B56" i="18"/>
  <c r="B53" i="18"/>
  <c r="B51" i="18"/>
  <c r="B48" i="18"/>
  <c r="H45" i="18"/>
  <c r="H43" i="18"/>
  <c r="B41" i="18"/>
  <c r="B39" i="18"/>
  <c r="B32" i="18"/>
  <c r="B30" i="18"/>
  <c r="B28" i="18"/>
  <c r="B26" i="18"/>
  <c r="H23" i="18"/>
  <c r="B22" i="18"/>
  <c r="B19" i="18"/>
  <c r="B16" i="18"/>
  <c r="B14" i="18"/>
  <c r="B12" i="18"/>
  <c r="B7" i="18"/>
  <c r="B58" i="18"/>
  <c r="B55" i="18"/>
  <c r="B36" i="18"/>
  <c r="B34" i="18"/>
  <c r="B21" i="18"/>
  <c r="B18" i="18"/>
  <c r="B9" i="18"/>
  <c r="F6" i="18"/>
  <c r="B60" i="18"/>
  <c r="B57" i="18"/>
  <c r="B52" i="18"/>
  <c r="B50" i="18"/>
  <c r="B47" i="18"/>
  <c r="B45" i="18"/>
  <c r="B43" i="18"/>
  <c r="B40" i="18"/>
  <c r="B38" i="18"/>
  <c r="B33" i="18"/>
  <c r="B31" i="18"/>
  <c r="B29" i="18"/>
  <c r="B27" i="18"/>
  <c r="B25" i="18"/>
  <c r="B23" i="18"/>
  <c r="B20" i="18"/>
  <c r="B17" i="18"/>
  <c r="B15" i="18"/>
  <c r="B13" i="18"/>
  <c r="B11" i="18"/>
  <c r="E6" i="18"/>
  <c r="B42" i="18"/>
  <c r="B24" i="18"/>
  <c r="C6" i="18"/>
  <c r="B49" i="18"/>
  <c r="B1" i="18"/>
  <c r="B46" i="18"/>
  <c r="B37" i="18"/>
  <c r="B10" i="18"/>
  <c r="B54" i="18"/>
  <c r="B44" i="18"/>
  <c r="B8" i="18"/>
  <c r="B35" i="18"/>
  <c r="H536" i="2"/>
  <c r="N410" i="5" s="1"/>
  <c r="G409" i="5"/>
  <c r="E536" i="2"/>
  <c r="O536" i="2" s="1"/>
  <c r="H537" i="2"/>
  <c r="N455" i="5" s="1"/>
  <c r="G454" i="5"/>
  <c r="E537" i="2"/>
  <c r="O537" i="2" s="1"/>
  <c r="H528" i="2"/>
  <c r="G111" i="5"/>
  <c r="E528" i="2"/>
  <c r="O528" i="2" s="1"/>
  <c r="O74" i="1"/>
  <c r="N74" i="1"/>
  <c r="N322" i="5"/>
  <c r="K81" i="6" s="1"/>
  <c r="G534" i="3"/>
  <c r="G320" i="5" s="1"/>
  <c r="K77" i="6" s="1"/>
  <c r="E534" i="3"/>
  <c r="O534" i="3" s="1"/>
  <c r="N142" i="5"/>
  <c r="K55" i="6" s="1"/>
  <c r="G530" i="3"/>
  <c r="G140" i="5" s="1"/>
  <c r="E530" i="3"/>
  <c r="O530" i="3" s="1"/>
  <c r="G525" i="3"/>
  <c r="G70" i="5" s="1"/>
  <c r="E525" i="3"/>
  <c r="O525" i="3" s="1"/>
  <c r="G499" i="5"/>
  <c r="E538" i="2"/>
  <c r="O538" i="2" s="1"/>
  <c r="H538" i="2"/>
  <c r="N500" i="5" s="1"/>
  <c r="V20" i="19"/>
  <c r="F50" i="1"/>
  <c r="I123" i="21"/>
  <c r="L125" i="7"/>
  <c r="J125" i="7"/>
  <c r="I115" i="21"/>
  <c r="H115" i="21"/>
  <c r="J117" i="7"/>
  <c r="I107" i="21"/>
  <c r="L109" i="7"/>
  <c r="J109" i="7"/>
  <c r="I75" i="21"/>
  <c r="L77" i="7"/>
  <c r="J77" i="7"/>
  <c r="I67" i="21"/>
  <c r="J69" i="7"/>
  <c r="L69" i="7"/>
  <c r="I74" i="21"/>
  <c r="L76" i="7"/>
  <c r="J76" i="7"/>
  <c r="I131" i="21"/>
  <c r="L133" i="7"/>
  <c r="J133" i="7"/>
  <c r="I137" i="21"/>
  <c r="J139" i="7"/>
  <c r="L139" i="7"/>
  <c r="I129" i="21"/>
  <c r="L131" i="7"/>
  <c r="J131" i="7"/>
  <c r="H121" i="21"/>
  <c r="I121" i="21"/>
  <c r="J123" i="7"/>
  <c r="I109" i="21"/>
  <c r="L111" i="7"/>
  <c r="J111" i="7"/>
  <c r="I89" i="21"/>
  <c r="L91" i="7"/>
  <c r="J91" i="7"/>
  <c r="I77" i="21"/>
  <c r="L79" i="7"/>
  <c r="J79" i="7"/>
  <c r="I69" i="21"/>
  <c r="J71" i="7"/>
  <c r="L71" i="7"/>
  <c r="F83" i="17"/>
  <c r="G71" i="17"/>
  <c r="F28" i="18" s="1"/>
  <c r="K29" i="14"/>
  <c r="I96" i="21"/>
  <c r="L98" i="7"/>
  <c r="J98" i="7"/>
  <c r="G23" i="17"/>
  <c r="F30" i="18"/>
  <c r="G53" i="17"/>
  <c r="K65" i="13"/>
  <c r="I80" i="21"/>
  <c r="J82" i="7"/>
  <c r="I51" i="21"/>
  <c r="J53" i="7"/>
  <c r="L53" i="7"/>
  <c r="I43" i="21"/>
  <c r="L45" i="7"/>
  <c r="J45" i="7"/>
  <c r="I35" i="21"/>
  <c r="L37" i="7"/>
  <c r="J37" i="7"/>
  <c r="I27" i="21"/>
  <c r="L29" i="7"/>
  <c r="J29" i="7"/>
  <c r="I19" i="21"/>
  <c r="L21" i="7"/>
  <c r="J21" i="7"/>
  <c r="G52" i="17"/>
  <c r="I54" i="21"/>
  <c r="L56" i="7"/>
  <c r="J56" i="7"/>
  <c r="I46" i="21"/>
  <c r="J48" i="7"/>
  <c r="L48" i="7"/>
  <c r="I38" i="21"/>
  <c r="J40" i="7"/>
  <c r="I30" i="21"/>
  <c r="L32" i="7"/>
  <c r="J32" i="7"/>
  <c r="I22" i="21"/>
  <c r="J24" i="7"/>
  <c r="L24" i="7"/>
  <c r="K29" i="13"/>
  <c r="G55" i="19"/>
  <c r="F62" i="19" s="1"/>
  <c r="G57" i="19"/>
  <c r="F64" i="19" s="1"/>
  <c r="G37" i="19"/>
  <c r="F44" i="19" s="1"/>
  <c r="G39" i="19"/>
  <c r="F46" i="19" s="1"/>
  <c r="O72" i="1"/>
  <c r="N72" i="1"/>
  <c r="H540" i="2"/>
  <c r="N590" i="5" s="1"/>
  <c r="G589" i="5"/>
  <c r="E540" i="2"/>
  <c r="O540" i="2" s="1"/>
  <c r="G83" i="5"/>
  <c r="E526" i="2"/>
  <c r="O526" i="2" s="1"/>
  <c r="H526" i="2"/>
  <c r="N71" i="1"/>
  <c r="P71" i="1" s="1"/>
  <c r="O71" i="1"/>
  <c r="G307" i="5"/>
  <c r="E75" i="6" s="1"/>
  <c r="G172" i="5"/>
  <c r="K49" i="6" s="1"/>
  <c r="E535" i="2"/>
  <c r="O535" i="2" s="1"/>
  <c r="H535" i="2"/>
  <c r="N365" i="5" s="1"/>
  <c r="G364" i="5"/>
  <c r="E531" i="2"/>
  <c r="O531" i="2" s="1"/>
  <c r="H531" i="2"/>
  <c r="N185" i="5" s="1"/>
  <c r="G184" i="5"/>
  <c r="D516" i="3"/>
  <c r="E520" i="3"/>
  <c r="H521" i="3"/>
  <c r="E518" i="3"/>
  <c r="CO8" i="3"/>
  <c r="AZ8" i="3"/>
  <c r="AV8" i="3"/>
  <c r="AR8" i="3"/>
  <c r="Y8" i="3"/>
  <c r="U8" i="3"/>
  <c r="Q8" i="3"/>
  <c r="L8" i="3"/>
  <c r="H8" i="3"/>
  <c r="D8" i="3"/>
  <c r="CH5" i="3"/>
  <c r="P5" i="3"/>
  <c r="CI8" i="3"/>
  <c r="AY8" i="3"/>
  <c r="AU8" i="3"/>
  <c r="AQ8" i="3"/>
  <c r="X8" i="3"/>
  <c r="T8" i="3"/>
  <c r="P8" i="3"/>
  <c r="K8" i="3"/>
  <c r="G8" i="3"/>
  <c r="C8" i="3"/>
  <c r="BY5" i="3"/>
  <c r="F4" i="3"/>
  <c r="CH8" i="3"/>
  <c r="AX8" i="3"/>
  <c r="AT8" i="3"/>
  <c r="AI8" i="3"/>
  <c r="W8" i="3"/>
  <c r="S8" i="3"/>
  <c r="O8" i="3"/>
  <c r="J8" i="3"/>
  <c r="F8" i="3"/>
  <c r="B8" i="3"/>
  <c r="BP5" i="3"/>
  <c r="B1" i="3"/>
  <c r="CP8" i="3"/>
  <c r="BH8" i="3"/>
  <c r="AW8" i="3"/>
  <c r="AS8" i="3"/>
  <c r="Z8" i="3"/>
  <c r="V8" i="3"/>
  <c r="R8" i="3"/>
  <c r="M8" i="3"/>
  <c r="I8" i="3"/>
  <c r="E8" i="3"/>
  <c r="K6" i="3"/>
  <c r="AI5" i="3"/>
  <c r="L69" i="15"/>
  <c r="F62" i="15"/>
  <c r="F59" i="15"/>
  <c r="C58" i="15"/>
  <c r="F54" i="15"/>
  <c r="M50" i="15"/>
  <c r="F49" i="15"/>
  <c r="B42" i="15"/>
  <c r="B40" i="15"/>
  <c r="F37" i="15"/>
  <c r="L23" i="15"/>
  <c r="F21" i="15"/>
  <c r="L7" i="15"/>
  <c r="B1" i="15"/>
  <c r="J69" i="15"/>
  <c r="B63" i="15"/>
  <c r="F60" i="15"/>
  <c r="W58" i="15"/>
  <c r="B57" i="15"/>
  <c r="B55" i="15"/>
  <c r="Q52" i="15"/>
  <c r="L50" i="15"/>
  <c r="M43" i="15"/>
  <c r="M24" i="15"/>
  <c r="C23" i="15"/>
  <c r="C7" i="15"/>
  <c r="J68" i="15"/>
  <c r="F61" i="15"/>
  <c r="M58" i="15"/>
  <c r="R56" i="15"/>
  <c r="C50" i="15"/>
  <c r="L43" i="15"/>
  <c r="P40" i="15"/>
  <c r="F38" i="15"/>
  <c r="L24" i="15"/>
  <c r="F15" i="15"/>
  <c r="B6" i="15"/>
  <c r="E68" i="15"/>
  <c r="B65" i="15"/>
  <c r="C43" i="15"/>
  <c r="M23" i="15"/>
  <c r="M7" i="15"/>
  <c r="W75" i="15"/>
  <c r="B67" i="15" s="1"/>
  <c r="X71" i="15"/>
  <c r="B71" i="15"/>
  <c r="L58" i="15"/>
  <c r="K43" i="8"/>
  <c r="I42" i="8"/>
  <c r="B35" i="8"/>
  <c r="M13" i="8"/>
  <c r="J12" i="8"/>
  <c r="B11" i="8"/>
  <c r="B5" i="8"/>
  <c r="B60" i="8"/>
  <c r="B59" i="8"/>
  <c r="M42" i="8"/>
  <c r="H42" i="8"/>
  <c r="H30" i="8"/>
  <c r="G29" i="8"/>
  <c r="L13" i="8"/>
  <c r="I12" i="8"/>
  <c r="B1" i="8"/>
  <c r="H62" i="8"/>
  <c r="M43" i="8"/>
  <c r="L42" i="8"/>
  <c r="B38" i="8"/>
  <c r="G59" i="8"/>
  <c r="H12" i="8"/>
  <c r="B4" i="8"/>
  <c r="L43" i="8"/>
  <c r="B29" i="8"/>
  <c r="K42" i="8"/>
  <c r="K59" i="8" s="1"/>
  <c r="F59" i="8" s="1"/>
  <c r="F60" i="8" s="1"/>
  <c r="L12" i="8"/>
  <c r="B30" i="8"/>
  <c r="H60" i="8"/>
  <c r="K12" i="8"/>
  <c r="K29" i="8" s="1"/>
  <c r="F29" i="8" s="1"/>
  <c r="F30" i="8" s="1"/>
  <c r="B41" i="8"/>
  <c r="B8" i="8"/>
  <c r="I88" i="17"/>
  <c r="B78" i="17"/>
  <c r="B75" i="17"/>
  <c r="B73" i="17"/>
  <c r="B71" i="17"/>
  <c r="B69" i="17"/>
  <c r="B67" i="17"/>
  <c r="B65" i="17"/>
  <c r="B59" i="17"/>
  <c r="B56" i="17"/>
  <c r="B54" i="17"/>
  <c r="B52" i="17"/>
  <c r="B50" i="17"/>
  <c r="B42" i="17"/>
  <c r="B39" i="17"/>
  <c r="B37" i="17"/>
  <c r="B31" i="17"/>
  <c r="B25" i="17"/>
  <c r="B23" i="17"/>
  <c r="B21" i="17"/>
  <c r="B19" i="17"/>
  <c r="B12" i="17"/>
  <c r="B87" i="17"/>
  <c r="B84" i="17"/>
  <c r="B82" i="17"/>
  <c r="B80" i="17"/>
  <c r="B77" i="17"/>
  <c r="B66" i="17"/>
  <c r="B62" i="17"/>
  <c r="B58" i="17"/>
  <c r="B49" i="17"/>
  <c r="B47" i="17"/>
  <c r="B44" i="17"/>
  <c r="B41" i="17"/>
  <c r="B36" i="17"/>
  <c r="B33" i="17"/>
  <c r="I30" i="17"/>
  <c r="B88" i="17"/>
  <c r="B86" i="17"/>
  <c r="B76" i="17"/>
  <c r="B74" i="17"/>
  <c r="B72" i="17"/>
  <c r="B70" i="17"/>
  <c r="B68" i="17"/>
  <c r="I65" i="17"/>
  <c r="B64" i="17"/>
  <c r="B61" i="17"/>
  <c r="B55" i="17"/>
  <c r="B53" i="17"/>
  <c r="B51" i="17"/>
  <c r="B46" i="17"/>
  <c r="B43" i="17"/>
  <c r="B40" i="17"/>
  <c r="B38" i="17"/>
  <c r="B35" i="17"/>
  <c r="B32" i="17"/>
  <c r="B24" i="17"/>
  <c r="I21" i="17"/>
  <c r="B20" i="17"/>
  <c r="B18" i="17"/>
  <c r="B83" i="17"/>
  <c r="B45" i="17"/>
  <c r="B34" i="17"/>
  <c r="B28" i="17"/>
  <c r="B15" i="17"/>
  <c r="B11" i="17"/>
  <c r="B8" i="17"/>
  <c r="E6" i="17"/>
  <c r="B81" i="17"/>
  <c r="B63" i="17"/>
  <c r="B27" i="17"/>
  <c r="B22" i="17"/>
  <c r="B14" i="17"/>
  <c r="B10" i="17"/>
  <c r="C7" i="17"/>
  <c r="C6" i="17"/>
  <c r="B1" i="17"/>
  <c r="I87" i="17"/>
  <c r="B79" i="17"/>
  <c r="B60" i="17"/>
  <c r="B30" i="17"/>
  <c r="B17" i="17"/>
  <c r="B13" i="17"/>
  <c r="G6" i="17"/>
  <c r="F6" i="17"/>
  <c r="B57" i="17"/>
  <c r="B29" i="17"/>
  <c r="B16" i="17"/>
  <c r="B85" i="17"/>
  <c r="B48" i="17"/>
  <c r="B9" i="17"/>
  <c r="C109" i="19"/>
  <c r="C107" i="19"/>
  <c r="B106" i="19"/>
  <c r="B102" i="19"/>
  <c r="E96" i="19"/>
  <c r="B89" i="19"/>
  <c r="D87" i="19"/>
  <c r="F78" i="19"/>
  <c r="B78" i="19"/>
  <c r="B73" i="19"/>
  <c r="E69" i="19"/>
  <c r="B62" i="19"/>
  <c r="C60" i="19"/>
  <c r="C121" i="19"/>
  <c r="B109" i="19"/>
  <c r="B107" i="19"/>
  <c r="B100" i="19"/>
  <c r="D96" i="19"/>
  <c r="B93" i="19"/>
  <c r="G87" i="19"/>
  <c r="C87" i="19"/>
  <c r="B84" i="19"/>
  <c r="E78" i="19"/>
  <c r="C119" i="19"/>
  <c r="C108" i="19"/>
  <c r="B98" i="19"/>
  <c r="C96" i="19"/>
  <c r="F87" i="19"/>
  <c r="B87" i="19"/>
  <c r="B82" i="19"/>
  <c r="D78" i="19"/>
  <c r="B75" i="19"/>
  <c r="G69" i="19"/>
  <c r="C69" i="19"/>
  <c r="C111" i="19"/>
  <c r="B108" i="19"/>
  <c r="C106" i="19"/>
  <c r="F96" i="19"/>
  <c r="B96" i="19"/>
  <c r="B91" i="19"/>
  <c r="E87" i="19"/>
  <c r="B80" i="19"/>
  <c r="C78" i="19"/>
  <c r="F69" i="19"/>
  <c r="B69" i="19"/>
  <c r="B64" i="19"/>
  <c r="D60" i="19"/>
  <c r="B57" i="19"/>
  <c r="G51" i="19"/>
  <c r="C51" i="19"/>
  <c r="B48" i="19"/>
  <c r="E42" i="19"/>
  <c r="B60" i="19"/>
  <c r="B55" i="19"/>
  <c r="B53" i="19"/>
  <c r="B51" i="19"/>
  <c r="D42" i="19"/>
  <c r="F33" i="19"/>
  <c r="B33" i="19"/>
  <c r="D24" i="19"/>
  <c r="F15" i="19"/>
  <c r="B15" i="19"/>
  <c r="B7" i="19"/>
  <c r="B66" i="19"/>
  <c r="F51" i="19"/>
  <c r="C42" i="19"/>
  <c r="B39" i="19"/>
  <c r="B37" i="19"/>
  <c r="E33" i="19"/>
  <c r="B30" i="19"/>
  <c r="C24" i="19"/>
  <c r="B21" i="19"/>
  <c r="B19" i="19"/>
  <c r="E15" i="19"/>
  <c r="B12" i="19"/>
  <c r="B71" i="19"/>
  <c r="F60" i="19"/>
  <c r="E51" i="19"/>
  <c r="B46" i="19"/>
  <c r="B44" i="19"/>
  <c r="B42" i="19"/>
  <c r="B35" i="19"/>
  <c r="D33" i="19"/>
  <c r="B28" i="19"/>
  <c r="F24" i="19"/>
  <c r="B24" i="19"/>
  <c r="B17" i="19"/>
  <c r="D15" i="19"/>
  <c r="B11" i="19"/>
  <c r="D69" i="19"/>
  <c r="E60" i="19"/>
  <c r="D51" i="19"/>
  <c r="B3" i="19"/>
  <c r="G15" i="19"/>
  <c r="F42" i="19"/>
  <c r="G33" i="19"/>
  <c r="E24" i="19"/>
  <c r="C15" i="19"/>
  <c r="B26" i="19"/>
  <c r="C33" i="19"/>
  <c r="B9" i="19"/>
  <c r="E536" i="3"/>
  <c r="O536" i="3" s="1"/>
  <c r="N412" i="5"/>
  <c r="K94" i="6" s="1"/>
  <c r="G536" i="3"/>
  <c r="G410" i="5" s="1"/>
  <c r="K90" i="6" s="1"/>
  <c r="E523" i="2"/>
  <c r="O523" i="2" s="1"/>
  <c r="H523" i="2"/>
  <c r="G523" i="2"/>
  <c r="G10" i="5" s="1"/>
  <c r="E527" i="2"/>
  <c r="O527" i="2" s="1"/>
  <c r="H527" i="2"/>
  <c r="G97" i="5"/>
  <c r="N457" i="5"/>
  <c r="E107" i="6" s="1"/>
  <c r="G537" i="3"/>
  <c r="G455" i="5" s="1"/>
  <c r="E103" i="6" s="1"/>
  <c r="E537" i="3"/>
  <c r="O537" i="3" s="1"/>
  <c r="E528" i="3"/>
  <c r="O528" i="3" s="1"/>
  <c r="G528" i="3"/>
  <c r="G112" i="5" s="1"/>
  <c r="O57" i="1"/>
  <c r="N57" i="1"/>
  <c r="P57" i="1" s="1"/>
  <c r="H533" i="2"/>
  <c r="N275" i="5" s="1"/>
  <c r="G274" i="5"/>
  <c r="E533" i="2"/>
  <c r="O533" i="2" s="1"/>
  <c r="H524" i="2"/>
  <c r="N25" i="5" s="1"/>
  <c r="G24" i="5"/>
  <c r="E524" i="2"/>
  <c r="O524" i="2" s="1"/>
  <c r="N502" i="5"/>
  <c r="K107" i="6" s="1"/>
  <c r="G538" i="3"/>
  <c r="G500" i="5" s="1"/>
  <c r="K103" i="6" s="1"/>
  <c r="E538" i="3"/>
  <c r="O538" i="3" s="1"/>
  <c r="P60" i="1"/>
  <c r="N2" i="7"/>
  <c r="N8" i="7" s="1"/>
  <c r="L1" i="7"/>
  <c r="G24" i="17"/>
  <c r="F26" i="18"/>
  <c r="I95" i="21"/>
  <c r="J97" i="7"/>
  <c r="L97" i="7"/>
  <c r="I138" i="21"/>
  <c r="J140" i="7"/>
  <c r="I130" i="21"/>
  <c r="J132" i="7"/>
  <c r="I122" i="21"/>
  <c r="H122" i="21"/>
  <c r="L124" i="7"/>
  <c r="J124" i="7"/>
  <c r="H114" i="21"/>
  <c r="I114" i="21"/>
  <c r="J116" i="7"/>
  <c r="I106" i="21"/>
  <c r="L108" i="7"/>
  <c r="J108" i="7"/>
  <c r="I90" i="21"/>
  <c r="L92" i="7"/>
  <c r="J92" i="7"/>
  <c r="I70" i="21"/>
  <c r="J72" i="7"/>
  <c r="L72" i="7"/>
  <c r="I62" i="21"/>
  <c r="L64" i="7"/>
  <c r="J64" i="7"/>
  <c r="H117" i="21"/>
  <c r="I117" i="21"/>
  <c r="J119" i="7"/>
  <c r="I61" i="21"/>
  <c r="L63" i="7"/>
  <c r="J63" i="7"/>
  <c r="I142" i="7"/>
  <c r="I88" i="21"/>
  <c r="L90" i="7"/>
  <c r="J90" i="7"/>
  <c r="I68" i="21"/>
  <c r="L70" i="7"/>
  <c r="J70" i="7"/>
  <c r="I132" i="21"/>
  <c r="L134" i="7"/>
  <c r="J134" i="7"/>
  <c r="I124" i="21"/>
  <c r="L126" i="7"/>
  <c r="J126" i="7"/>
  <c r="I116" i="21"/>
  <c r="H116" i="21"/>
  <c r="J118" i="7"/>
  <c r="I108" i="21"/>
  <c r="L110" i="7"/>
  <c r="J110" i="7"/>
  <c r="I97" i="21"/>
  <c r="J99" i="7"/>
  <c r="I52" i="21"/>
  <c r="L54" i="7"/>
  <c r="J54" i="7"/>
  <c r="I44" i="21"/>
  <c r="J46" i="7"/>
  <c r="L46" i="7"/>
  <c r="I36" i="21"/>
  <c r="L38" i="7"/>
  <c r="J38" i="7"/>
  <c r="I28" i="21"/>
  <c r="J30" i="7"/>
  <c r="L30" i="7"/>
  <c r="I16" i="21"/>
  <c r="L18" i="7"/>
  <c r="J18" i="7"/>
  <c r="K51" i="14"/>
  <c r="A14" i="22" s="1"/>
  <c r="I20" i="21"/>
  <c r="J22" i="7"/>
  <c r="K41" i="13"/>
  <c r="A7" i="22" s="1"/>
  <c r="I49" i="21"/>
  <c r="L51" i="7"/>
  <c r="J51" i="7"/>
  <c r="I41" i="21"/>
  <c r="L43" i="7"/>
  <c r="J43" i="7"/>
  <c r="I33" i="21"/>
  <c r="L35" i="7"/>
  <c r="J35" i="7"/>
  <c r="I25" i="21"/>
  <c r="L27" i="7"/>
  <c r="J27" i="7"/>
  <c r="I17" i="21"/>
  <c r="L19" i="7"/>
  <c r="J19" i="7"/>
  <c r="N78" i="1"/>
  <c r="O78" i="1"/>
  <c r="E540" i="3"/>
  <c r="O540" i="3" s="1"/>
  <c r="N592" i="5"/>
  <c r="K120" i="6" s="1"/>
  <c r="G540" i="3"/>
  <c r="G590" i="5" s="1"/>
  <c r="K116" i="6" s="1"/>
  <c r="G526" i="3"/>
  <c r="G84" i="5" s="1"/>
  <c r="E526" i="3"/>
  <c r="O526" i="3" s="1"/>
  <c r="E520" i="2"/>
  <c r="BN8" i="2"/>
  <c r="H521" i="2"/>
  <c r="E518" i="2"/>
  <c r="C516" i="2"/>
  <c r="X8" i="2"/>
  <c r="P8" i="2"/>
  <c r="K8" i="2"/>
  <c r="G8" i="2"/>
  <c r="C8" i="2"/>
  <c r="AV5" i="2"/>
  <c r="F4" i="2"/>
  <c r="BH3" i="2"/>
  <c r="BE1" i="2"/>
  <c r="S8" i="2"/>
  <c r="J8" i="2"/>
  <c r="B8" i="2"/>
  <c r="B1" i="2"/>
  <c r="I8" i="2"/>
  <c r="AD5" i="2"/>
  <c r="AA8" i="2"/>
  <c r="O8" i="2"/>
  <c r="F8" i="2"/>
  <c r="AM5" i="2"/>
  <c r="BE3" i="2"/>
  <c r="R8" i="2"/>
  <c r="BH8" i="2"/>
  <c r="Y8" i="2"/>
  <c r="Q8" i="2"/>
  <c r="L8" i="2"/>
  <c r="H8" i="2"/>
  <c r="D8" i="2"/>
  <c r="BE5" i="2"/>
  <c r="Q5" i="2"/>
  <c r="BK3" i="2"/>
  <c r="BK8" i="2"/>
  <c r="Z8" i="2"/>
  <c r="M8" i="2"/>
  <c r="E8" i="2"/>
  <c r="K6" i="2"/>
  <c r="B3" i="2"/>
  <c r="G262" i="5"/>
  <c r="K62" i="6" s="1"/>
  <c r="G532" i="5"/>
  <c r="K101" i="6" s="1"/>
  <c r="G397" i="5"/>
  <c r="E88" i="6" s="1"/>
  <c r="G442" i="5"/>
  <c r="K88" i="6" s="1"/>
  <c r="G217" i="5"/>
  <c r="E62" i="6" s="1"/>
  <c r="G535" i="3"/>
  <c r="G365" i="5" s="1"/>
  <c r="E90" i="6" s="1"/>
  <c r="E535" i="3"/>
  <c r="O535" i="3" s="1"/>
  <c r="N367" i="5"/>
  <c r="E94" i="6" s="1"/>
  <c r="G531" i="3"/>
  <c r="G185" i="5" s="1"/>
  <c r="E531" i="3"/>
  <c r="O531" i="3" s="1"/>
  <c r="N187" i="5"/>
  <c r="E68" i="6" s="1"/>
  <c r="C1019" i="4"/>
  <c r="D511" i="4"/>
  <c r="D9" i="4"/>
  <c r="K7" i="4"/>
  <c r="G6" i="4"/>
  <c r="C3" i="4"/>
  <c r="N7" i="4"/>
  <c r="H7" i="4"/>
  <c r="G4" i="4"/>
  <c r="M7" i="4"/>
  <c r="E7" i="4"/>
  <c r="E4" i="4"/>
  <c r="F3" i="4"/>
  <c r="C1" i="4"/>
  <c r="L7" i="4"/>
  <c r="C7" i="4"/>
  <c r="F122" i="7"/>
  <c r="F120" i="21" s="1"/>
  <c r="F118" i="7"/>
  <c r="F116" i="21" s="1"/>
  <c r="F105" i="7"/>
  <c r="F103" i="21" s="1"/>
  <c r="F101" i="7"/>
  <c r="F99" i="21" s="1"/>
  <c r="F88" i="7"/>
  <c r="F86" i="21" s="1"/>
  <c r="F86" i="7"/>
  <c r="F84" i="21" s="1"/>
  <c r="F84" i="7"/>
  <c r="F82" i="21" s="1"/>
  <c r="E142" i="7"/>
  <c r="E140" i="21" s="1"/>
  <c r="F139" i="7"/>
  <c r="F137" i="21" s="1"/>
  <c r="F137" i="7"/>
  <c r="F135" i="21" s="1"/>
  <c r="F135" i="7"/>
  <c r="F133" i="21" s="1"/>
  <c r="F132" i="7"/>
  <c r="F130" i="21" s="1"/>
  <c r="F130" i="7"/>
  <c r="F128" i="21" s="1"/>
  <c r="F128" i="7"/>
  <c r="F126" i="21" s="1"/>
  <c r="F126" i="7"/>
  <c r="F124" i="21" s="1"/>
  <c r="F124" i="7"/>
  <c r="F122" i="21" s="1"/>
  <c r="F121" i="7"/>
  <c r="F119" i="21" s="1"/>
  <c r="F117" i="7"/>
  <c r="F115" i="21" s="1"/>
  <c r="F114" i="7"/>
  <c r="F112" i="21" s="1"/>
  <c r="F112" i="7"/>
  <c r="F110" i="21" s="1"/>
  <c r="F110" i="7"/>
  <c r="F108" i="21" s="1"/>
  <c r="F108" i="7"/>
  <c r="F106" i="21" s="1"/>
  <c r="F104" i="7"/>
  <c r="F102" i="21" s="1"/>
  <c r="F100" i="7"/>
  <c r="F98" i="21" s="1"/>
  <c r="F82" i="7"/>
  <c r="F80" i="21" s="1"/>
  <c r="F80" i="7"/>
  <c r="F78" i="21" s="1"/>
  <c r="F78" i="7"/>
  <c r="F76" i="21" s="1"/>
  <c r="F76" i="7"/>
  <c r="F74" i="21" s="1"/>
  <c r="F74" i="7"/>
  <c r="F72" i="21" s="1"/>
  <c r="F72" i="7"/>
  <c r="F70" i="21" s="1"/>
  <c r="F70" i="7"/>
  <c r="F68" i="21" s="1"/>
  <c r="F138" i="7"/>
  <c r="F136" i="21" s="1"/>
  <c r="F136" i="7"/>
  <c r="F134" i="21" s="1"/>
  <c r="F120" i="7"/>
  <c r="F118" i="21" s="1"/>
  <c r="F119" i="7"/>
  <c r="F117" i="21" s="1"/>
  <c r="F89" i="7"/>
  <c r="F87" i="21" s="1"/>
  <c r="F87" i="7"/>
  <c r="F85" i="21" s="1"/>
  <c r="F85" i="7"/>
  <c r="F83" i="21" s="1"/>
  <c r="F83" i="7"/>
  <c r="F81" i="21" s="1"/>
  <c r="F73" i="7"/>
  <c r="F71" i="21" s="1"/>
  <c r="F68" i="7"/>
  <c r="F66" i="21" s="1"/>
  <c r="F67" i="7"/>
  <c r="F65" i="21" s="1"/>
  <c r="F58" i="7"/>
  <c r="F56" i="21" s="1"/>
  <c r="F56" i="7"/>
  <c r="F54" i="21" s="1"/>
  <c r="F54" i="7"/>
  <c r="F52" i="21" s="1"/>
  <c r="F51" i="7"/>
  <c r="F49" i="21" s="1"/>
  <c r="F49" i="7"/>
  <c r="F47" i="21" s="1"/>
  <c r="F47" i="7"/>
  <c r="F45" i="21" s="1"/>
  <c r="F31" i="7"/>
  <c r="F29" i="21" s="1"/>
  <c r="F29" i="7"/>
  <c r="F27" i="21" s="1"/>
  <c r="F27" i="7"/>
  <c r="F25" i="21" s="1"/>
  <c r="F25" i="7"/>
  <c r="F23" i="21" s="1"/>
  <c r="F23" i="7"/>
  <c r="F21" i="21" s="1"/>
  <c r="F21" i="7"/>
  <c r="F19" i="21" s="1"/>
  <c r="F18" i="7"/>
  <c r="F16" i="21" s="1"/>
  <c r="F16" i="7"/>
  <c r="F14" i="21" s="1"/>
  <c r="F14" i="7"/>
  <c r="F12" i="21" s="1"/>
  <c r="F11" i="7"/>
  <c r="F9" i="21" s="1"/>
  <c r="H7" i="7"/>
  <c r="I6" i="7"/>
  <c r="F106" i="7"/>
  <c r="F104" i="21" s="1"/>
  <c r="F81" i="7"/>
  <c r="F79" i="21" s="1"/>
  <c r="F79" i="7"/>
  <c r="F77" i="21" s="1"/>
  <c r="F77" i="7"/>
  <c r="F75" i="21" s="1"/>
  <c r="F66" i="7"/>
  <c r="F64" i="21" s="1"/>
  <c r="F65" i="7"/>
  <c r="F63" i="21" s="1"/>
  <c r="B62" i="7"/>
  <c r="B60" i="21" s="1"/>
  <c r="E60" i="7"/>
  <c r="E58" i="21" s="1"/>
  <c r="F40" i="7"/>
  <c r="F38" i="21" s="1"/>
  <c r="F38" i="7"/>
  <c r="F36" i="21" s="1"/>
  <c r="F36" i="7"/>
  <c r="F34" i="21" s="1"/>
  <c r="F34" i="7"/>
  <c r="F32" i="21" s="1"/>
  <c r="F32" i="7"/>
  <c r="F30" i="21" s="1"/>
  <c r="F12" i="7"/>
  <c r="F10" i="21" s="1"/>
  <c r="M8" i="7"/>
  <c r="F7" i="7"/>
  <c r="L2" i="7"/>
  <c r="F131" i="7"/>
  <c r="F129" i="21" s="1"/>
  <c r="F129" i="7"/>
  <c r="F127" i="21" s="1"/>
  <c r="F127" i="7"/>
  <c r="F125" i="21" s="1"/>
  <c r="F125" i="7"/>
  <c r="F123" i="21" s="1"/>
  <c r="F123" i="7"/>
  <c r="F121" i="21" s="1"/>
  <c r="F116" i="7"/>
  <c r="F114" i="21" s="1"/>
  <c r="F115" i="7"/>
  <c r="F113" i="21" s="1"/>
  <c r="F113" i="7"/>
  <c r="F111" i="21" s="1"/>
  <c r="F111" i="7"/>
  <c r="F109" i="21" s="1"/>
  <c r="F109" i="7"/>
  <c r="F107" i="21" s="1"/>
  <c r="F95" i="7"/>
  <c r="F93" i="21" s="1"/>
  <c r="F75" i="7"/>
  <c r="F73" i="21" s="1"/>
  <c r="F71" i="7"/>
  <c r="F69" i="21" s="1"/>
  <c r="F64" i="7"/>
  <c r="F62" i="21" s="1"/>
  <c r="F63" i="7"/>
  <c r="F61" i="21" s="1"/>
  <c r="F57" i="7"/>
  <c r="F55" i="21" s="1"/>
  <c r="F55" i="7"/>
  <c r="F53" i="21" s="1"/>
  <c r="F50" i="7"/>
  <c r="F48" i="21" s="1"/>
  <c r="F48" i="7"/>
  <c r="F46" i="21" s="1"/>
  <c r="F42" i="7"/>
  <c r="F40" i="21" s="1"/>
  <c r="F30" i="7"/>
  <c r="F28" i="21" s="1"/>
  <c r="F28" i="7"/>
  <c r="F26" i="21" s="1"/>
  <c r="F26" i="7"/>
  <c r="F24" i="21" s="1"/>
  <c r="F24" i="7"/>
  <c r="F22" i="21" s="1"/>
  <c r="F22" i="7"/>
  <c r="F20" i="21" s="1"/>
  <c r="F17" i="7"/>
  <c r="F15" i="21" s="1"/>
  <c r="F15" i="7"/>
  <c r="F13" i="21" s="1"/>
  <c r="F13" i="7"/>
  <c r="F11" i="21" s="1"/>
  <c r="J7" i="7"/>
  <c r="B7" i="7"/>
  <c r="L3" i="7"/>
  <c r="B1" i="7"/>
  <c r="F102" i="7"/>
  <c r="F100" i="21" s="1"/>
  <c r="F39" i="7"/>
  <c r="F37" i="21" s="1"/>
  <c r="F35" i="7"/>
  <c r="F33" i="21" s="1"/>
  <c r="F10" i="7"/>
  <c r="F8" i="21" s="1"/>
  <c r="L6" i="7"/>
  <c r="F103" i="7"/>
  <c r="F101" i="21" s="1"/>
  <c r="F37" i="7"/>
  <c r="F35" i="21" s="1"/>
  <c r="F33" i="7"/>
  <c r="F31" i="21" s="1"/>
  <c r="B9" i="7"/>
  <c r="B7" i="21" s="1"/>
  <c r="M1" i="7"/>
  <c r="I7" i="7"/>
  <c r="C31" i="10"/>
  <c r="P5" i="10"/>
  <c r="L5" i="10"/>
  <c r="H5" i="10"/>
  <c r="D5" i="10"/>
  <c r="C32" i="10"/>
  <c r="N5" i="10"/>
  <c r="J5" i="10"/>
  <c r="F5" i="10"/>
  <c r="B5" i="10"/>
  <c r="Q5" i="10"/>
  <c r="I5" i="10"/>
  <c r="O5" i="10"/>
  <c r="G5" i="10"/>
  <c r="M5" i="10"/>
  <c r="E5" i="10"/>
  <c r="B1" i="10"/>
  <c r="K5" i="10"/>
  <c r="C5" i="10"/>
  <c r="B58" i="11"/>
  <c r="B4" i="11"/>
  <c r="B57" i="11"/>
  <c r="B6" i="11"/>
  <c r="E146" i="21"/>
  <c r="E144" i="21"/>
  <c r="E141" i="21"/>
  <c r="E143" i="21"/>
  <c r="E145" i="21"/>
  <c r="J5" i="21"/>
  <c r="M4" i="21"/>
  <c r="I5" i="21"/>
  <c r="M2" i="21"/>
  <c r="M6" i="21"/>
  <c r="H5" i="21"/>
  <c r="M3" i="21"/>
  <c r="B1" i="21"/>
  <c r="K5" i="21"/>
  <c r="F5" i="21"/>
  <c r="B3" i="21"/>
  <c r="N1" i="21"/>
  <c r="G523" i="3"/>
  <c r="G11" i="5" s="1"/>
  <c r="E523" i="3"/>
  <c r="O523" i="3" s="1"/>
  <c r="G527" i="3"/>
  <c r="G98" i="5" s="1"/>
  <c r="E527" i="3"/>
  <c r="O527" i="3" s="1"/>
  <c r="H532" i="2"/>
  <c r="N230" i="5" s="1"/>
  <c r="G229" i="5"/>
  <c r="E532" i="2"/>
  <c r="O532" i="2" s="1"/>
  <c r="J10" i="13"/>
  <c r="K17" i="13" s="1"/>
  <c r="A5" i="22" s="1"/>
  <c r="I12" i="7"/>
  <c r="E539" i="2"/>
  <c r="O539" i="2" s="1"/>
  <c r="H539" i="2"/>
  <c r="N545" i="5" s="1"/>
  <c r="G544" i="5"/>
  <c r="N277" i="5"/>
  <c r="E81" i="6" s="1"/>
  <c r="G533" i="3"/>
  <c r="G275" i="5" s="1"/>
  <c r="E533" i="3"/>
  <c r="O533" i="3" s="1"/>
  <c r="E524" i="3"/>
  <c r="O524" i="3" s="1"/>
  <c r="N27" i="5"/>
  <c r="K16" i="6" s="1"/>
  <c r="G524" i="3"/>
  <c r="G25" i="5" s="1"/>
  <c r="K12" i="6" s="1"/>
  <c r="H529" i="2"/>
  <c r="G125" i="5"/>
  <c r="E529" i="2"/>
  <c r="O529" i="2" s="1"/>
  <c r="F48" i="19" l="1"/>
  <c r="F84" i="19"/>
  <c r="F102" i="19"/>
  <c r="F66" i="19"/>
  <c r="J102" i="19" s="1"/>
  <c r="J106" i="19" s="1"/>
  <c r="N549" i="5"/>
  <c r="E119" i="6"/>
  <c r="E12" i="6"/>
  <c r="Y9" i="5"/>
  <c r="B5" i="19"/>
  <c r="B3" i="18"/>
  <c r="B3" i="16"/>
  <c r="B3" i="17"/>
  <c r="B3" i="9"/>
  <c r="B3" i="8"/>
  <c r="B3" i="10"/>
  <c r="B3" i="3"/>
  <c r="F13" i="13"/>
  <c r="E19" i="7"/>
  <c r="E17" i="21" s="1"/>
  <c r="C55" i="13"/>
  <c r="F65" i="13"/>
  <c r="B50" i="7"/>
  <c r="B48" i="21" s="1"/>
  <c r="F8" i="13"/>
  <c r="E10" i="7"/>
  <c r="E8" i="21" s="1"/>
  <c r="F14" i="13"/>
  <c r="E20" i="7"/>
  <c r="E18" i="21" s="1"/>
  <c r="P78" i="1"/>
  <c r="J142" i="7"/>
  <c r="K15" i="6"/>
  <c r="N29" i="5"/>
  <c r="E37" i="6"/>
  <c r="X13" i="5"/>
  <c r="G101" i="5"/>
  <c r="C31" i="14"/>
  <c r="F51" i="14"/>
  <c r="B82" i="7"/>
  <c r="F35" i="14"/>
  <c r="E92" i="7"/>
  <c r="E90" i="21" s="1"/>
  <c r="F32" i="14"/>
  <c r="E82" i="7"/>
  <c r="E80" i="21" s="1"/>
  <c r="F33" i="14"/>
  <c r="E90" i="7"/>
  <c r="E88" i="21" s="1"/>
  <c r="C9" i="14"/>
  <c r="F29" i="14"/>
  <c r="B63" i="7"/>
  <c r="B61" i="21" s="1"/>
  <c r="F34" i="14"/>
  <c r="E91" i="7"/>
  <c r="E89" i="21" s="1"/>
  <c r="X17" i="5"/>
  <c r="E63" i="6"/>
  <c r="G219" i="5"/>
  <c r="N369" i="5"/>
  <c r="E93" i="6"/>
  <c r="K24" i="6"/>
  <c r="G87" i="5"/>
  <c r="X12" i="5"/>
  <c r="P72" i="1"/>
  <c r="G16" i="17"/>
  <c r="F12" i="18" s="1"/>
  <c r="F13" i="18"/>
  <c r="F28" i="17"/>
  <c r="F39" i="18"/>
  <c r="K51" i="6"/>
  <c r="Y16" i="5"/>
  <c r="K37" i="6"/>
  <c r="G115" i="5"/>
  <c r="X14" i="5"/>
  <c r="N459" i="5"/>
  <c r="E106" i="6"/>
  <c r="P59" i="1"/>
  <c r="G51" i="17"/>
  <c r="A15" i="22"/>
  <c r="F84" i="17"/>
  <c r="F40" i="18" s="1"/>
  <c r="F82" i="17"/>
  <c r="K76" i="6"/>
  <c r="G354" i="5"/>
  <c r="E50" i="6"/>
  <c r="X15" i="5"/>
  <c r="G129" i="5"/>
  <c r="E77" i="6"/>
  <c r="Y19" i="5"/>
  <c r="K63" i="6"/>
  <c r="X18" i="5"/>
  <c r="G264" i="5"/>
  <c r="E38" i="6"/>
  <c r="Y13" i="5"/>
  <c r="H12" i="12"/>
  <c r="B3" i="15"/>
  <c r="F62" i="13"/>
  <c r="E56" i="7"/>
  <c r="E54" i="21" s="1"/>
  <c r="F12" i="13"/>
  <c r="E18" i="7"/>
  <c r="E16" i="21" s="1"/>
  <c r="C31" i="13"/>
  <c r="F41" i="13"/>
  <c r="B32" i="7"/>
  <c r="B30" i="21" s="1"/>
  <c r="C19" i="13"/>
  <c r="F29" i="13"/>
  <c r="B23" i="7"/>
  <c r="B21" i="21" s="1"/>
  <c r="F12" i="14"/>
  <c r="E65" i="7"/>
  <c r="E63" i="21" s="1"/>
  <c r="F39" i="14"/>
  <c r="E96" i="7"/>
  <c r="E94" i="21" s="1"/>
  <c r="F63" i="14"/>
  <c r="C53" i="14"/>
  <c r="B115" i="7"/>
  <c r="B113" i="21" s="1"/>
  <c r="F36" i="14"/>
  <c r="E93" i="7"/>
  <c r="E91" i="21" s="1"/>
  <c r="F75" i="14"/>
  <c r="B124" i="7"/>
  <c r="B122" i="21" s="1"/>
  <c r="C65" i="14"/>
  <c r="F10" i="14"/>
  <c r="E63" i="7"/>
  <c r="E61" i="21" s="1"/>
  <c r="F37" i="14"/>
  <c r="E94" i="7"/>
  <c r="E92" i="21" s="1"/>
  <c r="F86" i="14"/>
  <c r="C77" i="14"/>
  <c r="B133" i="7"/>
  <c r="B131" i="21" s="1"/>
  <c r="F11" i="14"/>
  <c r="E64" i="7"/>
  <c r="E62" i="21" s="1"/>
  <c r="F38" i="14"/>
  <c r="E95" i="7"/>
  <c r="E93" i="21" s="1"/>
  <c r="E67" i="6"/>
  <c r="N189" i="5"/>
  <c r="F11" i="18"/>
  <c r="G15" i="17"/>
  <c r="N504" i="5"/>
  <c r="K106" i="6"/>
  <c r="E25" i="6"/>
  <c r="Y11" i="5"/>
  <c r="P74" i="1"/>
  <c r="E24" i="6"/>
  <c r="X11" i="5"/>
  <c r="G73" i="5"/>
  <c r="K50" i="6"/>
  <c r="X16" i="5"/>
  <c r="G174" i="5"/>
  <c r="P77" i="1"/>
  <c r="D6" i="5"/>
  <c r="P76" i="1"/>
  <c r="I10" i="21"/>
  <c r="L12" i="7"/>
  <c r="J12" i="7"/>
  <c r="N234" i="5"/>
  <c r="K67" i="6"/>
  <c r="F59" i="13"/>
  <c r="E53" i="7"/>
  <c r="E51" i="21" s="1"/>
  <c r="F10" i="13"/>
  <c r="E12" i="7"/>
  <c r="E10" i="21" s="1"/>
  <c r="C43" i="13"/>
  <c r="F53" i="13"/>
  <c r="B41" i="7"/>
  <c r="B39" i="21" s="1"/>
  <c r="K25" i="6"/>
  <c r="Y12" i="5"/>
  <c r="I140" i="21"/>
  <c r="G80" i="17"/>
  <c r="F35" i="18" s="1"/>
  <c r="F36" i="18" s="1"/>
  <c r="F45" i="18" s="1"/>
  <c r="E76" i="6"/>
  <c r="X19" i="5"/>
  <c r="G309" i="5"/>
  <c r="K38" i="6"/>
  <c r="Y14" i="5"/>
  <c r="F16" i="14"/>
  <c r="E69" i="7"/>
  <c r="E67" i="21" s="1"/>
  <c r="F43" i="14"/>
  <c r="E107" i="7"/>
  <c r="E105" i="21" s="1"/>
  <c r="F13" i="14"/>
  <c r="E66" i="7"/>
  <c r="E64" i="21" s="1"/>
  <c r="F40" i="14"/>
  <c r="E97" i="7"/>
  <c r="E95" i="21" s="1"/>
  <c r="F14" i="14"/>
  <c r="E67" i="7"/>
  <c r="E65" i="21" s="1"/>
  <c r="E98" i="7"/>
  <c r="E96" i="21" s="1"/>
  <c r="F41" i="14"/>
  <c r="F15" i="14"/>
  <c r="E68" i="7"/>
  <c r="E66" i="21" s="1"/>
  <c r="F42" i="14"/>
  <c r="E99" i="7"/>
  <c r="E97" i="21" s="1"/>
  <c r="K115" i="6"/>
  <c r="G624" i="5"/>
  <c r="A6" i="22"/>
  <c r="G62" i="17"/>
  <c r="A13" i="22"/>
  <c r="K88" i="14"/>
  <c r="A17" i="22" s="1"/>
  <c r="K89" i="6"/>
  <c r="G444" i="5"/>
  <c r="F22" i="18"/>
  <c r="G20" i="17"/>
  <c r="E51" i="6"/>
  <c r="Y15" i="5"/>
  <c r="K80" i="6"/>
  <c r="N324" i="5"/>
  <c r="K64" i="6"/>
  <c r="Y18" i="5"/>
  <c r="I58" i="21"/>
  <c r="H140" i="21"/>
  <c r="E115" i="6"/>
  <c r="G579" i="5"/>
  <c r="E64" i="6"/>
  <c r="Y17" i="5"/>
  <c r="C7" i="13"/>
  <c r="F17" i="13"/>
  <c r="B10" i="7"/>
  <c r="B8" i="21" s="1"/>
  <c r="F9" i="13"/>
  <c r="E11" i="7"/>
  <c r="E9" i="21" s="1"/>
  <c r="F11" i="13"/>
  <c r="E17" i="7"/>
  <c r="E15" i="21" s="1"/>
  <c r="Y10" i="5"/>
  <c r="K11" i="6"/>
  <c r="G59" i="5"/>
  <c r="N279" i="5"/>
  <c r="E80" i="6"/>
  <c r="E11" i="6"/>
  <c r="X9" i="5"/>
  <c r="G14" i="5"/>
  <c r="F20" i="14"/>
  <c r="E73" i="7"/>
  <c r="E71" i="21" s="1"/>
  <c r="F17" i="14"/>
  <c r="E70" i="7"/>
  <c r="E68" i="21" s="1"/>
  <c r="F78" i="14"/>
  <c r="E133" i="7"/>
  <c r="E131" i="21" s="1"/>
  <c r="F18" i="14"/>
  <c r="E71" i="7"/>
  <c r="E69" i="21" s="1"/>
  <c r="F79" i="14"/>
  <c r="E134" i="7"/>
  <c r="E132" i="21" s="1"/>
  <c r="F19" i="14"/>
  <c r="E72" i="7"/>
  <c r="E70" i="21" s="1"/>
  <c r="E140" i="7"/>
  <c r="E138" i="21" s="1"/>
  <c r="F85" i="14"/>
  <c r="E89" i="6"/>
  <c r="G399" i="5"/>
  <c r="K119" i="6"/>
  <c r="N594" i="5"/>
  <c r="A9" i="22"/>
  <c r="K67" i="13"/>
  <c r="K102" i="6"/>
  <c r="G534" i="5"/>
  <c r="E102" i="6"/>
  <c r="G489" i="5"/>
  <c r="N414" i="5"/>
  <c r="K93" i="6"/>
  <c r="K54" i="6"/>
  <c r="N144" i="5"/>
  <c r="P61" i="1"/>
  <c r="I60" i="7"/>
  <c r="J60" i="7" s="1"/>
  <c r="G25" i="17"/>
  <c r="G26" i="17" s="1"/>
  <c r="G30" i="17" s="1"/>
  <c r="M45" i="15" l="1"/>
  <c r="E91" i="6"/>
  <c r="M8" i="15"/>
  <c r="E13" i="6"/>
  <c r="G17" i="5"/>
  <c r="H17" i="5" s="1"/>
  <c r="N309" i="5"/>
  <c r="G312" i="5" s="1"/>
  <c r="E82" i="6"/>
  <c r="N264" i="5"/>
  <c r="K69" i="6"/>
  <c r="M17" i="15"/>
  <c r="K52" i="6"/>
  <c r="F27" i="17"/>
  <c r="F38" i="18"/>
  <c r="M12" i="15"/>
  <c r="E39" i="6"/>
  <c r="G104" i="5"/>
  <c r="K56" i="6"/>
  <c r="N174" i="5"/>
  <c r="G177" i="5" s="1"/>
  <c r="M9" i="15"/>
  <c r="K13" i="6"/>
  <c r="M52" i="15"/>
  <c r="E117" i="6"/>
  <c r="M53" i="15"/>
  <c r="K117" i="6"/>
  <c r="M20" i="15"/>
  <c r="E78" i="6"/>
  <c r="M19" i="15"/>
  <c r="K65" i="6"/>
  <c r="G267" i="5"/>
  <c r="G81" i="17"/>
  <c r="G88" i="17" s="1"/>
  <c r="M13" i="15"/>
  <c r="K39" i="6"/>
  <c r="G118" i="5"/>
  <c r="B80" i="21"/>
  <c r="B97" i="21"/>
  <c r="M47" i="15"/>
  <c r="E104" i="6"/>
  <c r="M51" i="15"/>
  <c r="K104" i="6"/>
  <c r="N624" i="5"/>
  <c r="G627" i="5" s="1"/>
  <c r="K121" i="6"/>
  <c r="M46" i="15"/>
  <c r="K91" i="6"/>
  <c r="E69" i="6"/>
  <c r="N219" i="5"/>
  <c r="M14" i="15"/>
  <c r="E52" i="6"/>
  <c r="G132" i="5"/>
  <c r="M44" i="15"/>
  <c r="K78" i="6"/>
  <c r="N399" i="5"/>
  <c r="G402" i="5" s="1"/>
  <c r="E95" i="6"/>
  <c r="A10" i="22"/>
  <c r="K90" i="14"/>
  <c r="K92" i="14" s="1"/>
  <c r="M60" i="15" s="1"/>
  <c r="N444" i="5"/>
  <c r="G447" i="5" s="1"/>
  <c r="K95" i="6"/>
  <c r="N354" i="5"/>
  <c r="G357" i="5" s="1"/>
  <c r="K82" i="6"/>
  <c r="G18" i="17"/>
  <c r="F19" i="18"/>
  <c r="M10" i="15"/>
  <c r="E26" i="6"/>
  <c r="G76" i="5"/>
  <c r="N534" i="5"/>
  <c r="G537" i="5" s="1"/>
  <c r="K108" i="6"/>
  <c r="F9" i="18"/>
  <c r="F23" i="18" s="1"/>
  <c r="G14" i="17"/>
  <c r="G21" i="17" s="1"/>
  <c r="G65" i="17"/>
  <c r="E108" i="6"/>
  <c r="N489" i="5"/>
  <c r="G492" i="5" s="1"/>
  <c r="M11" i="15"/>
  <c r="G90" i="5"/>
  <c r="K26" i="6"/>
  <c r="M18" i="15"/>
  <c r="E65" i="6"/>
  <c r="G222" i="5"/>
  <c r="K17" i="6"/>
  <c r="N59" i="5"/>
  <c r="K1013" i="4" s="1"/>
  <c r="E121" i="6"/>
  <c r="N579" i="5"/>
  <c r="G582" i="5" s="1"/>
  <c r="M55" i="6" l="1"/>
  <c r="M107" i="6"/>
  <c r="H537" i="5"/>
  <c r="F120" i="6"/>
  <c r="H582" i="5"/>
  <c r="F94" i="6"/>
  <c r="H402" i="5"/>
  <c r="L55" i="6"/>
  <c r="H177" i="5"/>
  <c r="F107" i="6"/>
  <c r="H492" i="5"/>
  <c r="M120" i="6"/>
  <c r="H627" i="5"/>
  <c r="M94" i="6"/>
  <c r="H447" i="5"/>
  <c r="F81" i="6"/>
  <c r="H312" i="5"/>
  <c r="N15" i="15"/>
  <c r="M81" i="6"/>
  <c r="H357" i="5"/>
  <c r="M42" i="6"/>
  <c r="H118" i="5"/>
  <c r="M68" i="6"/>
  <c r="H267" i="5"/>
  <c r="G62" i="5"/>
  <c r="N21" i="15"/>
  <c r="G33" i="20"/>
  <c r="M62" i="15"/>
  <c r="N63" i="15" s="1"/>
  <c r="F68" i="6"/>
  <c r="H222" i="5"/>
  <c r="M29" i="6"/>
  <c r="H90" i="5"/>
  <c r="N49" i="15"/>
  <c r="F42" i="6"/>
  <c r="H104" i="5"/>
  <c r="F29" i="6"/>
  <c r="H76" i="5"/>
  <c r="F55" i="6"/>
  <c r="H132" i="5"/>
  <c r="N54" i="15"/>
  <c r="A21" i="22" l="1"/>
  <c r="G47" i="17"/>
  <c r="F59" i="18" s="1"/>
  <c r="N55" i="15"/>
  <c r="A20" i="22"/>
  <c r="G44" i="17"/>
  <c r="A18" i="22"/>
  <c r="G37" i="17"/>
  <c r="F50" i="18" s="1"/>
  <c r="G33" i="17"/>
  <c r="N40" i="15"/>
  <c r="L16" i="6"/>
  <c r="H62" i="5"/>
  <c r="F47" i="18" l="1"/>
  <c r="F54" i="18" s="1"/>
  <c r="G42" i="17"/>
  <c r="G9" i="17" s="1"/>
  <c r="G35" i="20"/>
  <c r="N65" i="15"/>
  <c r="G29" i="20"/>
  <c r="Q40" i="15"/>
  <c r="G48" i="17"/>
  <c r="G11" i="17" s="1"/>
  <c r="F56" i="18"/>
  <c r="F60" i="18" s="1"/>
  <c r="A22" i="22" l="1"/>
  <c r="Q65" i="15"/>
  <c r="Q54" i="15" s="1"/>
  <c r="K33" i="20" l="1"/>
  <c r="K34" i="20" s="1"/>
  <c r="B4" i="20" s="1"/>
  <c r="B4" i="3"/>
  <c r="B4" i="2"/>
  <c r="K3" i="1"/>
  <c r="R52" i="15"/>
  <c r="AZ8" i="2" l="1"/>
  <c r="AV8" i="2"/>
  <c r="AY8" i="2"/>
  <c r="AX8" i="2"/>
  <c r="AW8" i="2"/>
  <c r="F44" i="13" l="1"/>
  <c r="E41" i="7"/>
  <c r="E39" i="21" s="1"/>
  <c r="F46" i="13"/>
  <c r="E43" i="7"/>
  <c r="E41" i="21" s="1"/>
  <c r="F47" i="13"/>
  <c r="E44" i="7"/>
  <c r="E42" i="21" s="1"/>
  <c r="F45" i="13"/>
  <c r="E42" i="7"/>
  <c r="E40" i="21" s="1"/>
  <c r="F48" i="13"/>
  <c r="E45" i="7"/>
  <c r="E43" i="21" s="1"/>
</calcChain>
</file>

<file path=xl/comments1.xml><?xml version="1.0" encoding="utf-8"?>
<comments xmlns="http://schemas.openxmlformats.org/spreadsheetml/2006/main">
  <authors>
    <author/>
  </authors>
  <commentList>
    <comment ref="H7" authorId="0" shapeId="0">
      <text>
        <r>
          <rPr>
            <sz val="8"/>
            <color rgb="FF000000"/>
            <rFont val="Tahoma"/>
            <family val="2"/>
            <charset val="1"/>
          </rPr>
          <t>Fill in this column with this year's budget  This allows you to compare revenues to date with actual budget.
Inscrivez votre budget de l'année courante. Ceci permettra de comparer les revenus et le budget</t>
        </r>
      </text>
    </comment>
    <comment ref="I7" authorId="0" shapeId="0">
      <text>
        <r>
          <rPr>
            <sz val="8"/>
            <color rgb="FF000000"/>
            <rFont val="Tahoma"/>
            <family val="2"/>
            <charset val="1"/>
          </rPr>
          <t>This column is your actual revenues to date.
Cette colonne représente vos revenus courants.</t>
        </r>
      </text>
    </comment>
    <comment ref="J7" authorId="0" shapeId="0">
      <text>
        <r>
          <rPr>
            <sz val="8"/>
            <color rgb="FF000000"/>
            <rFont val="Tahoma"/>
            <family val="2"/>
            <charset val="1"/>
          </rPr>
          <t>This column shows the difference between the budgeted amount and the actual revenues to date.
Cette colonne présente la différence entre le budget et les revenus.</t>
        </r>
      </text>
    </comment>
  </commentList>
</comments>
</file>

<file path=xl/sharedStrings.xml><?xml version="1.0" encoding="utf-8"?>
<sst xmlns="http://schemas.openxmlformats.org/spreadsheetml/2006/main" count="1385" uniqueCount="741">
  <si>
    <t>ACC9 (Page 1) ID</t>
  </si>
  <si>
    <t>ACC9 (page 1) ID</t>
  </si>
  <si>
    <t>Inventory</t>
  </si>
  <si>
    <t>Inventaire</t>
  </si>
  <si>
    <t>DefaultFrench</t>
  </si>
  <si>
    <t>DefaultEnglish</t>
  </si>
  <si>
    <t>Data Set up</t>
  </si>
  <si>
    <t>Config des données</t>
  </si>
  <si>
    <t>Investments</t>
  </si>
  <si>
    <t>Investissements</t>
  </si>
  <si>
    <t xml:space="preserve">1510 - </t>
  </si>
  <si>
    <t>Aircrafts</t>
  </si>
  <si>
    <t>Aéronefs</t>
  </si>
  <si>
    <t>Acct Summ Reconcil</t>
  </si>
  <si>
    <t>Somm. Réconcil des Cptes</t>
  </si>
  <si>
    <t>Petty Cash</t>
  </si>
  <si>
    <t>Petite caisse</t>
  </si>
  <si>
    <t xml:space="preserve">1520 - </t>
  </si>
  <si>
    <t>Land &amp; Property</t>
  </si>
  <si>
    <t>Terrains &amp; Propriétés</t>
  </si>
  <si>
    <t>Acct Detailed Reconcil</t>
  </si>
  <si>
    <t>Revenue Jrnl</t>
  </si>
  <si>
    <t>Jrnl des revenus</t>
  </si>
  <si>
    <t xml:space="preserve">1530 - </t>
  </si>
  <si>
    <t>Buildings</t>
  </si>
  <si>
    <t>Bâtiments</t>
  </si>
  <si>
    <t>Réconcil Dét. Des comptes</t>
  </si>
  <si>
    <t>EN</t>
  </si>
  <si>
    <t>Expense Jrnl</t>
  </si>
  <si>
    <t>Jrnl des dépenses</t>
  </si>
  <si>
    <t>Cover Page</t>
  </si>
  <si>
    <t>Page couverture</t>
  </si>
  <si>
    <t xml:space="preserve">1540 - </t>
  </si>
  <si>
    <t>Vehicles</t>
  </si>
  <si>
    <t>Véhicules</t>
  </si>
  <si>
    <t>Deposits</t>
  </si>
  <si>
    <t>FR</t>
  </si>
  <si>
    <t>DND Claim Tracker</t>
  </si>
  <si>
    <t>Suivi des Réclam. MDN</t>
  </si>
  <si>
    <t xml:space="preserve">1550 - </t>
  </si>
  <si>
    <t>Office Equipment</t>
  </si>
  <si>
    <t>Équipement de bureau</t>
  </si>
  <si>
    <t>Disponible (Renommez)</t>
  </si>
  <si>
    <t>Available (Rename)</t>
  </si>
  <si>
    <t>Dépôts</t>
  </si>
  <si>
    <t>Transactions Listing</t>
  </si>
  <si>
    <t>Liste Transactions</t>
  </si>
  <si>
    <t xml:space="preserve">1560 - </t>
  </si>
  <si>
    <t>Biathlon &amp; Shooting Eqpt</t>
  </si>
  <si>
    <t>Équipement Tir &amp; Biathlo</t>
  </si>
  <si>
    <t>Volunteering tracker</t>
  </si>
  <si>
    <t>Budget Tracker</t>
  </si>
  <si>
    <t>Suivi du budget</t>
  </si>
  <si>
    <t xml:space="preserve">1570 - </t>
  </si>
  <si>
    <t>Photography Eqpt</t>
  </si>
  <si>
    <t>Éqpt de photographie</t>
  </si>
  <si>
    <t>Suivi Volontariat</t>
  </si>
  <si>
    <t>Budget Next FY</t>
  </si>
  <si>
    <t>Budget Proch année</t>
  </si>
  <si>
    <t xml:space="preserve">1580 - </t>
  </si>
  <si>
    <t>Field Equipment</t>
  </si>
  <si>
    <t>Équipement de campagne</t>
  </si>
  <si>
    <t>Activity Report</t>
  </si>
  <si>
    <t>ACC9 (Pages 2-3) Revenues</t>
  </si>
  <si>
    <t>ACC9 (pages 2-3) Revenus</t>
  </si>
  <si>
    <t xml:space="preserve">1590 - </t>
  </si>
  <si>
    <t>Electronic Equipment</t>
  </si>
  <si>
    <t>Équipement électronique</t>
  </si>
  <si>
    <t>Rapport Activité</t>
  </si>
  <si>
    <t>ACC9 (Pages 4-5) Expenses</t>
  </si>
  <si>
    <t>ACC9 (pages 4-5) Dépenses</t>
  </si>
  <si>
    <t xml:space="preserve">1600 - </t>
  </si>
  <si>
    <t>Instrument &amp; Acc musique</t>
  </si>
  <si>
    <t>Music Instr &amp; Acc.</t>
  </si>
  <si>
    <t>ACC9 (Page 6) Balance Sheet</t>
  </si>
  <si>
    <t>ACC9 (page 6) Bilan</t>
  </si>
  <si>
    <t xml:space="preserve">1610 - </t>
  </si>
  <si>
    <t>Trophies &amp; Award</t>
  </si>
  <si>
    <t>Trophées &amp; Récompenses</t>
  </si>
  <si>
    <t>ACC9 (Pages 7-9) Fixed Assets</t>
  </si>
  <si>
    <t>ACC9 (pages 7-9) Immo</t>
  </si>
  <si>
    <t xml:space="preserve">1620 - </t>
  </si>
  <si>
    <t>Miscellaneous</t>
  </si>
  <si>
    <t>Divers</t>
  </si>
  <si>
    <t>T3010 Worksheet</t>
  </si>
  <si>
    <t>T3010 Feuille de travail</t>
  </si>
  <si>
    <t>TP-985.22-V Feuille de travail</t>
  </si>
  <si>
    <t>TP-985.22-V Worksheet</t>
  </si>
  <si>
    <t>Main Account</t>
  </si>
  <si>
    <t>Inventory - Insurances</t>
  </si>
  <si>
    <t>Inventaire -Assurances</t>
  </si>
  <si>
    <t>End of Year</t>
  </si>
  <si>
    <t>Fin d'année</t>
  </si>
  <si>
    <t>Canteen</t>
  </si>
  <si>
    <t>Payment Request</t>
  </si>
  <si>
    <t>Demande de Paiement</t>
  </si>
  <si>
    <t>Tax Rebate Calculations</t>
  </si>
  <si>
    <t>Calculs de remise des taxes</t>
  </si>
  <si>
    <t>Simplified Inventory</t>
  </si>
  <si>
    <t>Inventaire simplifié</t>
  </si>
  <si>
    <t xml:space="preserve">1010 - </t>
  </si>
  <si>
    <t>Stat Report</t>
  </si>
  <si>
    <t>Rapport Stats</t>
  </si>
  <si>
    <t xml:space="preserve">1020 - </t>
  </si>
  <si>
    <t>Jurisdiction</t>
  </si>
  <si>
    <t>French</t>
  </si>
  <si>
    <t>English</t>
  </si>
  <si>
    <t xml:space="preserve">1030 - </t>
  </si>
  <si>
    <t>Alberta</t>
  </si>
  <si>
    <t>AB</t>
  </si>
  <si>
    <t>N</t>
  </si>
  <si>
    <t>Dépôt de sécurité remboursable</t>
  </si>
  <si>
    <t>Refundable Security Deposit</t>
  </si>
  <si>
    <t xml:space="preserve">1040 - </t>
  </si>
  <si>
    <t>BC</t>
  </si>
  <si>
    <t xml:space="preserve">1050 - </t>
  </si>
  <si>
    <t>Manitoba</t>
  </si>
  <si>
    <t>MB</t>
  </si>
  <si>
    <t>Investissements (CPG, etc.)</t>
  </si>
  <si>
    <t>Investments (GICs, etc.)</t>
  </si>
  <si>
    <t xml:space="preserve">1060 - </t>
  </si>
  <si>
    <t>NB</t>
  </si>
  <si>
    <t>Y</t>
  </si>
  <si>
    <t>Investissements (Fonds mutuels, etc.)</t>
  </si>
  <si>
    <t>Investments (Mutual Funds, etc.)</t>
  </si>
  <si>
    <t xml:space="preserve">1070 - </t>
  </si>
  <si>
    <t>NL</t>
  </si>
  <si>
    <t xml:space="preserve">1210 - </t>
  </si>
  <si>
    <t>Investments GICs</t>
  </si>
  <si>
    <t>NS</t>
  </si>
  <si>
    <t xml:space="preserve">1220 - </t>
  </si>
  <si>
    <t>Investments (Mutual Funds and such)</t>
  </si>
  <si>
    <t>Ontario</t>
  </si>
  <si>
    <t>NT</t>
  </si>
  <si>
    <t xml:space="preserve">1230 - </t>
  </si>
  <si>
    <t>NU</t>
  </si>
  <si>
    <t>Emprunts bancaires (à court-terme)</t>
  </si>
  <si>
    <t>Bank Loans (Short Term)</t>
  </si>
  <si>
    <t xml:space="preserve">1240 - </t>
  </si>
  <si>
    <t>ON</t>
  </si>
  <si>
    <t>Autres prêts/bails (à court-terme)</t>
  </si>
  <si>
    <t>Other Loans/Leases (Short Term)</t>
  </si>
  <si>
    <t>PE</t>
  </si>
  <si>
    <t>Autres dettes à court-terme</t>
  </si>
  <si>
    <t>Other Outstanding Debts</t>
  </si>
  <si>
    <t xml:space="preserve">2010 - </t>
  </si>
  <si>
    <t>AM</t>
  </si>
  <si>
    <t>Saskatchewan</t>
  </si>
  <si>
    <t>QC</t>
  </si>
  <si>
    <t xml:space="preserve">2020 - </t>
  </si>
  <si>
    <t>PM</t>
  </si>
  <si>
    <t>SK</t>
  </si>
  <si>
    <t>Hypothèque</t>
  </si>
  <si>
    <t>Mortgage</t>
  </si>
  <si>
    <t xml:space="preserve">2030 - </t>
  </si>
  <si>
    <t>YT</t>
  </si>
  <si>
    <t>Contrats de locations</t>
  </si>
  <si>
    <t>Capital Equipment Lease</t>
  </si>
  <si>
    <t xml:space="preserve">2040 - </t>
  </si>
  <si>
    <t xml:space="preserve">2210 - </t>
  </si>
  <si>
    <t xml:space="preserve">2220 - </t>
  </si>
  <si>
    <t xml:space="preserve">2230 - </t>
  </si>
  <si>
    <t>Jun</t>
  </si>
  <si>
    <t>Aug</t>
  </si>
  <si>
    <t>juin</t>
  </si>
  <si>
    <t>août</t>
  </si>
  <si>
    <t>This province does not participate in the HST Program.</t>
  </si>
  <si>
    <t>Français</t>
  </si>
  <si>
    <t>This province participates in the HST Program.</t>
  </si>
  <si>
    <t>Cette province ne participe pas au programme de la TVH.</t>
  </si>
  <si>
    <t>Cette province participe au programme de la TVH.</t>
  </si>
  <si>
    <t>S'il manque d'espace pour inscrire tous vos chèques ou décaissements, regroupez des montants.</t>
  </si>
  <si>
    <t>If there is not enough space to list all your cheques or disbursements, group amounts together.</t>
  </si>
  <si>
    <t>S'il manque d'espace pour inscrire tous vos dépôts, regroupez des montants.</t>
  </si>
  <si>
    <t>If there is not enough space to list all your deposits, group amounts together.</t>
  </si>
  <si>
    <t>(a)</t>
  </si>
  <si>
    <t>(b)</t>
  </si>
  <si>
    <t>(a) - (b)</t>
  </si>
  <si>
    <t>Ajoutez des catégories additionnelles dans les cellules disponibles de ce journal. Assurez-vous de respecter les catégories. Les sous-comptes doivent correspondre au compte affilié. Elles seront reportées automatiquement aux autres onglets.</t>
  </si>
  <si>
    <t>Add accounts of your own in available cells on this page. Ensure to respect the categories. The Sub-Accounts must correspond with their affiliated account. They will replicate to all other tabs.</t>
  </si>
  <si>
    <t>√</t>
  </si>
  <si>
    <t>1 (a)</t>
  </si>
  <si>
    <t>1 (b)</t>
  </si>
  <si>
    <t>1 (c)</t>
  </si>
  <si>
    <t>1 (d)</t>
  </si>
  <si>
    <t>1 (e)</t>
  </si>
  <si>
    <t>1 (f)</t>
  </si>
  <si>
    <t>1 (g)</t>
  </si>
  <si>
    <t>1 (h)</t>
  </si>
  <si>
    <t>1 (i)</t>
  </si>
  <si>
    <t>2 (a)</t>
  </si>
  <si>
    <t>2 (b)</t>
  </si>
  <si>
    <t>2 (c)</t>
  </si>
  <si>
    <t>2 (e)</t>
  </si>
  <si>
    <t>2 (f)</t>
  </si>
  <si>
    <t>2 (g)</t>
  </si>
  <si>
    <t>2 (h)</t>
  </si>
  <si>
    <t>2 (i)</t>
  </si>
  <si>
    <t>2 (j)</t>
  </si>
  <si>
    <t>4 (a)</t>
  </si>
  <si>
    <t>4 (b)</t>
  </si>
  <si>
    <t>4 (c)</t>
  </si>
  <si>
    <t>4 (d)</t>
  </si>
  <si>
    <t>4 (e)</t>
  </si>
  <si>
    <t>4 (f)</t>
  </si>
  <si>
    <t>4 (g)</t>
  </si>
  <si>
    <t>4 (h)</t>
  </si>
  <si>
    <t>4 (i)</t>
  </si>
  <si>
    <t>6 (a)</t>
  </si>
  <si>
    <t>6 (b)</t>
  </si>
  <si>
    <t>6 (c)</t>
  </si>
  <si>
    <t>6 (d)</t>
  </si>
  <si>
    <t>6 (e)</t>
  </si>
  <si>
    <t>6 (f)</t>
  </si>
  <si>
    <t>6 (g)</t>
  </si>
  <si>
    <t>6 (h)</t>
  </si>
  <si>
    <t>6 (i)</t>
  </si>
  <si>
    <t>8 (a)</t>
  </si>
  <si>
    <t>8 (b)</t>
  </si>
  <si>
    <t>8 (c)</t>
  </si>
  <si>
    <t>8 (d)</t>
  </si>
  <si>
    <t>8 (e)</t>
  </si>
  <si>
    <t>8 (f)</t>
  </si>
  <si>
    <t>8 (g)</t>
  </si>
  <si>
    <t>8 (h)</t>
  </si>
  <si>
    <t>8 (i)</t>
  </si>
  <si>
    <t>DND Local Support Allocation (LSA)</t>
  </si>
  <si>
    <t>DND Allocation - Mandatory and Complementary Pgm (MCP)</t>
  </si>
  <si>
    <t>Federal Portion - Tax Rebate</t>
  </si>
  <si>
    <t>Provincial Portion - Tax Rebate</t>
  </si>
  <si>
    <t>Centraide</t>
  </si>
  <si>
    <t>Autres Club de servic</t>
  </si>
  <si>
    <t>Chevaliers de Colomb d'Embrun</t>
  </si>
  <si>
    <t>Revenus - Loteries / Jeux du CP</t>
  </si>
  <si>
    <t>Parts - Loteries / Jeux du CP</t>
  </si>
  <si>
    <t>Escadron - Loteries / Jeux</t>
  </si>
  <si>
    <t>Revenus - Casino</t>
  </si>
  <si>
    <t>Revenus - Billets</t>
  </si>
  <si>
    <t>Bingo / Casino</t>
  </si>
  <si>
    <t>Ventes Tags</t>
  </si>
  <si>
    <t>Soirée TRIVIA</t>
  </si>
  <si>
    <t>Cueillette de bouteilles</t>
  </si>
  <si>
    <t>Comité du mess des cadets</t>
  </si>
  <si>
    <t>MDN - Allocations pour soutien local (ASL)</t>
  </si>
  <si>
    <t>MDN - Programme obligatoire et complémentaire (POC)</t>
  </si>
  <si>
    <t>United Way</t>
  </si>
  <si>
    <t>Other Service Club</t>
  </si>
  <si>
    <t>Embrun Knights of Columbus</t>
  </si>
  <si>
    <t>PC Lottery / Raffle Sales Incomes</t>
  </si>
  <si>
    <t>PC Lottery / Raffle Share</t>
  </si>
  <si>
    <t>Sqn Lottery / Raffle</t>
  </si>
  <si>
    <t>Casino Income</t>
  </si>
  <si>
    <t>Break Open Tickets Income</t>
  </si>
  <si>
    <t>Tagging</t>
  </si>
  <si>
    <t>TRIVIA Night</t>
  </si>
  <si>
    <t>Bottle Drive</t>
  </si>
  <si>
    <t>Cadet Mess Committee</t>
  </si>
  <si>
    <t>ExplFrench</t>
  </si>
  <si>
    <t>Retenus à la source</t>
  </si>
  <si>
    <t>Relatif à l'administration</t>
  </si>
  <si>
    <t>Relatif à l'entraînement</t>
  </si>
  <si>
    <t>Explanations</t>
  </si>
  <si>
    <t>Deductions from pay</t>
  </si>
  <si>
    <t>Related to administration</t>
  </si>
  <si>
    <t>Related to training</t>
  </si>
  <si>
    <t>ADJ</t>
  </si>
  <si>
    <t>BK</t>
  </si>
  <si>
    <t>CC</t>
  </si>
  <si>
    <t>DD</t>
  </si>
  <si>
    <t>DP</t>
  </si>
  <si>
    <t>ET</t>
  </si>
  <si>
    <t xml:space="preserve"> </t>
  </si>
  <si>
    <t>Ajustement / Adjustment</t>
  </si>
  <si>
    <t>Banque / Banque</t>
  </si>
  <si>
    <t>Carte de crédit / Credit Card</t>
  </si>
  <si>
    <t>Dépôt direct / Direct Deposit</t>
  </si>
  <si>
    <t>Dépôt / Deposit</t>
  </si>
  <si>
    <t>Transfert électronique / eTransfer</t>
  </si>
  <si>
    <t>1(f)</t>
  </si>
  <si>
    <t>1 (j)</t>
  </si>
  <si>
    <t>1 (k)</t>
  </si>
  <si>
    <t>1 (l)</t>
  </si>
  <si>
    <t>1 (m)</t>
  </si>
  <si>
    <t>1 (n)</t>
  </si>
  <si>
    <t>1 (o)</t>
  </si>
  <si>
    <t>1 (p)</t>
  </si>
  <si>
    <t>1 (q)</t>
  </si>
  <si>
    <t>1 (r)</t>
  </si>
  <si>
    <t>1 (s)</t>
  </si>
  <si>
    <t>3 (a)</t>
  </si>
  <si>
    <t>3 (b)</t>
  </si>
  <si>
    <t>3 (c)</t>
  </si>
  <si>
    <t>3 (d)</t>
  </si>
  <si>
    <t>3 (e)</t>
  </si>
  <si>
    <t>3 (f)</t>
  </si>
  <si>
    <t>3 (g)</t>
  </si>
  <si>
    <t>3 (h)</t>
  </si>
  <si>
    <t>3 (i)</t>
  </si>
  <si>
    <t>4 (j)</t>
  </si>
  <si>
    <t>5 (a)</t>
  </si>
  <si>
    <t>5 (b)</t>
  </si>
  <si>
    <t>5 (c)</t>
  </si>
  <si>
    <t>5 (d)</t>
  </si>
  <si>
    <t>5 (e)</t>
  </si>
  <si>
    <t>5 (f)</t>
  </si>
  <si>
    <t>5 (g)</t>
  </si>
  <si>
    <t>5 (h)</t>
  </si>
  <si>
    <t>5 (i)</t>
  </si>
  <si>
    <t>Professional Fees</t>
  </si>
  <si>
    <t>Compensation for employee</t>
  </si>
  <si>
    <t>Donations made to qualified donees</t>
  </si>
  <si>
    <t>Bursaries</t>
  </si>
  <si>
    <t>Sqn Logo Clothing and Other Sales Items</t>
  </si>
  <si>
    <t>Frais d'expédition</t>
  </si>
  <si>
    <t>XEC - Automne</t>
  </si>
  <si>
    <t>XEC - Printemps</t>
  </si>
  <si>
    <t>Camp Recrues - Niveau 1</t>
  </si>
  <si>
    <t>Cours pour S-Off Jr</t>
  </si>
  <si>
    <t>Cours pour S-Off Sr</t>
  </si>
  <si>
    <t>Niveau 5 - Ateliers</t>
  </si>
  <si>
    <t>Diner de Noël</t>
  </si>
  <si>
    <t>Activités Esprit de corps S-Off</t>
  </si>
  <si>
    <t>Équipe de Drill</t>
  </si>
  <si>
    <t>Svc communautaire</t>
  </si>
  <si>
    <t>Art oratoire</t>
  </si>
  <si>
    <t>Autres équipes</t>
  </si>
  <si>
    <t>Activités - Comité du Mess</t>
  </si>
  <si>
    <t>Dépenses Bingo/Casino</t>
  </si>
  <si>
    <t>Paiements &amp; Dépenses Loterie - PC</t>
  </si>
  <si>
    <t>Banquet annuel - Dépenses</t>
  </si>
  <si>
    <t>Dépenses Tags</t>
  </si>
  <si>
    <t>Cantine - Achat</t>
  </si>
  <si>
    <t>Vêtements et fournitures avec logo de l'escadron</t>
  </si>
  <si>
    <t>Shipping Costs</t>
  </si>
  <si>
    <t>FTX - Fall</t>
  </si>
  <si>
    <t>FTX - Spring</t>
  </si>
  <si>
    <t>Level 1 - Boot Camp</t>
  </si>
  <si>
    <t>Jr NCM Crse</t>
  </si>
  <si>
    <t>Sr NCM Crse</t>
  </si>
  <si>
    <t>Level 5 - Workshop</t>
  </si>
  <si>
    <t>Christmas Dinner</t>
  </si>
  <si>
    <t>NCO Team Building</t>
  </si>
  <si>
    <t>Drill team</t>
  </si>
  <si>
    <t>Community Svc</t>
  </si>
  <si>
    <t>Effective Speaking</t>
  </si>
  <si>
    <t>Other teams</t>
  </si>
  <si>
    <t>Mess Committee Activities</t>
  </si>
  <si>
    <t>Bingo/Casino  Expenses</t>
  </si>
  <si>
    <t>PC Lottery - Payments &amp; Expenses</t>
  </si>
  <si>
    <t>Annual Banquet - Expenses</t>
  </si>
  <si>
    <t>Tagging Expenses</t>
  </si>
  <si>
    <t>Canteen - Supplies</t>
  </si>
  <si>
    <t>Squadron Logo clothing &amp; Other sales Items</t>
  </si>
  <si>
    <t>Timbres, Lettres enr., Autres courriers</t>
  </si>
  <si>
    <t>4 x Activités</t>
  </si>
  <si>
    <t>Stamps. Reg'd Letter, Other Courriers</t>
  </si>
  <si>
    <t>4 x Activities</t>
  </si>
  <si>
    <t>PC</t>
  </si>
  <si>
    <t>CH</t>
  </si>
  <si>
    <t>Chèque / Cheque</t>
  </si>
  <si>
    <t>Petite caisse / Petty Cash</t>
  </si>
  <si>
    <t>AT</t>
  </si>
  <si>
    <t>REC</t>
  </si>
  <si>
    <t>Ref #</t>
  </si>
  <si>
    <t>Date</t>
  </si>
  <si>
    <t>Notes:</t>
  </si>
  <si>
    <t>1</t>
  </si>
  <si>
    <t>Ce montant doit être $0.00. Le relevé et les livres ne balancent pas et la différence doit être corrigée.</t>
  </si>
  <si>
    <t>This amount should be $0.00. Books and Statement do not balance and the difference needs to be corrected.</t>
  </si>
  <si>
    <t>Vos livres et relevés balancent.</t>
  </si>
  <si>
    <t>Books and Statements balance.</t>
  </si>
  <si>
    <t>Date :</t>
  </si>
  <si>
    <t>Version:</t>
  </si>
  <si>
    <t>Date:</t>
  </si>
  <si>
    <t>ACC-9 ID</t>
  </si>
  <si>
    <t>Description</t>
  </si>
  <si>
    <t>ACCOMMODATION</t>
  </si>
  <si>
    <t>NOTES</t>
  </si>
  <si>
    <t>DESCRIPTION</t>
  </si>
  <si>
    <t>TOTAL</t>
  </si>
  <si>
    <t>Tel que spécifié à l'article 3.7.3 du GPMA révisé en janvier 2015, chaque Comité Répondant, doit remettre à la LCAC, un rapport annuel des recettes et déboursés (Formulaire ACC9) à son Comité Provincial (CP) dans les soixante (60) jours suivants la fin de l'année fiscale,  ou soit à la date indiquée ci-dessous. Le CP effectuera une revue du formulaire avant d'expédier une copie au niveau national.</t>
  </si>
  <si>
    <t>As specified in the PPM Article 3.7.3 revised in January 2015, each Squadron Sponsoring  Committee must render an annual statement of receipts and expenditures on Form ACC9 to its ACL Provincial Committee within sixty (60) days of the end of the fiscal year, or by the date below.  The PC will then review before sending a signed off copy to the National level.</t>
  </si>
  <si>
    <t xml:space="preserve">Year </t>
  </si>
  <si>
    <t>Column1</t>
  </si>
  <si>
    <t>EVENING / SOIR</t>
  </si>
  <si>
    <t>ANYTIME / EN TOUT TEMPS</t>
  </si>
  <si>
    <t>RR</t>
  </si>
  <si>
    <t>RT</t>
  </si>
  <si>
    <t xml:space="preserve">            Check box if annex attached</t>
  </si>
  <si>
    <t>L'information contenue dans cet ACC9 a été passée en revue pour son intégralité, conformité et vraisemblance. Ceci ne constitue pas une vérification. L'information financière ci-incluse me semble raisonnable. Aucune information probante connue me porte à croire que cette information n'est pas fiable ou  erronnée à première vue, à l'exception des commentaires et notes, si incluses, à l'Annexe "A".</t>
  </si>
  <si>
    <t>Signature</t>
  </si>
  <si>
    <t>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t>
  </si>
  <si>
    <t>Page 1/9</t>
  </si>
  <si>
    <t>Page A-1</t>
  </si>
  <si>
    <t>Page 2/9</t>
  </si>
  <si>
    <t>Page 3/9</t>
  </si>
  <si>
    <t>SURPLUS (DEFICIT)</t>
  </si>
  <si>
    <t>Page 4/9</t>
  </si>
  <si>
    <t>Page 5/9</t>
  </si>
  <si>
    <t>Mandatory - ACC9 must be accompanied by year-end photocopies of bank account and investment statements with reconciliation worksheet that must balance with the amounts reported in this section of the ACC9 as well as of other investment statements. Copies of each monthly statement may be requested by PC reviewer.</t>
  </si>
  <si>
    <t>Obligatoire - l'ACC9 doit être accompagné de photocopies des divers relevés bancaires de fin d'année et des relevés de placements du courtier, ainsi que les conciliations des divers comptes de banque et des placements du courtier dont le total doit balancer avec les soldes reportés à l'ACC9. Au besoin, le responsable au CP peut exiger de voir tous les relevés mensuels bancaires et des placements de l'année.</t>
  </si>
  <si>
    <t>(c)</t>
  </si>
  <si>
    <t>(d)</t>
  </si>
  <si>
    <r>
      <rPr>
        <b/>
        <sz val="10"/>
        <rFont val="Arial"/>
        <family val="2"/>
        <charset val="1"/>
      </rPr>
      <t xml:space="preserve">Le rapport financier comprend les onglets suivants:
</t>
    </r>
    <r>
      <rPr>
        <sz val="10"/>
        <rFont val="Arial"/>
        <family val="2"/>
        <charset val="1"/>
      </rPr>
      <t xml:space="preserve">
- Rapport financier de fin d'années
- État des immobilisations
- Réconciliation des comptes
- Rapport - Levée de fonds, Revenus et Dépenses
- Fichier de travail sur les investissements et état de compte de fin d'année
- Une copie du relevé bancaire en date de la fin d'année</t>
    </r>
  </si>
  <si>
    <t>RAPPORT FINANCIER</t>
  </si>
  <si>
    <t>(e)</t>
  </si>
  <si>
    <t>(f)</t>
  </si>
  <si>
    <t>(g)</t>
  </si>
  <si>
    <t>(h)</t>
  </si>
  <si>
    <t>(i)</t>
  </si>
  <si>
    <t>(j)</t>
  </si>
  <si>
    <t>(k)</t>
  </si>
  <si>
    <t>(l)</t>
  </si>
  <si>
    <t>X</t>
  </si>
  <si>
    <t>-</t>
  </si>
  <si>
    <t>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t>
  </si>
  <si>
    <t>This ACC9 has been prepared by</t>
  </si>
  <si>
    <t>from the accounting records of the Sponsoring Committee, other documentation, and information available from and to the Sponsoring Committee.</t>
  </si>
  <si>
    <t>Une différence de 0.01$ à approximativement 1$ n’est pas un problème et est acceptable si ceci est causé par l’arrondissement des cents. Dans ce cas, inscrivez à la ligne « Ajustement » la somme ajustée.</t>
  </si>
  <si>
    <t>Signature:</t>
  </si>
  <si>
    <t>A difference of say from $0.01 to approximately $1 is not cause for concern and would be acceptable as this is likely due to rounding cents to the $1 integer value. In this instance enter an adjustment for the appropriate rounding difference on line "Adjustment" line.</t>
  </si>
  <si>
    <t>Cet ACC-9 a été préparé par</t>
  </si>
  <si>
    <t>Page 6/9</t>
  </si>
  <si>
    <t xml:space="preserve"> des dépenses et du contrôle de toutes les sommes, conformément aux règles et procédures de la Ligue des cadets de l'air. Aucune vérification externe n'a été effectuée et, par conséquent, aucune opinion d'un vérificateure n'est exprimée sur ces états financiers. Notez que le commandant signe comme quoi il a été informé du contenu de l'ACC-9 et qu'il n'a aucune réserve sur son contenu à première vue.</t>
  </si>
  <si>
    <t>, à partir des registres comptables du comité répondants d'escadron, d'autres documents et de l'information disponible auprès du comité répondants. Il rend compte avec précision de la situation financière du comité répondant à la date de cet état. Nous confirmons qu'une diligence raisonnable a été exercée pour maintenir une comptabilité appropriée des revenus,</t>
  </si>
  <si>
    <t>1510 -</t>
  </si>
  <si>
    <t>1510-1</t>
  </si>
  <si>
    <t>1510-2</t>
  </si>
  <si>
    <t>1510-3</t>
  </si>
  <si>
    <t>1510-4</t>
  </si>
  <si>
    <t>1510-5</t>
  </si>
  <si>
    <t>1510-6</t>
  </si>
  <si>
    <t>1510-7</t>
  </si>
  <si>
    <t>1510-8</t>
  </si>
  <si>
    <t>Le prix d'acquisition se réflètera dans l'état des immobilisations des états financiers. Le coût de remplacement sera utilisé aux fins de la couverture d'assurance. Dans le cas où le prix d'acquisition ou le coût de remplacement n'est pas connu, on attribue la même valeur aux deux.</t>
  </si>
  <si>
    <t>S-Total</t>
  </si>
  <si>
    <t>The purchase price will be reflected in the statement of fixed assets in the financial statements. The replacement cost will be used for insurance coverage purposes. In the event that the purchase price or the replacement cost is not known, both are given the same value.</t>
  </si>
  <si>
    <t>1520 -</t>
  </si>
  <si>
    <t>1520-1</t>
  </si>
  <si>
    <t>1520-2</t>
  </si>
  <si>
    <t>1520-3</t>
  </si>
  <si>
    <t>1520-4</t>
  </si>
  <si>
    <t>1520-5</t>
  </si>
  <si>
    <t>1520-6</t>
  </si>
  <si>
    <t>1520-7</t>
  </si>
  <si>
    <t>1520-8</t>
  </si>
  <si>
    <t>1530 -</t>
  </si>
  <si>
    <t>1530-1</t>
  </si>
  <si>
    <t>1530-2</t>
  </si>
  <si>
    <t>1530-3</t>
  </si>
  <si>
    <t>1530-4</t>
  </si>
  <si>
    <t>1530-5</t>
  </si>
  <si>
    <t>1530-6</t>
  </si>
  <si>
    <t>1530-7</t>
  </si>
  <si>
    <t>1530-8</t>
  </si>
  <si>
    <t>1540 -</t>
  </si>
  <si>
    <t>1540-1</t>
  </si>
  <si>
    <t>1540-2</t>
  </si>
  <si>
    <t>1540-3</t>
  </si>
  <si>
    <t>1540-4</t>
  </si>
  <si>
    <t>1540-5</t>
  </si>
  <si>
    <t>1540-6</t>
  </si>
  <si>
    <t>1540-7</t>
  </si>
  <si>
    <t>1540-8</t>
  </si>
  <si>
    <t>1550 -</t>
  </si>
  <si>
    <t>1550-1</t>
  </si>
  <si>
    <t>1550-2</t>
  </si>
  <si>
    <t>1550-3</t>
  </si>
  <si>
    <t>1550-4</t>
  </si>
  <si>
    <t>1550-5</t>
  </si>
  <si>
    <t>1550-6</t>
  </si>
  <si>
    <t>1550-7</t>
  </si>
  <si>
    <t>1550-8</t>
  </si>
  <si>
    <t>Page 7/9</t>
  </si>
  <si>
    <t>1560 -</t>
  </si>
  <si>
    <t>1560-1</t>
  </si>
  <si>
    <t>1560-2</t>
  </si>
  <si>
    <t>1560-3</t>
  </si>
  <si>
    <t>1560-4</t>
  </si>
  <si>
    <t>1560-5</t>
  </si>
  <si>
    <t>1560-6</t>
  </si>
  <si>
    <t>1560-7</t>
  </si>
  <si>
    <t>1560-8</t>
  </si>
  <si>
    <t>1570 -</t>
  </si>
  <si>
    <t>1570-1</t>
  </si>
  <si>
    <t>1570-2</t>
  </si>
  <si>
    <t>1570-3</t>
  </si>
  <si>
    <t>1570-4</t>
  </si>
  <si>
    <t>1570-5</t>
  </si>
  <si>
    <t>1570-6</t>
  </si>
  <si>
    <t>1570-7</t>
  </si>
  <si>
    <t>1570-8</t>
  </si>
  <si>
    <t>1580 -</t>
  </si>
  <si>
    <t>1580-1</t>
  </si>
  <si>
    <t>1580-2</t>
  </si>
  <si>
    <t>1580-3</t>
  </si>
  <si>
    <t>1580-4</t>
  </si>
  <si>
    <t>1580-5</t>
  </si>
  <si>
    <t>1580-6</t>
  </si>
  <si>
    <t>1580-7</t>
  </si>
  <si>
    <t>1580-8</t>
  </si>
  <si>
    <t>1590 -</t>
  </si>
  <si>
    <t>1590-1</t>
  </si>
  <si>
    <t>1590-2</t>
  </si>
  <si>
    <t>1590-3</t>
  </si>
  <si>
    <t>1590-4</t>
  </si>
  <si>
    <t>1590-5</t>
  </si>
  <si>
    <t>1590-6</t>
  </si>
  <si>
    <t>1590-7</t>
  </si>
  <si>
    <t>1590-8</t>
  </si>
  <si>
    <t>Page 8/9</t>
  </si>
  <si>
    <t>1600 -</t>
  </si>
  <si>
    <t>1600-1</t>
  </si>
  <si>
    <t>1600-2</t>
  </si>
  <si>
    <t>1600-3</t>
  </si>
  <si>
    <t>1600-4</t>
  </si>
  <si>
    <t>1600-5</t>
  </si>
  <si>
    <t>1600-6</t>
  </si>
  <si>
    <t>1600-7</t>
  </si>
  <si>
    <t>1600-8</t>
  </si>
  <si>
    <t>1600-9</t>
  </si>
  <si>
    <t>1600-10</t>
  </si>
  <si>
    <t>1600-11</t>
  </si>
  <si>
    <t>1600-12</t>
  </si>
  <si>
    <t>1600-13</t>
  </si>
  <si>
    <t>1600-14</t>
  </si>
  <si>
    <t>1600-15</t>
  </si>
  <si>
    <t>1600-16</t>
  </si>
  <si>
    <t>1610 -</t>
  </si>
  <si>
    <t>1610-1</t>
  </si>
  <si>
    <t>1610-2</t>
  </si>
  <si>
    <t>1610-3</t>
  </si>
  <si>
    <t>1610-4</t>
  </si>
  <si>
    <t>1610-5</t>
  </si>
  <si>
    <t>1610-6</t>
  </si>
  <si>
    <t>1610-7</t>
  </si>
  <si>
    <t>1610-8</t>
  </si>
  <si>
    <t>1620 -</t>
  </si>
  <si>
    <t>1620-1</t>
  </si>
  <si>
    <t>1620-2</t>
  </si>
  <si>
    <t>1620-3</t>
  </si>
  <si>
    <t>1620-4</t>
  </si>
  <si>
    <t>1620-5</t>
  </si>
  <si>
    <t>1620-6</t>
  </si>
  <si>
    <t>1620-7</t>
  </si>
  <si>
    <t>1620-8</t>
  </si>
  <si>
    <t>Total</t>
  </si>
  <si>
    <t>Note: L'inventaire des biens n'inclut pas les articles fournis par le MDN. Cette annexe devrait être mise-à-jour annuellement. Les actifs qui ont été vendus ou qui ne servent plus, devraient être enlevés de cette liste; de la même façon que l'on devrait y ajouter tout achat ou acquisition pendant l'année. De plus, le montant total de l'inventaire servira de base pour établir le montant d'assurance pour la prochaine année.</t>
  </si>
  <si>
    <t>Page 9/9</t>
  </si>
  <si>
    <t>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t>
  </si>
  <si>
    <t>This worksheet will autogenerate all the finiancial information required for the T3010 Federal Form.
Just input the numbers corresponding to the T3010 box numbers into the report. For some provinces, a provincial report may be required. Visit the appropriate website for more informations.
As per new accounts added, some adjustments might be required on the T3010.</t>
  </si>
  <si>
    <t>Cette feuille de travail produira tous les renseignements financiers requis pour le formulaire fédéral T3010.
Insérer les données qui correspondent aux numéro de ligne dans le rapport T3010. Dans certaines provinces, un rapport provincial distinct peut être requis. Pour plus d'informations, visitez le site internet de votre province.
Dépendant des nouveaux comptes ajoutés, des ajustements pourraient s'avérer nécessaires sur le formulaire T3010.</t>
  </si>
  <si>
    <t>Le rapport T3010 doit être complété par tous les organisme de bienfaisance enregistrés au fédéral. Ce rapport doit être accompagné des documents suivants:
- les états financiers ACC-9
- formulaire T1235
- formulaire T1236 (si requis)</t>
  </si>
  <si>
    <t>SECTION D</t>
  </si>
  <si>
    <t>1100, 1700</t>
  </si>
  <si>
    <t>4070 + Col. DONATIONS</t>
  </si>
  <si>
    <t>4010, 4020, 4030</t>
  </si>
  <si>
    <t>4040, 4050, 4060, 4080, 4090</t>
  </si>
  <si>
    <t>4299, 4499 ( - Col. Donations)</t>
  </si>
  <si>
    <t>Sum (c) to (j)</t>
  </si>
  <si>
    <t>(m)</t>
  </si>
  <si>
    <t>5299 (- 5120, -5140), 5399, 5499, 5599, 5699, 5899 (- 5810)</t>
  </si>
  <si>
    <t>(n)</t>
  </si>
  <si>
    <t>Total expenditures (excluding gifts to qualified donees) (add lines 4860, 4810, and 4920)</t>
  </si>
  <si>
    <t>(l) + (m) + (n)</t>
  </si>
  <si>
    <t>(o)</t>
  </si>
  <si>
    <t>5030, 5040, 5050, 5080, 5090, 5100, 5140, 5150, 5160, 5170, 5180, 5190, 5499, 5599, 5699, 5899(- 5810)</t>
  </si>
  <si>
    <t>(p)</t>
  </si>
  <si>
    <t>5010, 5020, 5060, 5070, 5110, 5120, 5130, 5810</t>
  </si>
  <si>
    <t>(q)</t>
  </si>
  <si>
    <t>(r)</t>
  </si>
  <si>
    <t>(o) + (r)</t>
  </si>
  <si>
    <t>(s)</t>
  </si>
  <si>
    <t>The T3010 report must filled in by all Federal registered Charities. This report must be sent with the following documents:
- Financial Report ACC-9
- T1235 Form
- T1236 Form (if required)</t>
  </si>
  <si>
    <t>1510, 1540, 1550, 1560, 1570, 1580, 1590, 1600, 1610, 1620</t>
  </si>
  <si>
    <t>1520, 1530</t>
  </si>
  <si>
    <t>Sum (a) to (i)</t>
  </si>
  <si>
    <t>Sum (k) to (n)</t>
  </si>
  <si>
    <t>4810, 4820, 4830</t>
  </si>
  <si>
    <t>4840, 4850, 4860</t>
  </si>
  <si>
    <t>(t)</t>
  </si>
  <si>
    <t>4870, 4880, 4890</t>
  </si>
  <si>
    <t>(u)</t>
  </si>
  <si>
    <t>(v)</t>
  </si>
  <si>
    <t>(w)</t>
  </si>
  <si>
    <t>(x)</t>
  </si>
  <si>
    <t>(y)</t>
  </si>
  <si>
    <t>(z)</t>
  </si>
  <si>
    <t>(aa)</t>
  </si>
  <si>
    <t>4299, 4499</t>
  </si>
  <si>
    <t>(ab)</t>
  </si>
  <si>
    <t>(ac)</t>
  </si>
  <si>
    <t>4699 (-4650)</t>
  </si>
  <si>
    <t>(ad)</t>
  </si>
  <si>
    <t>Sum (p) to (w) and (y) to (ad)</t>
  </si>
  <si>
    <t>(ae)</t>
  </si>
  <si>
    <t>(af)</t>
  </si>
  <si>
    <t>(ag)</t>
  </si>
  <si>
    <t>(ah)</t>
  </si>
  <si>
    <t>5090, 5100</t>
  </si>
  <si>
    <t>(ai)</t>
  </si>
  <si>
    <t>5010, 5020, 5070</t>
  </si>
  <si>
    <t>(aj)</t>
  </si>
  <si>
    <t>5030, 5040, 5050</t>
  </si>
  <si>
    <t>(ak)</t>
  </si>
  <si>
    <t>(al)</t>
  </si>
  <si>
    <t>(am)</t>
  </si>
  <si>
    <t>(an)</t>
  </si>
  <si>
    <t>(ao)</t>
  </si>
  <si>
    <t>(ap)</t>
  </si>
  <si>
    <t>(aq)</t>
  </si>
  <si>
    <t>(ar)</t>
  </si>
  <si>
    <t>5150, 5160, 5170, 5180, 5190, 5499(- 5430), 5599, 5699, 5899(- 5810)</t>
  </si>
  <si>
    <t>(as)</t>
  </si>
  <si>
    <t>Sum (af) to (as)</t>
  </si>
  <si>
    <t>(at)</t>
  </si>
  <si>
    <t>5030, 5040, 5050, 5080, 5090, 5100, 5150, 5160, 5170, 5180, 5190, 5499, 5899 (- 5810)</t>
  </si>
  <si>
    <t>(au)</t>
  </si>
  <si>
    <t>(av)</t>
  </si>
  <si>
    <t>5599, 5699</t>
  </si>
  <si>
    <t>(aw)</t>
  </si>
  <si>
    <t>(ax)</t>
  </si>
  <si>
    <t>(ay)</t>
  </si>
  <si>
    <t>(az)</t>
  </si>
  <si>
    <t>(at) + (az)</t>
  </si>
  <si>
    <t>(ba)</t>
  </si>
  <si>
    <t>This worksheet will autogenerate all the finiancial information required for the TP-985.22-V Quebec Form.
Just input the numbers corresponding to the TP-985.22-V box numbers into the report. Visit the appropriate website for more informations.
As per new accounts added, some adjustments might be required on the TP-985.22-V.</t>
  </si>
  <si>
    <t>Cette feuille de travail produira tous les renseignements financiers requis pour le formulaire TP-985.22-V du Québec.
Insérer les données qui correspondent aux numéro de ligne dans le rapport TP-985.22-V. Pour plus d'informations, visitez le site internet de votre province.
Dépendant des nouveaux comptes ajoutés, des ajustements pourraient s'avérer nécessaires sur le formulaire TP-985.22-V.</t>
  </si>
  <si>
    <t>Le rapport TP-985.22-V doit être complété par tous les organisme de bienfaisance enregistrés au Québec. Ce rapport doit être accompagné des documents suivants:
- les états financiers (ACC-9)
- l'annexe D du formulaire TP-985.22-V
- l'annexe C du formulaire TP-985.22-V (si requis)</t>
  </si>
  <si>
    <t>The TP-985.22-V report must filled in by all Quebec registered Charities. This report must be sent with the following documents:
- Financial Report (ACC-9)
- Schedule D of TP-985.22-V Form
- Schedule C of TP-985.22-V Form (if required)</t>
  </si>
  <si>
    <t>(a) + (b) + (d) +(e) + Sum (i) to (o)</t>
  </si>
  <si>
    <t>5090, 5100, 5140, 5150, 5160, 5170, 5180, 5190, 5499 (-5430), 5599, 5699, 5899 (- 5810)</t>
  </si>
  <si>
    <t>Sum (q) to (aa)</t>
  </si>
  <si>
    <t>(ab) + (ah)</t>
  </si>
  <si>
    <t>sommes à recevoir des fondateurs, dirigeants, administrateurs, membres, actionnaires, fiduciaires ou de tout organisme ayant un lien de dépendance avec ces personnes, Institution muséale, organisme culturel ou de communication, ou organisme d’éducation politique : sommes à recevoir des propriétaires, membres ou actionnaires</t>
  </si>
  <si>
    <t>Amounts receivable from founders, officers, directors, members, shareholders, trustees or any organization not dealing at arm’s length with such persons</t>
  </si>
  <si>
    <t>Sum (ak) to (aq)</t>
  </si>
  <si>
    <t>Sommes à payer aux fondateurs, dirigeants, administrateurs, membres, actionnaires, fiduciaires ou à tout organisme ayant un lien de dépendance avec ces personnes, Institution muséale, organisme culturel ou de communication, ou organisme d’éducation politique : sommes à payer aux propriétaires, membres ou actionnaires</t>
  </si>
  <si>
    <t>Amounts payable to founders, officers, directors, members, shareholders, trustees or any organization not dealing at arm’s length with such persons</t>
  </si>
  <si>
    <t>Sum (as) to (av)</t>
  </si>
  <si>
    <t>Les demandes de remboursement peuvent être effectuées à tous les trois mois ou une seule fois à la fin de l'année financière. Il faut suivre la fréquence de réclamation utilisée par l'organisme lié.</t>
  </si>
  <si>
    <t>The Rebate Reimbursement may be claimed every 3 months or in a single request at the Year-End.  The frequence of claim of the parent organization must be followed.</t>
  </si>
  <si>
    <r>
      <rPr>
        <sz val="10"/>
        <rFont val="Arial"/>
        <family val="2"/>
        <charset val="1"/>
      </rPr>
      <t>Non Profit Organizations registered as charities (000000000</t>
    </r>
    <r>
      <rPr>
        <b/>
        <sz val="10"/>
        <rFont val="Arial"/>
        <family val="2"/>
        <charset val="1"/>
      </rPr>
      <t>RR</t>
    </r>
    <r>
      <rPr>
        <sz val="10"/>
        <rFont val="Arial"/>
        <family val="2"/>
        <charset val="1"/>
      </rPr>
      <t>0000) may claim a refund of a portion of the taxes paid during the fiscal year. Rates vary from province to other. In addition, government reimbursements (DND) including taxes must be deducted from the taxe calculations.
The percentages presented below were in effect in 2019. Treasurers must check whether changes have occurred each year.</t>
    </r>
  </si>
  <si>
    <t>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t>
  </si>
  <si>
    <t>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t>
  </si>
  <si>
    <r>
      <rPr>
        <sz val="10"/>
        <rFont val="Arial"/>
        <family val="2"/>
        <charset val="1"/>
      </rPr>
      <t>Les organisations sans but lucratif enregistrés comme organismes de bienfaisance (000000000</t>
    </r>
    <r>
      <rPr>
        <b/>
        <sz val="10"/>
        <rFont val="Arial"/>
        <family val="2"/>
        <charset val="1"/>
      </rPr>
      <t>RR</t>
    </r>
    <r>
      <rPr>
        <sz val="10"/>
        <rFont val="Arial"/>
        <family val="2"/>
        <charset val="1"/>
      </rPr>
      <t>0000) peuvent demander un remboursement d'une partie des taxes payées au cours de l'exercice financier. Les taux varient au fédéral et d'une province à l'autre. De plus, les remboursements gouvernementaux (MDN) incluant des taxes doivent être déduits du montant calculé pour le remboursement.
Les pourcentages présentés ci-bas étaient en vigueur en 2019. Les trésoriers doivent vérifier si des changements ont eu lieu d'une année à l'autre.</t>
    </r>
  </si>
  <si>
    <t>La plupart des provinces perçoivent deux taxes, l'une provinciale et l'autre fédérale. Les escadrons établit dans les provinces participantes à la TVH, doivent demander leur remboursement provincial et fédéral en utilisant les formulaires RC7066 et GST66. Pour les provinces non-participantes, sauf au Québec, la TPS au fédéral doit êrtre réclamé sur le formulaire GST66. La TVP sera réclamée sur des formulaires propres à chaque province, s'il y a lieu. Pour le Québec, les deux taxes de vente (TPS et TVQ) sont administrées par la province et doivent être réclamées en utilisant le formulaire conjoint (ARC et Revenu Québec) FP-2066 qui contient les mêmes informations que le formulaire GST66.</t>
  </si>
  <si>
    <t>Toutes les taxes sur les produits et services sont composées d'une taxe provinciale et d'une taxe fédérale (sauf s'il n'y a pas de taxe provinciale). La taxe fédérale est de 5% pour toutes les provinces, la différence étant la taxe provinciale, s'il y a lieu. Aux fins des calculs, les taxes doivent être ventilées (spécifiquement pour la TVH).</t>
  </si>
  <si>
    <t>TPS</t>
  </si>
  <si>
    <t>TVP</t>
  </si>
  <si>
    <t>Prov</t>
  </si>
  <si>
    <t>PST</t>
  </si>
  <si>
    <t>REBATE</t>
  </si>
  <si>
    <t>305-NB</t>
  </si>
  <si>
    <t>RC7066</t>
  </si>
  <si>
    <t>305-NL</t>
  </si>
  <si>
    <t>305-NS</t>
  </si>
  <si>
    <t>305-ON</t>
  </si>
  <si>
    <t>305-PE</t>
  </si>
  <si>
    <t>VDZ-387</t>
  </si>
  <si>
    <t>FED</t>
  </si>
  <si>
    <t>Les taux de remise et de taxe sont extraits des différents site Web des provinces. Il est fortement suggéré que ces informations soient vérifiées auprès du gouvernement concerné.</t>
  </si>
  <si>
    <t>The Rebate and Tax Level are extracted from the different Website of each province. It is strongly recommended that these informations be verified with the government.</t>
  </si>
  <si>
    <t>y</t>
  </si>
  <si>
    <t>Imprimez ces renseignements et remplissez l'onglet "Configuration des données" dans l'ACC9 pour l`année prochaine.</t>
  </si>
  <si>
    <t>This is the information for next year's ACC9. Please print out this information and fill it in on next year's ACC9 worksheet 'Data Set up'.</t>
  </si>
  <si>
    <t>Save</t>
  </si>
  <si>
    <t>Before going further, ensure to save this file (under the same name).</t>
  </si>
  <si>
    <t>Sauvegarde</t>
  </si>
  <si>
    <t>Avant d'aller plus loin, assurez-vous de sauvegarder le fichier actuel (sous le même nom).</t>
  </si>
  <si>
    <t>Print</t>
  </si>
  <si>
    <t>Print this worksheet. It contains all informations required to start the new Fiscal Year.</t>
  </si>
  <si>
    <t>Imprimer</t>
  </si>
  <si>
    <t>Imprimer cette feuille de travail. Elle contient les informations nécessaires pour démarrer la prochaine année financière.</t>
  </si>
  <si>
    <t>Transfer Data</t>
  </si>
  <si>
    <t>This operation will create a new file named :
&lt;Squadron Number&gt;_&lt;Fiscal Year&gt;_RollUpPgm.xlsm
The new file contains the essential information required by Provincial and National Committees. Some features have been deleted in order to reduce the size of the file. This file must be sent by email to the Provincial Committee. Then, close the file created and return to the initial file.</t>
  </si>
  <si>
    <t>Transfert des données</t>
  </si>
  <si>
    <t>Cette opération créera un nouveau fichier nommé
&lt;Numéro d'escadron&gt;_&lt;Année financière&gt;_RollUpPgm.xlsm
Ce nouveau fichier renfermera les informations essentielles pour les comités provinciaux et nationaux. Il est épuré de certaines fonctionnalités afin d'en diminuer la taille. C'est ce fichier qui doit être transmis par courriel au comité provincial. Ensuite, fermez le fichier créé et retournez au fichier initial.</t>
  </si>
  <si>
    <t>Reset Data</t>
  </si>
  <si>
    <t>This step must be performed on the initial file. The operation will ask you to save the file with a new name and will delete all Transactional Data. Verify all the basic data and start the new FY.</t>
  </si>
  <si>
    <t>Réinitialisation des données</t>
  </si>
  <si>
    <t>Cette étape doit être effectuée sur le fichier initial. Cette opération vous demandera de sauvegarder le fichier sous un nouveau nom et effacera toutes les données transactionnelles. Vérifiez les données de base et commencer la nouvelle AF.</t>
  </si>
  <si>
    <t>Step1 : Save</t>
  </si>
  <si>
    <t>Étape 1 : Sauvegarde</t>
  </si>
  <si>
    <t>Step 2 : Print data</t>
  </si>
  <si>
    <t>Étape 2 : Impression des données</t>
  </si>
  <si>
    <t>Step 3 : Transfer data</t>
  </si>
  <si>
    <t>Étape 3 : Transfert des données</t>
  </si>
  <si>
    <t>Step 4 : Reset Data</t>
  </si>
  <si>
    <t>Étape 4 : Réinitialisation des données</t>
  </si>
  <si>
    <t>Categories</t>
  </si>
  <si>
    <t>Accounts</t>
  </si>
  <si>
    <t>Quota</t>
  </si>
  <si>
    <t>Sqn Nb</t>
  </si>
  <si>
    <t>Sqn Name</t>
  </si>
  <si>
    <t>Official Sponsor</t>
  </si>
  <si>
    <t>Total Donations</t>
  </si>
  <si>
    <t>Total Gaming Lottery</t>
  </si>
  <si>
    <t>Total Other Fundraising</t>
  </si>
  <si>
    <t>Misc Reve (other than Gvt)</t>
  </si>
  <si>
    <t>Govt Funding</t>
  </si>
  <si>
    <t>Total revenue</t>
  </si>
  <si>
    <t>Quarters rental</t>
  </si>
  <si>
    <t>Quarters Mint</t>
  </si>
  <si>
    <t>Total Admin</t>
  </si>
  <si>
    <t>Total Activities Exp</t>
  </si>
  <si>
    <t>Total Exp Other Fund</t>
  </si>
  <si>
    <t>Total Other Exp</t>
  </si>
  <si>
    <t>Total Cur Assets</t>
  </si>
  <si>
    <t>Total Inventory</t>
  </si>
  <si>
    <t>Total Cur Liab</t>
  </si>
  <si>
    <t>Total Long-T Liab</t>
  </si>
  <si>
    <t>Total Liab and Equi</t>
  </si>
  <si>
    <t>Version 2020.034</t>
  </si>
  <si>
    <t>Sqn Lottery/Raffle</t>
  </si>
  <si>
    <t>Bingo/Casino Income</t>
  </si>
  <si>
    <t>Assessments</t>
  </si>
  <si>
    <t>Rental Income</t>
  </si>
  <si>
    <t>Capital Gains</t>
  </si>
  <si>
    <t>Postage &amp; Shipping Costs</t>
  </si>
  <si>
    <t>Storage Rentals</t>
  </si>
  <si>
    <t>Building &amp; Contents Insurance</t>
  </si>
  <si>
    <t>Bottle Drive Expenses</t>
  </si>
  <si>
    <t>Canteen Expenses</t>
  </si>
  <si>
    <t>British Columbia</t>
  </si>
  <si>
    <t>August</t>
  </si>
  <si>
    <t>Tagging (Fall)</t>
  </si>
  <si>
    <t>Tagging (Spring)</t>
  </si>
  <si>
    <t>Annual Ticket Sales &amp; Such</t>
  </si>
  <si>
    <t>Jr NCM Course</t>
  </si>
  <si>
    <t>Sr NCM Course</t>
  </si>
  <si>
    <t>Level 1 - Boot Campt</t>
  </si>
  <si>
    <t>Level 5 Workshop</t>
  </si>
  <si>
    <t>Mess Dinner</t>
  </si>
  <si>
    <t>Year-End Activity</t>
  </si>
  <si>
    <t>Christmas</t>
  </si>
  <si>
    <t>Ground School</t>
  </si>
  <si>
    <t>Halloween</t>
  </si>
  <si>
    <t>1210 - Investments GICs</t>
  </si>
  <si>
    <t>1220 - Investments (Mutual Funds and such)</t>
  </si>
  <si>
    <t>Remembrance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</si>
</sst>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6" formatCode="&quot;$&quot;#,##0_);[Red]\(&quot;$&quot;#,##0\)"/>
    <numFmt numFmtId="164" formatCode="_(\$* #,##0.00_);_(\$* \(#,##0.00\);_(\$* \-??_);_(@_)"/>
    <numFmt numFmtId="165" formatCode="_(\$* #,##0.00_);[Red]\$* \(#,##0.00\);_(\$* \-??_);_(@_)"/>
    <numFmt numFmtId="166" formatCode="_(* #,##0.00_);_(* \(#,##0.00\);_(* \-??_);_(@_)"/>
    <numFmt numFmtId="167" formatCode="[&lt;=9999999]###\-####;###\-###\-####"/>
    <numFmt numFmtId="168" formatCode="0.000%"/>
    <numFmt numFmtId="169" formatCode="#,##0.0_);\(#,##0.0\)"/>
    <numFmt numFmtId="170" formatCode="_ * #,##0_)&quot; $&quot;_ ;_ * \(#,##0&quot;) $&quot;_ ;_ * \-??_)&quot; $&quot;_ ;_ @_ "/>
    <numFmt numFmtId="171" formatCode="\$#,##0.00"/>
    <numFmt numFmtId="172" formatCode="dd/mm/yyyy;@"/>
    <numFmt numFmtId="173" formatCode="_(\$* #,##0.00_);[Red]&quot;($&quot;* \(#,##0.00\);_(\$* \-??_);_(@_)"/>
    <numFmt numFmtId="174" formatCode="\$* #,##0.00_);[Red]&quot;($&quot;* #,##0.00\)"/>
    <numFmt numFmtId="175" formatCode="[$-F800]dddd&quot;, &quot;mmmm\ dd&quot;, &quot;yyyy"/>
    <numFmt numFmtId="176" formatCode="dd/mmm/yy"/>
    <numFmt numFmtId="177" formatCode="[$-409]mmm/yy;@"/>
    <numFmt numFmtId="178" formatCode="dd\ mmmm\ yyyy"/>
    <numFmt numFmtId="179" formatCode="[$-409]d/mmm;@"/>
    <numFmt numFmtId="180" formatCode="yyyy/mm/dd;@"/>
    <numFmt numFmtId="181" formatCode="_-[$$-1009]* #,##0.00_-;\-[$$-1009]* #,##0.00_-;_-[$$-1009]* \-??_-;_-@_-"/>
    <numFmt numFmtId="182" formatCode="dd/mmm"/>
    <numFmt numFmtId="183" formatCode="&quot;613-443-5882&quot;"/>
    <numFmt numFmtId="184" formatCode="\$#,##0.00_);&quot;($&quot;#,##0.00\)"/>
    <numFmt numFmtId="185" formatCode="[&lt;=9999999]###\-####;\(###&quot;) &quot;###\-####"/>
    <numFmt numFmtId="186" formatCode="#\ #\ #\ #\ #\ #\ #\ #\ #"/>
    <numFmt numFmtId="187" formatCode="0000"/>
    <numFmt numFmtId="188" formatCode="m/d;@"/>
    <numFmt numFmtId="189" formatCode="_(\$* #,##0_);[Red]\$* \(#,##0\);_(\$* \-??_);_(@_)"/>
    <numFmt numFmtId="190" formatCode="_(\$* #,##0_);_(\$* \(#,##0\);_(\$* \-_);_(@_)"/>
    <numFmt numFmtId="191" formatCode="_(* #,##0_);_(* \(#,##0\);_(* \-_);_(@_)"/>
    <numFmt numFmtId="192" formatCode="\$#,##0_);[Red]&quot;($&quot;#,##0\)"/>
    <numFmt numFmtId="193" formatCode="\$* #,##0_);[Red]&quot;($&quot;* #,##0\)"/>
    <numFmt numFmtId="194" formatCode="\$#,##0"/>
    <numFmt numFmtId="195" formatCode="_(\$* #,##0_);[Red]&quot;($&quot;* \(#,##0\);_(\$* \-??_);_(@_)"/>
    <numFmt numFmtId="196" formatCode="\$#,##0.00_);[Red]&quot;($&quot;#,##0.00\)"/>
    <numFmt numFmtId="197" formatCode="m/d/yy;@"/>
  </numFmts>
  <fonts count="130" x14ac:knownFonts="1">
    <font>
      <sz val="10"/>
      <name val="Arial"/>
      <charset val="1"/>
    </font>
    <font>
      <u/>
      <sz val="11"/>
      <color rgb="FF0000FF"/>
      <name val="Calibri"/>
      <family val="2"/>
      <charset val="1"/>
    </font>
    <font>
      <sz val="11"/>
      <color rgb="FF000000"/>
      <name val="Calibri"/>
      <family val="2"/>
      <charset val="1"/>
    </font>
    <font>
      <sz val="10"/>
      <name val="Arial"/>
      <family val="2"/>
      <charset val="1"/>
    </font>
    <font>
      <b/>
      <sz val="20"/>
      <color rgb="FFFFFFFF"/>
      <name val="Arial"/>
      <family val="2"/>
      <charset val="1"/>
    </font>
    <font>
      <b/>
      <sz val="14"/>
      <color rgb="FFFFFFFF"/>
      <name val="Arial"/>
      <family val="2"/>
      <charset val="1"/>
    </font>
    <font>
      <b/>
      <sz val="16"/>
      <color rgb="FF1F497D"/>
      <name val="Arial"/>
      <family val="2"/>
      <charset val="1"/>
    </font>
    <font>
      <b/>
      <sz val="12"/>
      <color rgb="FFFF0000"/>
      <name val="Arial"/>
      <family val="2"/>
      <charset val="1"/>
    </font>
    <font>
      <b/>
      <sz val="9"/>
      <color rgb="FFFF0000"/>
      <name val="Arial"/>
      <family val="2"/>
      <charset val="1"/>
    </font>
    <font>
      <b/>
      <sz val="14"/>
      <name val="Arial"/>
      <family val="2"/>
      <charset val="1"/>
    </font>
    <font>
      <b/>
      <sz val="26"/>
      <name val="Arial"/>
      <family val="2"/>
      <charset val="1"/>
    </font>
    <font>
      <b/>
      <sz val="25"/>
      <name val="Arial"/>
      <family val="2"/>
      <charset val="1"/>
    </font>
    <font>
      <b/>
      <sz val="20"/>
      <name val="Arial"/>
      <family val="2"/>
      <charset val="1"/>
    </font>
    <font>
      <b/>
      <sz val="12"/>
      <name val="Arial"/>
      <family val="2"/>
      <charset val="1"/>
    </font>
    <font>
      <sz val="16"/>
      <name val="Arial"/>
      <family val="2"/>
      <charset val="1"/>
    </font>
    <font>
      <sz val="12"/>
      <name val="Arial"/>
      <family val="2"/>
      <charset val="1"/>
    </font>
    <font>
      <sz val="14"/>
      <name val="Arial"/>
      <family val="2"/>
      <charset val="1"/>
    </font>
    <font>
      <sz val="9"/>
      <name val="Arial"/>
      <family val="2"/>
      <charset val="1"/>
    </font>
    <font>
      <u/>
      <sz val="10"/>
      <color rgb="FF0000FF"/>
      <name val="Arial"/>
      <family val="2"/>
      <charset val="1"/>
    </font>
    <font>
      <b/>
      <sz val="10"/>
      <name val="Arial"/>
      <family val="2"/>
      <charset val="1"/>
    </font>
    <font>
      <b/>
      <sz val="11"/>
      <name val="Arial"/>
      <family val="2"/>
      <charset val="1"/>
    </font>
    <font>
      <sz val="12"/>
      <color rgb="FF000000"/>
      <name val="Arial"/>
      <family val="2"/>
      <charset val="1"/>
    </font>
    <font>
      <sz val="8"/>
      <name val="Arial"/>
      <family val="2"/>
      <charset val="1"/>
    </font>
    <font>
      <b/>
      <sz val="16"/>
      <name val="Arial"/>
      <family val="2"/>
      <charset val="1"/>
    </font>
    <font>
      <sz val="14"/>
      <color rgb="FFFFFFFF"/>
      <name val="Arial"/>
      <family val="2"/>
      <charset val="1"/>
    </font>
    <font>
      <b/>
      <sz val="18"/>
      <color rgb="FFFF0000"/>
      <name val="Arial"/>
      <family val="2"/>
      <charset val="1"/>
    </font>
    <font>
      <b/>
      <sz val="11"/>
      <color rgb="FFFFFFFF"/>
      <name val="Arial"/>
      <family val="2"/>
      <charset val="1"/>
    </font>
    <font>
      <b/>
      <sz val="14"/>
      <color rgb="FF000000"/>
      <name val="Arial"/>
      <family val="2"/>
      <charset val="1"/>
    </font>
    <font>
      <sz val="10"/>
      <color rgb="FFFFFFFF"/>
      <name val="Arial"/>
      <family val="2"/>
      <charset val="1"/>
    </font>
    <font>
      <b/>
      <sz val="16"/>
      <color rgb="FFFFFFFF"/>
      <name val="Arial"/>
      <family val="2"/>
      <charset val="1"/>
    </font>
    <font>
      <b/>
      <sz val="12"/>
      <color rgb="FFFFFFFF"/>
      <name val="Arial"/>
      <family val="2"/>
      <charset val="1"/>
    </font>
    <font>
      <b/>
      <sz val="16"/>
      <color rgb="FF000000"/>
      <name val="Arial"/>
      <family val="2"/>
      <charset val="1"/>
    </font>
    <font>
      <b/>
      <sz val="14"/>
      <color rgb="FFFF0000"/>
      <name val="Arial"/>
      <family val="2"/>
      <charset val="1"/>
    </font>
    <font>
      <sz val="12"/>
      <color rgb="FFFFFFFF"/>
      <name val="Arial"/>
      <family val="2"/>
      <charset val="1"/>
    </font>
    <font>
      <b/>
      <sz val="10"/>
      <color rgb="FFFF0000"/>
      <name val="Arial"/>
      <family val="2"/>
      <charset val="1"/>
    </font>
    <font>
      <b/>
      <sz val="10"/>
      <color rgb="FF800000"/>
      <name val="Arial"/>
      <family val="2"/>
      <charset val="1"/>
    </font>
    <font>
      <b/>
      <sz val="10"/>
      <color rgb="FFFFFFFF"/>
      <name val="Arial"/>
      <family val="2"/>
      <charset val="1"/>
    </font>
    <font>
      <sz val="10"/>
      <color rgb="FF000000"/>
      <name val="Arial"/>
      <family val="2"/>
      <charset val="1"/>
    </font>
    <font>
      <b/>
      <sz val="8"/>
      <color rgb="FFFFFFFF"/>
      <name val="Arial"/>
      <family val="2"/>
      <charset val="1"/>
    </font>
    <font>
      <b/>
      <sz val="10"/>
      <color rgb="FF3366FF"/>
      <name val="Arial"/>
      <family val="2"/>
      <charset val="1"/>
    </font>
    <font>
      <b/>
      <sz val="14"/>
      <color rgb="FF0070C0"/>
      <name val="Arial"/>
      <family val="2"/>
      <charset val="1"/>
    </font>
    <font>
      <sz val="9"/>
      <color rgb="FF0070C0"/>
      <name val="Arial"/>
      <family val="2"/>
      <charset val="1"/>
    </font>
    <font>
      <b/>
      <u/>
      <sz val="9"/>
      <name val="Arial"/>
      <family val="2"/>
      <charset val="1"/>
    </font>
    <font>
      <sz val="9"/>
      <color rgb="FFFFFFFF"/>
      <name val="Arial"/>
      <family val="2"/>
      <charset val="1"/>
    </font>
    <font>
      <b/>
      <sz val="18"/>
      <color rgb="FF1F497D"/>
      <name val="Arial"/>
      <family val="2"/>
      <charset val="1"/>
    </font>
    <font>
      <b/>
      <sz val="18"/>
      <color rgb="FF000000"/>
      <name val="Arial"/>
      <family val="2"/>
      <charset val="1"/>
    </font>
    <font>
      <b/>
      <sz val="12"/>
      <color rgb="FF000000"/>
      <name val="Arial"/>
      <family val="2"/>
      <charset val="1"/>
    </font>
    <font>
      <b/>
      <sz val="11"/>
      <color rgb="FFFF6600"/>
      <name val="Arial"/>
      <family val="2"/>
      <charset val="1"/>
    </font>
    <font>
      <sz val="11"/>
      <name val="Arial"/>
      <family val="2"/>
      <charset val="1"/>
    </font>
    <font>
      <b/>
      <sz val="16"/>
      <color rgb="FFFF0000"/>
      <name val="Arial"/>
      <family val="2"/>
      <charset val="1"/>
    </font>
    <font>
      <sz val="10"/>
      <color rgb="FFFF0000"/>
      <name val="Arial"/>
      <family val="2"/>
      <charset val="1"/>
    </font>
    <font>
      <sz val="8"/>
      <color rgb="FFFF0000"/>
      <name val="Arial"/>
      <family val="2"/>
      <charset val="1"/>
    </font>
    <font>
      <b/>
      <sz val="10"/>
      <color rgb="FF000000"/>
      <name val="Arial"/>
      <family val="2"/>
      <charset val="1"/>
    </font>
    <font>
      <sz val="10"/>
      <color rgb="FF1F497D"/>
      <name val="Arial"/>
      <family val="2"/>
      <charset val="1"/>
    </font>
    <font>
      <b/>
      <sz val="22"/>
      <color rgb="FFFFFFFF"/>
      <name val="Arial"/>
      <family val="2"/>
      <charset val="1"/>
    </font>
    <font>
      <b/>
      <sz val="8"/>
      <name val="Arial"/>
      <family val="2"/>
      <charset val="1"/>
    </font>
    <font>
      <b/>
      <sz val="9"/>
      <name val="Arial"/>
      <family val="2"/>
      <charset val="1"/>
    </font>
    <font>
      <b/>
      <sz val="9"/>
      <color rgb="FFFFFFFF"/>
      <name val="Arial"/>
      <family val="2"/>
      <charset val="1"/>
    </font>
    <font>
      <b/>
      <sz val="18"/>
      <color rgb="FFFFFFFF"/>
      <name val="Arial"/>
      <family val="2"/>
      <charset val="1"/>
    </font>
    <font>
      <u/>
      <sz val="10"/>
      <name val="Arial"/>
      <family val="2"/>
      <charset val="1"/>
    </font>
    <font>
      <sz val="8"/>
      <color rgb="FF000000"/>
      <name val="Tahoma"/>
      <family val="2"/>
      <charset val="1"/>
    </font>
    <font>
      <b/>
      <sz val="10"/>
      <color rgb="FFFFFF00"/>
      <name val="Arial"/>
      <family val="2"/>
      <charset val="1"/>
    </font>
    <font>
      <b/>
      <sz val="10"/>
      <color rgb="FF0000FF"/>
      <name val="Arial"/>
      <family val="2"/>
      <charset val="1"/>
    </font>
    <font>
      <b/>
      <sz val="18"/>
      <name val="Arial"/>
      <family val="2"/>
      <charset val="1"/>
    </font>
    <font>
      <b/>
      <sz val="11"/>
      <color rgb="FFFF0000"/>
      <name val="Arial"/>
      <family val="2"/>
      <charset val="1"/>
    </font>
    <font>
      <b/>
      <sz val="20"/>
      <color rgb="FFFF0000"/>
      <name val="Arial"/>
      <family val="2"/>
      <charset val="1"/>
    </font>
    <font>
      <b/>
      <sz val="11"/>
      <color rgb="FF000000"/>
      <name val="Arial"/>
      <family val="2"/>
      <charset val="1"/>
    </font>
    <font>
      <sz val="8"/>
      <color rgb="FF000000"/>
      <name val="Arial"/>
      <family val="2"/>
      <charset val="1"/>
    </font>
    <font>
      <sz val="11"/>
      <color rgb="FFFFFFFF"/>
      <name val="Calibri"/>
      <family val="2"/>
      <charset val="1"/>
    </font>
    <font>
      <sz val="14"/>
      <color rgb="FF000000"/>
      <name val="Calibri"/>
      <family val="2"/>
      <charset val="1"/>
    </font>
    <font>
      <sz val="14"/>
      <name val="Calibri"/>
      <family val="2"/>
      <charset val="1"/>
    </font>
    <font>
      <sz val="14"/>
      <color rgb="FFFFFFFF"/>
      <name val="Calibri"/>
      <family val="2"/>
      <charset val="1"/>
    </font>
    <font>
      <b/>
      <sz val="12"/>
      <name val="Calibri"/>
      <family val="2"/>
      <charset val="1"/>
    </font>
    <font>
      <sz val="12"/>
      <name val="Calibri"/>
      <family val="2"/>
      <charset val="1"/>
    </font>
    <font>
      <sz val="12"/>
      <color rgb="FFFFFFFF"/>
      <name val="Calibri"/>
      <family val="2"/>
      <charset val="1"/>
    </font>
    <font>
      <b/>
      <sz val="14"/>
      <name val="Calibri"/>
      <family val="2"/>
      <charset val="1"/>
    </font>
    <font>
      <b/>
      <sz val="18"/>
      <name val="Calibri"/>
      <family val="2"/>
      <charset val="1"/>
    </font>
    <font>
      <sz val="11"/>
      <color rgb="FF000000"/>
      <name val="Wingdings 2"/>
      <family val="1"/>
      <charset val="2"/>
    </font>
    <font>
      <i/>
      <sz val="12"/>
      <name val="Century Gothic"/>
      <family val="2"/>
      <charset val="1"/>
    </font>
    <font>
      <i/>
      <sz val="11"/>
      <name val="Century Gothic"/>
      <family val="2"/>
      <charset val="1"/>
    </font>
    <font>
      <sz val="11"/>
      <name val="Calibri"/>
      <family val="2"/>
      <charset val="1"/>
    </font>
    <font>
      <u/>
      <sz val="12"/>
      <name val="Calibri"/>
      <family val="2"/>
      <charset val="1"/>
    </font>
    <font>
      <u/>
      <sz val="11"/>
      <name val="Calibri"/>
      <family val="2"/>
      <charset val="1"/>
    </font>
    <font>
      <i/>
      <sz val="12"/>
      <name val="Arial"/>
      <family val="2"/>
      <charset val="1"/>
    </font>
    <font>
      <b/>
      <sz val="22"/>
      <name val="Calibri"/>
      <family val="2"/>
      <charset val="1"/>
    </font>
    <font>
      <b/>
      <sz val="36"/>
      <name val="Calibri"/>
      <family val="2"/>
      <charset val="1"/>
    </font>
    <font>
      <sz val="36"/>
      <name val="Calibri"/>
      <family val="2"/>
      <charset val="1"/>
    </font>
    <font>
      <sz val="12"/>
      <name val="Gadugi"/>
      <family val="2"/>
      <charset val="1"/>
    </font>
    <font>
      <sz val="14"/>
      <name val="Gadugi"/>
      <family val="2"/>
      <charset val="1"/>
    </font>
    <font>
      <b/>
      <sz val="12"/>
      <name val="Gadugi"/>
      <family val="2"/>
      <charset val="1"/>
    </font>
    <font>
      <b/>
      <sz val="14"/>
      <name val="Gadugi"/>
      <family val="2"/>
      <charset val="1"/>
    </font>
    <font>
      <b/>
      <sz val="28"/>
      <name val="Calibri"/>
      <family val="2"/>
      <charset val="1"/>
    </font>
    <font>
      <sz val="14"/>
      <name val="Wingdings 2"/>
      <family val="1"/>
      <charset val="2"/>
    </font>
    <font>
      <b/>
      <sz val="24"/>
      <name val="Arial"/>
      <family val="2"/>
      <charset val="1"/>
    </font>
    <font>
      <b/>
      <sz val="28"/>
      <name val="Arial"/>
      <family val="2"/>
      <charset val="1"/>
    </font>
    <font>
      <b/>
      <sz val="36"/>
      <name val="Arial"/>
      <family val="2"/>
      <charset val="1"/>
    </font>
    <font>
      <b/>
      <sz val="22"/>
      <name val="Arial"/>
      <family val="2"/>
      <charset val="1"/>
    </font>
    <font>
      <b/>
      <u/>
      <sz val="10"/>
      <name val="Arial"/>
      <family val="2"/>
      <charset val="1"/>
    </font>
    <font>
      <b/>
      <u/>
      <sz val="12"/>
      <name val="Arial"/>
      <family val="2"/>
      <charset val="1"/>
    </font>
    <font>
      <i/>
      <sz val="10"/>
      <name val="Arial"/>
      <family val="2"/>
      <charset val="1"/>
    </font>
    <font>
      <b/>
      <i/>
      <sz val="10"/>
      <name val="Arial"/>
      <family val="2"/>
      <charset val="1"/>
    </font>
    <font>
      <u/>
      <sz val="12"/>
      <color rgb="FF0000FF"/>
      <name val="Arial"/>
      <family val="2"/>
      <charset val="1"/>
    </font>
    <font>
      <i/>
      <sz val="9"/>
      <name val="Arial"/>
      <family val="2"/>
      <charset val="1"/>
    </font>
    <font>
      <sz val="7"/>
      <name val="Arial"/>
      <family val="2"/>
      <charset val="1"/>
    </font>
    <font>
      <i/>
      <sz val="10"/>
      <color rgb="FF000000"/>
      <name val="Arial"/>
      <family val="2"/>
      <charset val="1"/>
    </font>
    <font>
      <b/>
      <i/>
      <sz val="9"/>
      <name val="Arial"/>
      <family val="2"/>
      <charset val="1"/>
    </font>
    <font>
      <i/>
      <sz val="8"/>
      <name val="Arial"/>
      <family val="2"/>
      <charset val="1"/>
    </font>
    <font>
      <b/>
      <i/>
      <sz val="12"/>
      <name val="Arial"/>
      <family val="2"/>
      <charset val="1"/>
    </font>
    <font>
      <b/>
      <u/>
      <sz val="11"/>
      <name val="Arial"/>
      <family val="2"/>
      <charset val="1"/>
    </font>
    <font>
      <u/>
      <sz val="12"/>
      <name val="Arial"/>
      <family val="2"/>
      <charset val="1"/>
    </font>
    <font>
      <sz val="11"/>
      <color rgb="FF000000"/>
      <name val="Arial"/>
      <family val="2"/>
      <charset val="1"/>
    </font>
    <font>
      <b/>
      <sz val="9"/>
      <color rgb="FF0000FF"/>
      <name val="Arial"/>
      <family val="2"/>
      <charset val="1"/>
    </font>
    <font>
      <sz val="11"/>
      <color rgb="FF0000FF"/>
      <name val="Arial"/>
      <family val="2"/>
      <charset val="1"/>
    </font>
    <font>
      <sz val="9"/>
      <color rgb="FF0000FF"/>
      <name val="Arial"/>
      <family val="2"/>
      <charset val="1"/>
    </font>
    <font>
      <b/>
      <sz val="12"/>
      <color rgb="FF0000FF"/>
      <name val="Arial"/>
      <family val="2"/>
      <charset val="1"/>
    </font>
    <font>
      <b/>
      <sz val="14"/>
      <color rgb="FF0000FF"/>
      <name val="Arial"/>
      <family val="2"/>
      <charset val="1"/>
    </font>
    <font>
      <b/>
      <sz val="11"/>
      <color rgb="FF0000FF"/>
      <name val="Arial"/>
      <family val="2"/>
      <charset val="1"/>
    </font>
    <font>
      <sz val="10"/>
      <color rgb="FF000080"/>
      <name val="Arial"/>
      <family val="2"/>
      <charset val="1"/>
    </font>
    <font>
      <sz val="14"/>
      <color rgb="FF000000"/>
      <name val="Arial"/>
      <family val="2"/>
      <charset val="1"/>
    </font>
    <font>
      <sz val="9"/>
      <color rgb="FFFF0000"/>
      <name val="Arial"/>
      <family val="2"/>
      <charset val="1"/>
    </font>
    <font>
      <sz val="20"/>
      <color rgb="FFFFFFFF"/>
      <name val="Arial"/>
      <family val="2"/>
      <charset val="1"/>
    </font>
    <font>
      <sz val="12"/>
      <color rgb="FFFF0000"/>
      <name val="Arial"/>
      <family val="2"/>
      <charset val="1"/>
    </font>
    <font>
      <sz val="16"/>
      <color rgb="FFFF0000"/>
      <name val="Arial"/>
      <family val="2"/>
      <charset val="1"/>
    </font>
    <font>
      <sz val="13"/>
      <name val="Arial"/>
      <family val="2"/>
      <charset val="1"/>
    </font>
    <font>
      <b/>
      <sz val="18"/>
      <color rgb="FFC0504D"/>
      <name val="Arial"/>
      <family val="2"/>
      <charset val="1"/>
    </font>
    <font>
      <sz val="10"/>
      <color rgb="FFC0504D"/>
      <name val="Arial"/>
      <family val="2"/>
      <charset val="1"/>
    </font>
    <font>
      <b/>
      <sz val="16"/>
      <color rgb="FFC0504D"/>
      <name val="Arial"/>
      <family val="2"/>
      <charset val="1"/>
    </font>
    <font>
      <sz val="16"/>
      <color rgb="FFC0504D"/>
      <name val="Arial"/>
      <family val="2"/>
      <charset val="1"/>
    </font>
    <font>
      <sz val="16"/>
      <color rgb="FFFFFFFF"/>
      <name val="Arial"/>
      <family val="2"/>
      <charset val="1"/>
    </font>
    <font>
      <sz val="10"/>
      <name val="Arial"/>
      <family val="2"/>
    </font>
  </fonts>
  <fills count="55">
    <fill>
      <patternFill patternType="none"/>
    </fill>
    <fill>
      <patternFill patternType="gray125"/>
    </fill>
    <fill>
      <patternFill patternType="solid">
        <fgColor rgb="FF1F497D"/>
        <bgColor rgb="FF254061"/>
      </patternFill>
    </fill>
    <fill>
      <patternFill patternType="solid">
        <fgColor rgb="FF18375E"/>
        <bgColor rgb="FF17375E"/>
      </patternFill>
    </fill>
    <fill>
      <patternFill patternType="solid">
        <fgColor rgb="FF558ED5"/>
        <bgColor rgb="FF83817A"/>
      </patternFill>
    </fill>
    <fill>
      <patternFill patternType="solid">
        <fgColor rgb="FFFFFFFF"/>
        <bgColor rgb="FFF2F2F2"/>
      </patternFill>
    </fill>
    <fill>
      <patternFill patternType="solid">
        <fgColor rgb="FFF2F2F2"/>
        <bgColor rgb="FFEEECE1"/>
      </patternFill>
    </fill>
    <fill>
      <patternFill patternType="solid">
        <fgColor rgb="FFFFFF99"/>
        <bgColor rgb="FFFFFF7F"/>
      </patternFill>
    </fill>
    <fill>
      <patternFill patternType="solid">
        <fgColor rgb="FFDBEEF4"/>
        <bgColor rgb="FFDCE6F2"/>
      </patternFill>
    </fill>
    <fill>
      <patternFill patternType="solid">
        <fgColor rgb="FF93CDDE"/>
        <bgColor rgb="FF92CDDC"/>
      </patternFill>
    </fill>
    <fill>
      <patternFill patternType="solid">
        <fgColor rgb="FFC6D9F1"/>
        <bgColor rgb="FFB9CDE5"/>
      </patternFill>
    </fill>
    <fill>
      <patternFill patternType="mediumGray">
        <fgColor rgb="FFB8A1C5"/>
        <bgColor rgb="FFE6B9B8"/>
      </patternFill>
    </fill>
    <fill>
      <patternFill patternType="solid">
        <fgColor rgb="FFE6B9B8"/>
        <bgColor rgb="FFFAC090"/>
      </patternFill>
    </fill>
    <fill>
      <patternFill patternType="solid">
        <fgColor rgb="FFFF0000"/>
        <bgColor rgb="FFDF0000"/>
      </patternFill>
    </fill>
    <fill>
      <patternFill patternType="solid">
        <fgColor rgb="FFDCE6F2"/>
        <bgColor rgb="FFDBEEF4"/>
      </patternFill>
    </fill>
    <fill>
      <patternFill patternType="solid">
        <fgColor rgb="FFCCFFFF"/>
        <bgColor rgb="FFDBEEF4"/>
      </patternFill>
    </fill>
    <fill>
      <patternFill patternType="solid">
        <fgColor rgb="FF000000"/>
        <bgColor rgb="FF0D0D0D"/>
      </patternFill>
    </fill>
    <fill>
      <patternFill patternType="solid">
        <fgColor rgb="FF93CDDE"/>
        <bgColor rgb="FF92CDDC"/>
      </patternFill>
    </fill>
    <fill>
      <patternFill patternType="solid">
        <fgColor rgb="FF335C8E"/>
        <bgColor rgb="FF215968"/>
      </patternFill>
    </fill>
    <fill>
      <patternFill patternType="solid">
        <fgColor rgb="FF17375E"/>
        <bgColor rgb="FF18375E"/>
      </patternFill>
    </fill>
    <fill>
      <patternFill patternType="solid">
        <fgColor rgb="FFBFBFBF"/>
        <bgColor rgb="FFC0C0C0"/>
      </patternFill>
    </fill>
    <fill>
      <patternFill patternType="solid">
        <fgColor rgb="FFFFFF00"/>
        <bgColor rgb="FFFFFF7F"/>
      </patternFill>
    </fill>
    <fill>
      <patternFill patternType="solid">
        <fgColor rgb="FF604A7B"/>
        <bgColor rgb="FF404040"/>
      </patternFill>
    </fill>
    <fill>
      <patternFill patternType="solid">
        <fgColor rgb="FFB8A1C5"/>
        <bgColor rgb="FFA6A6A6"/>
      </patternFill>
    </fill>
    <fill>
      <patternFill patternType="solid">
        <fgColor rgb="FFEBF1DE"/>
        <bgColor rgb="FFEEECE1"/>
      </patternFill>
    </fill>
    <fill>
      <patternFill patternType="solid">
        <fgColor rgb="FFFDEADA"/>
        <bgColor rgb="FFEEECE1"/>
      </patternFill>
    </fill>
    <fill>
      <patternFill patternType="solid">
        <fgColor rgb="FFE6E0EC"/>
        <bgColor rgb="FFDCE6F2"/>
      </patternFill>
    </fill>
    <fill>
      <patternFill patternType="solid">
        <fgColor rgb="FFD9D9D9"/>
        <bgColor rgb="FFDDD9C3"/>
      </patternFill>
    </fill>
    <fill>
      <patternFill patternType="solid">
        <fgColor rgb="FF0070C8"/>
        <bgColor rgb="FF335C8E"/>
      </patternFill>
    </fill>
    <fill>
      <patternFill patternType="solid">
        <fgColor rgb="FF8EB4E3"/>
        <bgColor rgb="FF95B3D7"/>
      </patternFill>
    </fill>
    <fill>
      <patternFill patternType="solid">
        <fgColor rgb="FFFFFF7F"/>
        <bgColor rgb="FFFFFF99"/>
      </patternFill>
    </fill>
    <fill>
      <patternFill patternType="solid">
        <fgColor rgb="FF333333"/>
        <bgColor rgb="FF404040"/>
      </patternFill>
    </fill>
    <fill>
      <patternFill patternType="solid">
        <fgColor rgb="FF10243E"/>
        <bgColor rgb="FF0D203F"/>
      </patternFill>
    </fill>
    <fill>
      <patternFill patternType="solid">
        <fgColor rgb="FFDDD9C3"/>
        <bgColor rgb="FFD9D9D9"/>
      </patternFill>
    </fill>
    <fill>
      <patternFill patternType="darkGray">
        <fgColor rgb="FF83817A"/>
        <bgColor rgb="FFA6A6A6"/>
      </patternFill>
    </fill>
    <fill>
      <patternFill patternType="solid">
        <fgColor rgb="FFC4BD97"/>
        <bgColor rgb="FFBFBFBF"/>
      </patternFill>
    </fill>
    <fill>
      <patternFill patternType="solid">
        <fgColor rgb="FFA6A6A6"/>
        <bgColor rgb="FFB8A1C5"/>
      </patternFill>
    </fill>
    <fill>
      <patternFill patternType="solid">
        <fgColor rgb="FF009B1B"/>
        <bgColor rgb="FF27B114"/>
      </patternFill>
    </fill>
    <fill>
      <patternFill patternType="solid">
        <fgColor rgb="FF83817A"/>
        <bgColor rgb="FFA6A6A6"/>
      </patternFill>
    </fill>
    <fill>
      <patternFill patternType="solid">
        <fgColor rgb="FFC0C0C0"/>
        <bgColor rgb="FFBFBFBF"/>
      </patternFill>
    </fill>
    <fill>
      <patternFill patternType="solid">
        <fgColor rgb="FF404040"/>
        <bgColor rgb="FF333333"/>
      </patternFill>
    </fill>
    <fill>
      <patternFill patternType="solid">
        <fgColor rgb="FF00C000"/>
        <bgColor rgb="FF27B114"/>
      </patternFill>
    </fill>
    <fill>
      <patternFill patternType="solid">
        <fgColor rgb="FF10243E"/>
        <bgColor rgb="FF0D203F"/>
      </patternFill>
    </fill>
    <fill>
      <patternFill patternType="solid">
        <fgColor rgb="FF95B3D7"/>
        <bgColor rgb="FF8EB4E3"/>
      </patternFill>
    </fill>
    <fill>
      <patternFill patternType="solid">
        <fgColor rgb="FF92CDDC"/>
        <bgColor rgb="FF93CDDE"/>
      </patternFill>
    </fill>
    <fill>
      <patternFill patternType="solid">
        <fgColor rgb="FF0D0D0D"/>
        <bgColor rgb="FF000000"/>
      </patternFill>
    </fill>
    <fill>
      <patternFill patternType="solid">
        <fgColor rgb="FF00FF00"/>
        <bgColor rgb="FF00C000"/>
      </patternFill>
    </fill>
    <fill>
      <patternFill patternType="solid">
        <fgColor rgb="FFCCFFCC"/>
        <bgColor rgb="FFCCFFFF"/>
      </patternFill>
    </fill>
    <fill>
      <patternFill patternType="solid">
        <fgColor rgb="FFEEECE1"/>
        <bgColor rgb="FFEBF1DE"/>
      </patternFill>
    </fill>
    <fill>
      <patternFill patternType="solid">
        <fgColor rgb="FFFAC090"/>
        <bgColor rgb="FFE6B9B8"/>
      </patternFill>
    </fill>
    <fill>
      <patternFill patternType="solid">
        <fgColor rgb="FFB9CDE5"/>
        <bgColor rgb="FFC6D9F1"/>
      </patternFill>
    </fill>
    <fill>
      <patternFill patternType="solid">
        <fgColor rgb="FF254061"/>
        <bgColor rgb="FF18375E"/>
      </patternFill>
    </fill>
    <fill>
      <patternFill patternType="solid">
        <fgColor theme="3" tint="0.79998168889431442"/>
        <bgColor rgb="FFDCE6F2"/>
      </patternFill>
    </fill>
    <fill>
      <patternFill patternType="solid">
        <fgColor rgb="FFFF0000"/>
        <bgColor rgb="FFB21211"/>
      </patternFill>
    </fill>
    <fill>
      <patternFill patternType="solid">
        <fgColor theme="4" tint="0.59999389629810485"/>
        <bgColor rgb="FFDDD9C3"/>
      </patternFill>
    </fill>
  </fills>
  <borders count="217">
    <border>
      <left/>
      <right/>
      <top/>
      <bottom/>
      <diagonal/>
    </border>
    <border>
      <left style="thick">
        <color auto="1"/>
      </left>
      <right style="thick">
        <color auto="1"/>
      </right>
      <top style="thick">
        <color auto="1"/>
      </top>
      <bottom style="thick">
        <color auto="1"/>
      </bottom>
      <diagonal/>
    </border>
    <border>
      <left/>
      <right/>
      <top/>
      <bottom style="medium">
        <color auto="1"/>
      </bottom>
      <diagonal/>
    </border>
    <border>
      <left/>
      <right/>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diagonal/>
    </border>
    <border>
      <left style="medium">
        <color auto="1"/>
      </left>
      <right/>
      <top/>
      <bottom style="medium">
        <color auto="1"/>
      </bottom>
      <diagonal/>
    </border>
    <border>
      <left style="medium">
        <color auto="1"/>
      </left>
      <right style="medium">
        <color auto="1"/>
      </right>
      <top style="thin">
        <color auto="1"/>
      </top>
      <bottom/>
      <diagonal/>
    </border>
    <border>
      <left/>
      <right/>
      <top style="thin">
        <color auto="1"/>
      </top>
      <bottom/>
      <diagonal/>
    </border>
    <border>
      <left style="medium">
        <color auto="1"/>
      </left>
      <right/>
      <top style="medium">
        <color auto="1"/>
      </top>
      <bottom/>
      <diagonal/>
    </border>
    <border>
      <left style="thick">
        <color auto="1"/>
      </left>
      <right style="thick">
        <color auto="1"/>
      </right>
      <top style="thick">
        <color auto="1"/>
      </top>
      <bottom/>
      <diagonal/>
    </border>
    <border>
      <left style="medium">
        <color auto="1"/>
      </left>
      <right/>
      <top/>
      <bottom/>
      <diagonal/>
    </border>
    <border>
      <left style="medium">
        <color auto="1"/>
      </left>
      <right style="medium">
        <color auto="1"/>
      </right>
      <top style="thick">
        <color auto="1"/>
      </top>
      <bottom style="thin">
        <color auto="1"/>
      </bottom>
      <diagonal/>
    </border>
    <border>
      <left style="thin">
        <color auto="1"/>
      </left>
      <right style="thin">
        <color auto="1"/>
      </right>
      <top/>
      <bottom style="thin">
        <color auto="1"/>
      </bottom>
      <diagonal/>
    </border>
    <border>
      <left style="thin">
        <color auto="1"/>
      </left>
      <right style="thick">
        <color rgb="FF1F497D"/>
      </right>
      <top style="thick">
        <color rgb="FF1F497D"/>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ck">
        <color rgb="FF1F497D"/>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ck">
        <color auto="1"/>
      </top>
      <bottom style="dotted">
        <color auto="1"/>
      </bottom>
      <diagonal/>
    </border>
    <border>
      <left style="medium">
        <color auto="1"/>
      </left>
      <right style="medium">
        <color auto="1"/>
      </right>
      <top style="dotted">
        <color auto="1"/>
      </top>
      <bottom style="thick">
        <color auto="1"/>
      </bottom>
      <diagonal/>
    </border>
    <border>
      <left style="medium">
        <color auto="1"/>
      </left>
      <right style="thin">
        <color auto="1"/>
      </right>
      <top/>
      <bottom/>
      <diagonal/>
    </border>
    <border>
      <left style="thin">
        <color auto="1"/>
      </left>
      <right style="thick">
        <color rgb="FF1F497D"/>
      </right>
      <top style="thin">
        <color auto="1"/>
      </top>
      <bottom style="thick">
        <color rgb="FF1F497D"/>
      </bottom>
      <diagonal/>
    </border>
    <border>
      <left style="medium">
        <color auto="1"/>
      </left>
      <right style="medium">
        <color auto="1"/>
      </right>
      <top style="thick">
        <color auto="1"/>
      </top>
      <bottom style="medium">
        <color auto="1"/>
      </bottom>
      <diagonal/>
    </border>
    <border>
      <left/>
      <right style="thick">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style="thin">
        <color auto="1"/>
      </right>
      <top style="thick">
        <color auto="1"/>
      </top>
      <bottom/>
      <diagonal/>
    </border>
    <border>
      <left style="thin">
        <color auto="1"/>
      </left>
      <right/>
      <top/>
      <bottom style="thin">
        <color auto="1"/>
      </bottom>
      <diagonal/>
    </border>
    <border>
      <left style="slantDashDot">
        <color rgb="FFFF0000"/>
      </left>
      <right style="slantDashDot">
        <color rgb="FFFF0000"/>
      </right>
      <top/>
      <bottom style="slantDashDot">
        <color rgb="FFFF000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n">
        <color auto="1"/>
      </right>
      <top style="thin">
        <color auto="1"/>
      </top>
      <bottom style="thick">
        <color auto="1"/>
      </bottom>
      <diagonal/>
    </border>
    <border>
      <left/>
      <right/>
      <top/>
      <bottom style="thick">
        <color auto="1"/>
      </bottom>
      <diagonal/>
    </border>
    <border>
      <left style="medium">
        <color auto="1"/>
      </left>
      <right style="medium">
        <color auto="1"/>
      </right>
      <top style="medium">
        <color auto="1"/>
      </top>
      <bottom style="double">
        <color auto="1"/>
      </bottom>
      <diagonal/>
    </border>
    <border>
      <left style="thick">
        <color auto="1"/>
      </left>
      <right style="thick">
        <color auto="1"/>
      </right>
      <top/>
      <bottom style="medium">
        <color auto="1"/>
      </bottom>
      <diagonal/>
    </border>
    <border>
      <left style="thick">
        <color auto="1"/>
      </left>
      <right style="thin">
        <color auto="1"/>
      </right>
      <top style="medium">
        <color auto="1"/>
      </top>
      <bottom/>
      <diagonal/>
    </border>
    <border>
      <left style="thin">
        <color auto="1"/>
      </left>
      <right style="thin">
        <color auto="1"/>
      </right>
      <top/>
      <bottom/>
      <diagonal/>
    </border>
    <border>
      <left style="thin">
        <color auto="1"/>
      </left>
      <right/>
      <top/>
      <bottom/>
      <diagonal/>
    </border>
    <border>
      <left style="thick">
        <color auto="1"/>
      </left>
      <right style="thin">
        <color auto="1"/>
      </right>
      <top/>
      <bottom/>
      <diagonal/>
    </border>
    <border>
      <left style="thin">
        <color auto="1"/>
      </left>
      <right style="thin">
        <color auto="1"/>
      </right>
      <top style="medium">
        <color auto="1"/>
      </top>
      <bottom/>
      <diagonal/>
    </border>
    <border>
      <left style="thin">
        <color auto="1"/>
      </left>
      <right style="thick">
        <color auto="1"/>
      </right>
      <top style="medium">
        <color auto="1"/>
      </top>
      <bottom/>
      <diagonal/>
    </border>
    <border>
      <left style="thick">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medium">
        <color auto="1"/>
      </left>
      <right style="thin">
        <color auto="1"/>
      </right>
      <top style="medium">
        <color auto="1"/>
      </top>
      <bottom style="dotted">
        <color auto="1"/>
      </bottom>
      <diagonal/>
    </border>
    <border>
      <left style="thin">
        <color auto="1"/>
      </left>
      <right style="thick">
        <color auto="1"/>
      </right>
      <top style="medium">
        <color auto="1"/>
      </top>
      <bottom style="dotted">
        <color auto="1"/>
      </bottom>
      <diagonal/>
    </border>
    <border>
      <left style="thick">
        <color auto="1"/>
      </left>
      <right/>
      <top/>
      <bottom/>
      <diagonal/>
    </border>
    <border>
      <left/>
      <right/>
      <top/>
      <bottom style="double">
        <color auto="1"/>
      </bottom>
      <diagonal/>
    </border>
    <border>
      <left style="thick">
        <color auto="1"/>
      </left>
      <right style="thin">
        <color auto="1"/>
      </right>
      <top style="dotted">
        <color auto="1"/>
      </top>
      <bottom style="double">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ck">
        <color auto="1"/>
      </left>
      <right style="thin">
        <color auto="1"/>
      </right>
      <top style="dotted">
        <color auto="1"/>
      </top>
      <bottom/>
      <diagonal/>
    </border>
    <border>
      <left style="thin">
        <color auto="1"/>
      </left>
      <right style="thick">
        <color auto="1"/>
      </right>
      <top style="dotted">
        <color auto="1"/>
      </top>
      <bottom/>
      <diagonal/>
    </border>
    <border>
      <left style="thin">
        <color auto="1"/>
      </left>
      <right style="medium">
        <color auto="1"/>
      </right>
      <top style="dotted">
        <color auto="1"/>
      </top>
      <bottom/>
      <diagonal/>
    </border>
    <border>
      <left style="medium">
        <color auto="1"/>
      </left>
      <right style="thin">
        <color auto="1"/>
      </right>
      <top style="dotted">
        <color auto="1"/>
      </top>
      <bottom/>
      <diagonal/>
    </border>
    <border>
      <left style="thin">
        <color auto="1"/>
      </left>
      <right style="thin">
        <color auto="1"/>
      </right>
      <top style="double">
        <color auto="1"/>
      </top>
      <bottom/>
      <diagonal/>
    </border>
    <border>
      <left style="thin">
        <color auto="1"/>
      </left>
      <right/>
      <top style="double">
        <color auto="1"/>
      </top>
      <bottom/>
      <diagonal/>
    </border>
    <border>
      <left style="medium">
        <color auto="1"/>
      </left>
      <right style="medium">
        <color auto="1"/>
      </right>
      <top style="double">
        <color auto="1"/>
      </top>
      <bottom/>
      <diagonal/>
    </border>
    <border>
      <left/>
      <right style="thin">
        <color auto="1"/>
      </right>
      <top style="double">
        <color auto="1"/>
      </top>
      <bottom/>
      <diagonal/>
    </border>
    <border>
      <left style="thick">
        <color auto="1"/>
      </left>
      <right style="thick">
        <color auto="1"/>
      </right>
      <top style="double">
        <color auto="1"/>
      </top>
      <bottom style="thick">
        <color auto="1"/>
      </bottom>
      <diagonal/>
    </border>
    <border>
      <left style="thick">
        <color auto="1"/>
      </left>
      <right style="thin">
        <color auto="1"/>
      </right>
      <top style="double">
        <color auto="1"/>
      </top>
      <bottom style="thick">
        <color auto="1"/>
      </bottom>
      <diagonal/>
    </border>
    <border>
      <left style="thin">
        <color auto="1"/>
      </left>
      <right style="thin">
        <color auto="1"/>
      </right>
      <top style="double">
        <color auto="1"/>
      </top>
      <bottom style="thick">
        <color auto="1"/>
      </bottom>
      <diagonal/>
    </border>
    <border>
      <left style="thin">
        <color auto="1"/>
      </left>
      <right style="thick">
        <color auto="1"/>
      </right>
      <top style="double">
        <color auto="1"/>
      </top>
      <bottom/>
      <diagonal/>
    </border>
    <border>
      <left style="thick">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thin">
        <color auto="1"/>
      </right>
      <top style="double">
        <color auto="1"/>
      </top>
      <bottom/>
      <diagonal/>
    </border>
    <border>
      <left style="thick">
        <color auto="1"/>
      </left>
      <right style="thick">
        <color auto="1"/>
      </right>
      <top style="double">
        <color auto="1"/>
      </top>
      <bottom/>
      <diagonal/>
    </border>
    <border>
      <left/>
      <right style="medium">
        <color auto="1"/>
      </right>
      <top/>
      <bottom/>
      <diagonal/>
    </border>
    <border>
      <left style="thin">
        <color rgb="FFFFFFFF"/>
      </left>
      <right style="thin">
        <color rgb="FFFFFFFF"/>
      </right>
      <top style="thin">
        <color rgb="FFFFFFFF"/>
      </top>
      <bottom style="thin">
        <color rgb="FFFFFFFF"/>
      </bottom>
      <diagonal/>
    </border>
    <border>
      <left style="thin">
        <color auto="1"/>
      </left>
      <right style="thin">
        <color auto="1"/>
      </right>
      <top style="thick">
        <color auto="1"/>
      </top>
      <bottom style="thin">
        <color auto="1"/>
      </bottom>
      <diagonal/>
    </border>
    <border>
      <left style="thin">
        <color auto="1"/>
      </left>
      <right style="medium">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double">
        <color auto="1"/>
      </top>
      <bottom style="thin">
        <color auto="1"/>
      </bottom>
      <diagonal/>
    </border>
    <border>
      <left style="thin">
        <color auto="1"/>
      </left>
      <right/>
      <top style="thick">
        <color auto="1"/>
      </top>
      <bottom style="thin">
        <color auto="1"/>
      </bottom>
      <diagonal/>
    </border>
    <border>
      <left style="thin">
        <color auto="1"/>
      </left>
      <right style="thick">
        <color rgb="FFFF0000"/>
      </right>
      <top style="thick">
        <color auto="1"/>
      </top>
      <bottom style="thin">
        <color auto="1"/>
      </bottom>
      <diagonal/>
    </border>
    <border>
      <left style="thick">
        <color rgb="FFFF0000"/>
      </left>
      <right style="thick">
        <color rgb="FFFF0000"/>
      </right>
      <top style="thick">
        <color rgb="FFFF0000"/>
      </top>
      <bottom style="thin">
        <color auto="1"/>
      </bottom>
      <diagonal/>
    </border>
    <border>
      <left style="thin">
        <color auto="1"/>
      </left>
      <right/>
      <top style="double">
        <color auto="1"/>
      </top>
      <bottom style="thin">
        <color auto="1"/>
      </bottom>
      <diagonal/>
    </border>
    <border>
      <left style="thin">
        <color auto="1"/>
      </left>
      <right style="thick">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thin">
        <color auto="1"/>
      </right>
      <top style="double">
        <color auto="1"/>
      </top>
      <bottom style="thin">
        <color auto="1"/>
      </bottom>
      <diagonal/>
    </border>
    <border>
      <left/>
      <right style="thick">
        <color auto="1"/>
      </right>
      <top style="double">
        <color auto="1"/>
      </top>
      <bottom style="thin">
        <color auto="1"/>
      </bottom>
      <diagonal/>
    </border>
    <border>
      <left style="thin">
        <color auto="1"/>
      </left>
      <right style="thin">
        <color auto="1"/>
      </right>
      <top style="thin">
        <color auto="1"/>
      </top>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ck">
        <color rgb="FFFF0000"/>
      </left>
      <right style="thick">
        <color rgb="FFFF0000"/>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ck">
        <color auto="1"/>
      </right>
      <top style="thin">
        <color auto="1"/>
      </top>
      <bottom/>
      <diagonal/>
    </border>
    <border>
      <left style="thick">
        <color auto="1"/>
      </left>
      <right style="thin">
        <color auto="1"/>
      </right>
      <top style="thin">
        <color auto="1"/>
      </top>
      <bottom/>
      <diagonal/>
    </border>
    <border>
      <left style="thick">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ck">
        <color auto="1"/>
      </right>
      <top style="thin">
        <color auto="1"/>
      </top>
      <bottom/>
      <diagonal/>
    </border>
    <border>
      <left style="thick">
        <color auto="1"/>
      </left>
      <right/>
      <top style="thin">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n">
        <color auto="1"/>
      </left>
      <right style="thick">
        <color auto="1"/>
      </right>
      <top style="thin">
        <color auto="1"/>
      </top>
      <bottom style="medium">
        <color auto="1"/>
      </bottom>
      <diagonal/>
    </border>
    <border>
      <left style="thin">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ck">
        <color auto="1"/>
      </left>
      <right style="thick">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thick">
        <color auto="1"/>
      </right>
      <top style="medium">
        <color auto="1"/>
      </top>
      <bottom style="double">
        <color auto="1"/>
      </bottom>
      <diagonal/>
    </border>
    <border>
      <left style="medium">
        <color auto="1"/>
      </left>
      <right style="thin">
        <color auto="1"/>
      </right>
      <top style="medium">
        <color auto="1"/>
      </top>
      <bottom style="double">
        <color auto="1"/>
      </bottom>
      <diagonal/>
    </border>
    <border>
      <left/>
      <right/>
      <top style="double">
        <color auto="1"/>
      </top>
      <bottom/>
      <diagonal/>
    </border>
    <border>
      <left/>
      <right style="medium">
        <color auto="1"/>
      </right>
      <top style="medium">
        <color auto="1"/>
      </top>
      <bottom/>
      <diagonal/>
    </border>
    <border>
      <left/>
      <right style="medium">
        <color auto="1"/>
      </right>
      <top/>
      <bottom style="medium">
        <color auto="1"/>
      </bottom>
      <diagonal/>
    </border>
    <border>
      <left style="thick">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ck">
        <color auto="1"/>
      </left>
      <right style="thin">
        <color auto="1"/>
      </right>
      <top/>
      <bottom style="double">
        <color auto="1"/>
      </bottom>
      <diagonal/>
    </border>
    <border>
      <left style="thin">
        <color auto="1"/>
      </left>
      <right style="thick">
        <color auto="1"/>
      </right>
      <top/>
      <bottom/>
      <diagonal/>
    </border>
    <border>
      <left style="thin">
        <color auto="1"/>
      </left>
      <right style="thin">
        <color auto="1"/>
      </right>
      <top style="thin">
        <color auto="1"/>
      </top>
      <bottom style="double">
        <color auto="1"/>
      </bottom>
      <diagonal/>
    </border>
    <border>
      <left style="thin">
        <color auto="1"/>
      </left>
      <right style="thick">
        <color auto="1"/>
      </right>
      <top style="thin">
        <color auto="1"/>
      </top>
      <bottom style="double">
        <color auto="1"/>
      </bottom>
      <diagonal/>
    </border>
    <border>
      <left style="thick">
        <color auto="1"/>
      </left>
      <right style="thin">
        <color auto="1"/>
      </right>
      <top style="thin">
        <color auto="1"/>
      </top>
      <bottom style="double">
        <color auto="1"/>
      </bottom>
      <diagonal/>
    </border>
    <border>
      <left style="thin">
        <color auto="1"/>
      </left>
      <right style="medium">
        <color auto="1"/>
      </right>
      <top/>
      <bottom/>
      <diagonal/>
    </border>
    <border>
      <left style="thin">
        <color auto="1"/>
      </left>
      <right style="thin">
        <color auto="1"/>
      </right>
      <top style="double">
        <color auto="1"/>
      </top>
      <bottom style="double">
        <color auto="1"/>
      </bottom>
      <diagonal/>
    </border>
    <border>
      <left style="thin">
        <color auto="1"/>
      </left>
      <right style="medium">
        <color auto="1"/>
      </right>
      <top/>
      <bottom style="double">
        <color auto="1"/>
      </bottom>
      <diagonal/>
    </border>
    <border>
      <left style="medium">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thick">
        <color auto="1"/>
      </left>
      <right style="thick">
        <color auto="1"/>
      </right>
      <top style="double">
        <color auto="1"/>
      </top>
      <bottom style="double">
        <color auto="1"/>
      </bottom>
      <diagonal/>
    </border>
    <border>
      <left style="thick">
        <color auto="1"/>
      </left>
      <right style="thin">
        <color auto="1"/>
      </right>
      <top style="double">
        <color auto="1"/>
      </top>
      <bottom style="double">
        <color auto="1"/>
      </bottom>
      <diagonal/>
    </border>
    <border>
      <left style="thin">
        <color auto="1"/>
      </left>
      <right style="thick">
        <color auto="1"/>
      </right>
      <top style="double">
        <color auto="1"/>
      </top>
      <bottom style="double">
        <color auto="1"/>
      </bottom>
      <diagonal/>
    </border>
    <border>
      <left/>
      <right style="thick">
        <color auto="1"/>
      </right>
      <top style="double">
        <color auto="1"/>
      </top>
      <bottom style="double">
        <color auto="1"/>
      </bottom>
      <diagonal/>
    </border>
    <border>
      <left style="thin">
        <color rgb="FFFFFFFF"/>
      </left>
      <right style="thin">
        <color rgb="FFFFFFFF"/>
      </right>
      <top/>
      <bottom style="thin">
        <color rgb="FFFFFFFF"/>
      </bottom>
      <diagonal/>
    </border>
    <border>
      <left style="thick">
        <color auto="1"/>
      </left>
      <right style="thick">
        <color auto="1"/>
      </right>
      <top style="double">
        <color auto="1"/>
      </top>
      <bottom style="thin">
        <color auto="1"/>
      </bottom>
      <diagonal/>
    </border>
    <border>
      <left style="medium">
        <color auto="1"/>
      </left>
      <right style="thick">
        <color auto="1"/>
      </right>
      <top style="double">
        <color auto="1"/>
      </top>
      <bottom style="thin">
        <color auto="1"/>
      </bottom>
      <diagonal/>
    </border>
    <border>
      <left style="medium">
        <color auto="1"/>
      </left>
      <right style="thick">
        <color auto="1"/>
      </right>
      <top style="thin">
        <color auto="1"/>
      </top>
      <bottom style="thin">
        <color auto="1"/>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ck">
        <color auto="1"/>
      </left>
      <right style="thin">
        <color auto="1"/>
      </right>
      <top style="medium">
        <color auto="1"/>
      </top>
      <bottom style="double">
        <color auto="1"/>
      </bottom>
      <diagonal/>
    </border>
    <border>
      <left style="medium">
        <color auto="1"/>
      </left>
      <right style="thick">
        <color auto="1"/>
      </right>
      <top style="medium">
        <color auto="1"/>
      </top>
      <bottom style="double">
        <color auto="1"/>
      </bottom>
      <diagonal/>
    </border>
    <border>
      <left style="thick">
        <color rgb="FF10243E"/>
      </left>
      <right style="thick">
        <color rgb="FF10243E"/>
      </right>
      <top style="thick">
        <color rgb="FF10243E"/>
      </top>
      <bottom style="thick">
        <color rgb="FF10243E"/>
      </bottom>
      <diagonal/>
    </border>
    <border>
      <left/>
      <right/>
      <top style="thick">
        <color rgb="FF10243E"/>
      </top>
      <bottom/>
      <diagonal/>
    </border>
    <border>
      <left/>
      <right/>
      <top/>
      <bottom style="thin">
        <color rgb="FF1F497D"/>
      </bottom>
      <diagonal/>
    </border>
    <border>
      <left/>
      <right style="thick">
        <color rgb="FF1F497D"/>
      </right>
      <top/>
      <bottom style="thin">
        <color rgb="FF1F497D"/>
      </bottom>
      <diagonal/>
    </border>
    <border>
      <left style="thick">
        <color rgb="FF1F497D"/>
      </left>
      <right/>
      <top/>
      <bottom/>
      <diagonal/>
    </border>
    <border>
      <left/>
      <right/>
      <top style="thin">
        <color rgb="FF1F497D"/>
      </top>
      <bottom style="thin">
        <color rgb="FF1F497D"/>
      </bottom>
      <diagonal/>
    </border>
    <border>
      <left/>
      <right style="thick">
        <color rgb="FF1F497D"/>
      </right>
      <top style="thin">
        <color rgb="FF1F497D"/>
      </top>
      <bottom style="thin">
        <color rgb="FF1F497D"/>
      </bottom>
      <diagonal/>
    </border>
    <border>
      <left/>
      <right/>
      <top style="thin">
        <color rgb="FF1F497D"/>
      </top>
      <bottom/>
      <diagonal/>
    </border>
    <border>
      <left/>
      <right style="thick">
        <color rgb="FF1F497D"/>
      </right>
      <top style="thin">
        <color rgb="FF1F497D"/>
      </top>
      <bottom/>
      <diagonal/>
    </border>
    <border>
      <left style="thick">
        <color rgb="FFFF0000"/>
      </left>
      <right style="thick">
        <color rgb="FFFF0000"/>
      </right>
      <top style="thick">
        <color rgb="FFFF0000"/>
      </top>
      <bottom style="thick">
        <color rgb="FFFF0000"/>
      </bottom>
      <diagonal/>
    </border>
    <border>
      <left style="thin">
        <color auto="1"/>
      </left>
      <right style="medium">
        <color auto="1"/>
      </right>
      <top/>
      <bottom style="thin">
        <color auto="1"/>
      </bottom>
      <diagonal/>
    </border>
    <border>
      <left style="medium">
        <color auto="1"/>
      </left>
      <right style="medium">
        <color auto="1"/>
      </right>
      <top style="medium">
        <color auto="1"/>
      </top>
      <bottom style="medium">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thick">
        <color rgb="FFFF0000"/>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n">
        <color auto="1"/>
      </right>
      <top style="thick">
        <color auto="1"/>
      </top>
      <bottom/>
      <diagonal/>
    </border>
    <border>
      <left style="thin">
        <color auto="1"/>
      </left>
      <right style="thick">
        <color auto="1"/>
      </right>
      <top style="thick">
        <color auto="1"/>
      </top>
      <bottom style="thin">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n">
        <color auto="1"/>
      </bottom>
      <diagonal/>
    </border>
    <border>
      <left style="medium">
        <color auto="1"/>
      </left>
      <right style="medium">
        <color auto="1"/>
      </right>
      <top/>
      <bottom style="thick">
        <color auto="1"/>
      </bottom>
      <diagonal/>
    </border>
    <border>
      <left/>
      <right style="thin">
        <color auto="1"/>
      </right>
      <top style="thin">
        <color auto="1"/>
      </top>
      <bottom style="thick">
        <color auto="1"/>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ck">
        <color rgb="FFFF0000"/>
      </left>
      <right style="thick">
        <color rgb="FFFF0000"/>
      </right>
      <top style="thick">
        <color rgb="FFFF0000"/>
      </top>
      <bottom/>
      <diagonal/>
    </border>
    <border>
      <left style="thick">
        <color rgb="FFFF0000"/>
      </left>
      <right/>
      <top style="thick">
        <color rgb="FFFF0000"/>
      </top>
      <bottom style="thin">
        <color auto="1"/>
      </bottom>
      <diagonal/>
    </border>
    <border>
      <left/>
      <right style="thick">
        <color rgb="FFFF0000"/>
      </right>
      <top style="thick">
        <color rgb="FFFF0000"/>
      </top>
      <bottom style="thin">
        <color auto="1"/>
      </bottom>
      <diagonal/>
    </border>
    <border>
      <left/>
      <right style="thick">
        <color auto="1"/>
      </right>
      <top/>
      <bottom style="thin">
        <color auto="1"/>
      </bottom>
      <diagonal/>
    </border>
    <border>
      <left style="thick">
        <color auto="1"/>
      </left>
      <right style="thick">
        <color auto="1"/>
      </right>
      <top/>
      <bottom style="thin">
        <color auto="1"/>
      </bottom>
      <diagonal/>
    </border>
    <border>
      <left/>
      <right/>
      <top style="thick">
        <color auto="1"/>
      </top>
      <bottom style="thin">
        <color auto="1"/>
      </bottom>
      <diagonal/>
    </border>
    <border>
      <left style="thick">
        <color auto="1"/>
      </left>
      <right style="thin">
        <color auto="1"/>
      </right>
      <top style="thick">
        <color auto="1"/>
      </top>
      <bottom style="thin">
        <color auto="1"/>
      </bottom>
      <diagonal/>
    </border>
    <border>
      <left style="thick">
        <color auto="1"/>
      </left>
      <right style="thick">
        <color auto="1"/>
      </right>
      <top style="thick">
        <color auto="1"/>
      </top>
      <bottom style="thin">
        <color auto="1"/>
      </bottom>
      <diagonal/>
    </border>
    <border>
      <left style="thick">
        <color auto="1"/>
      </left>
      <right style="thin">
        <color auto="1"/>
      </right>
      <top style="thin">
        <color auto="1"/>
      </top>
      <bottom style="thick">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ck">
        <color auto="1"/>
      </bottom>
      <diagonal/>
    </border>
    <border>
      <left style="thin">
        <color auto="1"/>
      </left>
      <right style="thick">
        <color auto="1"/>
      </right>
      <top style="thick">
        <color auto="1"/>
      </top>
      <bottom style="thick">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thin">
        <color auto="1"/>
      </bottom>
      <diagonal/>
    </border>
    <border>
      <left style="mediumDashed">
        <color auto="1"/>
      </left>
      <right style="mediumDashed">
        <color auto="1"/>
      </right>
      <top style="mediumDashed">
        <color auto="1"/>
      </top>
      <bottom style="mediumDashed">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thick">
        <color auto="1"/>
      </left>
      <right/>
      <top/>
      <bottom style="thick">
        <color auto="1"/>
      </bottom>
      <diagonal/>
    </border>
    <border>
      <left/>
      <right style="thick">
        <color auto="1"/>
      </right>
      <top/>
      <bottom style="thick">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style="thick">
        <color auto="1"/>
      </bottom>
      <diagonal/>
    </border>
    <border>
      <left style="medium">
        <color auto="1"/>
      </left>
      <right style="thin">
        <color auto="1"/>
      </right>
      <top style="medium">
        <color auto="1"/>
      </top>
      <bottom/>
      <diagonal/>
    </border>
  </borders>
  <cellStyleXfs count="21">
    <xf numFmtId="0" fontId="0" fillId="0" borderId="0"/>
    <xf numFmtId="166" fontId="129" fillId="0" borderId="0" applyBorder="0" applyProtection="0"/>
    <xf numFmtId="174" fontId="129" fillId="0" borderId="0" applyBorder="0" applyProtection="0"/>
    <xf numFmtId="9" fontId="129" fillId="0" borderId="0" applyBorder="0" applyProtection="0"/>
    <xf numFmtId="0" fontId="18" fillId="0" borderId="0" applyBorder="0" applyProtection="0"/>
    <xf numFmtId="164" fontId="129" fillId="0" borderId="0" applyBorder="0" applyProtection="0"/>
    <xf numFmtId="164" fontId="129" fillId="0" borderId="0" applyBorder="0" applyProtection="0"/>
    <xf numFmtId="0" fontId="1" fillId="0" borderId="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9" fontId="129" fillId="0" borderId="0" applyBorder="0" applyProtection="0"/>
  </cellStyleXfs>
  <cellXfs count="1854">
    <xf numFmtId="0" fontId="0" fillId="0" borderId="0" xfId="0"/>
    <xf numFmtId="0" fontId="0" fillId="0" borderId="0" xfId="0" applyAlignment="1">
      <alignment vertical="center"/>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0" fontId="3"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49" fontId="3" fillId="0" borderId="0" xfId="0" applyNumberFormat="1" applyFont="1" applyAlignment="1" applyProtection="1">
      <alignment vertical="center"/>
      <protection locked="0"/>
    </xf>
    <xf numFmtId="164" fontId="3" fillId="0" borderId="0" xfId="0" applyNumberFormat="1" applyFont="1" applyAlignment="1" applyProtection="1">
      <alignment horizontal="center" vertical="center"/>
      <protection locked="0"/>
    </xf>
    <xf numFmtId="0" fontId="3" fillId="0" borderId="0" xfId="0" applyFont="1" applyAlignment="1" applyProtection="1">
      <alignment vertical="center" wrapText="1"/>
      <protection locked="0"/>
    </xf>
    <xf numFmtId="0" fontId="0" fillId="0" borderId="0" xfId="0" applyProtection="1">
      <protection locked="0"/>
    </xf>
    <xf numFmtId="0" fontId="8" fillId="0" borderId="0" xfId="0" applyFont="1" applyAlignment="1">
      <alignment horizontal="left" vertical="top" wrapText="1"/>
    </xf>
    <xf numFmtId="0" fontId="9" fillId="0" borderId="0" xfId="0" applyFont="1" applyAlignment="1">
      <alignment vertical="center"/>
    </xf>
    <xf numFmtId="0" fontId="10" fillId="0" borderId="0" xfId="0" applyFont="1" applyAlignment="1">
      <alignment vertical="center"/>
    </xf>
    <xf numFmtId="0" fontId="3" fillId="0" borderId="0" xfId="0"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lignment horizontal="center" vertical="center" wrapText="1"/>
    </xf>
    <xf numFmtId="0" fontId="12" fillId="0" borderId="0" xfId="0" applyFont="1" applyAlignment="1" applyProtection="1">
      <alignment vertical="center"/>
      <protection locked="0"/>
    </xf>
    <xf numFmtId="0" fontId="8" fillId="0" borderId="0" xfId="0" applyFont="1" applyAlignment="1">
      <alignment vertical="center" wrapText="1"/>
    </xf>
    <xf numFmtId="0" fontId="8" fillId="0" borderId="0" xfId="0" applyFont="1" applyAlignment="1">
      <alignment horizontal="right" vertical="center" wrapText="1"/>
    </xf>
    <xf numFmtId="0" fontId="13" fillId="0" borderId="0" xfId="0" applyFont="1" applyAlignment="1" applyProtection="1">
      <alignment horizontal="center" vertical="center"/>
      <protection locked="0"/>
    </xf>
    <xf numFmtId="0" fontId="14" fillId="0" borderId="0" xfId="0" applyFont="1" applyAlignment="1">
      <alignment vertical="center"/>
    </xf>
    <xf numFmtId="0" fontId="13" fillId="0" borderId="0" xfId="0" applyFont="1" applyAlignment="1">
      <alignment horizontal="right" vertical="center" indent="1"/>
    </xf>
    <xf numFmtId="0" fontId="0" fillId="0" borderId="2" xfId="0" applyBorder="1" applyAlignment="1">
      <alignment vertical="center"/>
    </xf>
    <xf numFmtId="49" fontId="15" fillId="0" borderId="3" xfId="0" applyNumberFormat="1" applyFont="1" applyBorder="1" applyAlignment="1">
      <alignment horizontal="center" vertical="center"/>
    </xf>
    <xf numFmtId="0" fontId="13" fillId="5" borderId="4" xfId="0" applyFont="1" applyFill="1" applyBorder="1" applyAlignment="1">
      <alignment horizontal="right" vertical="center" indent="1"/>
    </xf>
    <xf numFmtId="0" fontId="13" fillId="0" borderId="6" xfId="0" applyFont="1" applyBorder="1" applyAlignment="1">
      <alignment horizontal="right" vertical="center" indent="1"/>
    </xf>
    <xf numFmtId="0" fontId="15" fillId="6" borderId="7" xfId="0" applyFont="1" applyFill="1" applyBorder="1" applyAlignment="1" applyProtection="1">
      <alignment horizontal="center" vertical="center"/>
      <protection locked="0"/>
    </xf>
    <xf numFmtId="0" fontId="16" fillId="0" borderId="0" xfId="0" applyFont="1" applyAlignment="1">
      <alignment vertical="center"/>
    </xf>
    <xf numFmtId="49" fontId="15" fillId="0" borderId="0" xfId="0" applyNumberFormat="1" applyFont="1" applyAlignment="1" applyProtection="1">
      <alignment horizontal="center" vertical="center"/>
      <protection locked="0"/>
    </xf>
    <xf numFmtId="0" fontId="3" fillId="5" borderId="8" xfId="0" applyFont="1" applyFill="1" applyBorder="1" applyAlignment="1">
      <alignment horizontal="right" vertical="center" indent="1"/>
    </xf>
    <xf numFmtId="0" fontId="16" fillId="0" borderId="10" xfId="0" applyFont="1" applyBorder="1" applyAlignment="1">
      <alignment vertical="center"/>
    </xf>
    <xf numFmtId="0" fontId="17" fillId="0" borderId="0" xfId="0" applyFont="1" applyAlignment="1" applyProtection="1">
      <alignment horizontal="center" vertical="center"/>
      <protection locked="0"/>
    </xf>
    <xf numFmtId="0" fontId="3" fillId="5" borderId="11" xfId="0" applyFont="1" applyFill="1" applyBorder="1" applyAlignment="1">
      <alignment horizontal="right" vertical="center" indent="1"/>
    </xf>
    <xf numFmtId="0" fontId="16" fillId="0" borderId="0" xfId="0" applyFont="1" applyAlignment="1" applyProtection="1">
      <alignment vertical="center"/>
      <protection locked="0"/>
    </xf>
    <xf numFmtId="49" fontId="15" fillId="0" borderId="0" xfId="0" applyNumberFormat="1" applyFont="1" applyAlignment="1">
      <alignment horizontal="left" vertical="center" indent="1"/>
    </xf>
    <xf numFmtId="1" fontId="3" fillId="5" borderId="11" xfId="0" applyNumberFormat="1" applyFont="1" applyFill="1" applyBorder="1" applyAlignment="1">
      <alignment horizontal="right" vertical="center" indent="1"/>
    </xf>
    <xf numFmtId="1" fontId="15" fillId="6" borderId="7" xfId="0" applyNumberFormat="1" applyFont="1" applyFill="1" applyBorder="1" applyAlignment="1" applyProtection="1">
      <alignment horizontal="center" vertical="center"/>
      <protection locked="0"/>
    </xf>
    <xf numFmtId="49" fontId="15" fillId="0" borderId="0" xfId="0" applyNumberFormat="1" applyFont="1" applyAlignment="1">
      <alignment vertical="center"/>
    </xf>
    <xf numFmtId="1" fontId="3" fillId="5" borderId="12" xfId="0" applyNumberFormat="1" applyFont="1" applyFill="1" applyBorder="1" applyAlignment="1">
      <alignment horizontal="right" vertical="center" indent="1"/>
    </xf>
    <xf numFmtId="49" fontId="15" fillId="0" borderId="14" xfId="0" applyNumberFormat="1" applyFont="1" applyBorder="1" applyAlignment="1">
      <alignment vertical="center"/>
    </xf>
    <xf numFmtId="0" fontId="15" fillId="0" borderId="0" xfId="0" applyFont="1" applyAlignment="1" applyProtection="1">
      <alignment horizontal="left" vertical="center"/>
      <protection locked="0"/>
    </xf>
    <xf numFmtId="0" fontId="16" fillId="7" borderId="7" xfId="0" applyFont="1" applyFill="1" applyBorder="1" applyAlignment="1" applyProtection="1">
      <alignment horizontal="center" vertical="center"/>
      <protection locked="0"/>
    </xf>
    <xf numFmtId="0" fontId="19" fillId="0" borderId="15" xfId="0" applyFont="1" applyBorder="1" applyAlignment="1">
      <alignment horizontal="right" vertical="top" wrapText="1" indent="1"/>
    </xf>
    <xf numFmtId="0" fontId="15" fillId="0" borderId="0" xfId="0" applyFont="1" applyAlignment="1" applyProtection="1">
      <alignment vertical="center"/>
      <protection locked="0"/>
    </xf>
    <xf numFmtId="0" fontId="19" fillId="0" borderId="17" xfId="0" applyFont="1" applyBorder="1" applyAlignment="1">
      <alignment horizontal="right" vertical="center" wrapText="1" indent="1"/>
    </xf>
    <xf numFmtId="0" fontId="13" fillId="0" borderId="0" xfId="0" applyFont="1" applyAlignment="1">
      <alignment horizontal="center" vertical="center"/>
    </xf>
    <xf numFmtId="0" fontId="15" fillId="0" borderId="0" xfId="0" applyFont="1" applyAlignment="1">
      <alignment vertical="center"/>
    </xf>
    <xf numFmtId="0" fontId="19" fillId="0" borderId="11" xfId="0" applyFont="1" applyBorder="1" applyAlignment="1">
      <alignment horizontal="right" vertical="center" wrapText="1" indent="1"/>
    </xf>
    <xf numFmtId="165" fontId="15" fillId="6" borderId="20" xfId="0" applyNumberFormat="1" applyFont="1" applyFill="1" applyBorder="1" applyAlignment="1" applyProtection="1">
      <alignment vertical="center" wrapText="1"/>
      <protection locked="0"/>
    </xf>
    <xf numFmtId="0" fontId="15" fillId="10" borderId="21" xfId="0" applyFont="1" applyFill="1" applyBorder="1" applyAlignment="1">
      <alignment vertical="center"/>
    </xf>
    <xf numFmtId="0" fontId="15" fillId="10" borderId="22" xfId="0" applyFont="1" applyFill="1" applyBorder="1" applyAlignment="1">
      <alignment vertical="center" wrapText="1"/>
    </xf>
    <xf numFmtId="0" fontId="19" fillId="0" borderId="17" xfId="0" applyFont="1" applyBorder="1" applyAlignment="1">
      <alignment horizontal="right" vertical="top" wrapText="1" indent="1"/>
    </xf>
    <xf numFmtId="0" fontId="0" fillId="0" borderId="6" xfId="0" applyBorder="1" applyAlignment="1">
      <alignment vertical="center"/>
    </xf>
    <xf numFmtId="165" fontId="15" fillId="6" borderId="23" xfId="0" applyNumberFormat="1" applyFont="1" applyFill="1" applyBorder="1" applyAlignment="1" applyProtection="1">
      <alignment vertical="center" wrapText="1"/>
      <protection locked="0"/>
    </xf>
    <xf numFmtId="0" fontId="19" fillId="0" borderId="0" xfId="0" applyFont="1" applyAlignment="1" applyProtection="1">
      <alignment vertical="center"/>
      <protection locked="0"/>
    </xf>
    <xf numFmtId="0" fontId="19" fillId="0" borderId="12" xfId="0" applyFont="1" applyBorder="1" applyAlignment="1">
      <alignment horizontal="right" vertical="center" indent="1"/>
    </xf>
    <xf numFmtId="0" fontId="19" fillId="0" borderId="6" xfId="0" applyFont="1" applyBorder="1" applyAlignment="1">
      <alignment horizontal="center" vertical="center"/>
    </xf>
    <xf numFmtId="165" fontId="15" fillId="6" borderId="23" xfId="1" applyNumberFormat="1" applyFont="1" applyFill="1" applyBorder="1" applyAlignment="1" applyProtection="1">
      <alignment vertical="center" wrapText="1"/>
      <protection locked="0"/>
    </xf>
    <xf numFmtId="0" fontId="19" fillId="0" borderId="0" xfId="0" applyFont="1" applyAlignment="1" applyProtection="1">
      <alignment horizontal="left" vertical="center"/>
      <protection locked="0"/>
    </xf>
    <xf numFmtId="1" fontId="20" fillId="5" borderId="15" xfId="0" applyNumberFormat="1" applyFont="1" applyFill="1" applyBorder="1" applyAlignment="1">
      <alignment horizontal="right" vertical="center" wrapText="1" indent="1"/>
    </xf>
    <xf numFmtId="0" fontId="13" fillId="0" borderId="6" xfId="0" applyFont="1" applyBorder="1" applyAlignment="1">
      <alignment horizontal="center" vertical="center"/>
    </xf>
    <xf numFmtId="1" fontId="3" fillId="5" borderId="17" xfId="0" applyNumberFormat="1" applyFont="1" applyFill="1" applyBorder="1" applyAlignment="1">
      <alignment horizontal="right" vertical="center" indent="1"/>
    </xf>
    <xf numFmtId="0" fontId="21" fillId="10" borderId="21" xfId="0" applyFont="1" applyFill="1" applyBorder="1" applyAlignment="1">
      <alignment vertical="center"/>
    </xf>
    <xf numFmtId="0" fontId="21" fillId="10" borderId="22" xfId="0" applyFont="1" applyFill="1" applyBorder="1" applyAlignment="1" applyProtection="1">
      <alignment horizontal="left" vertical="center" wrapText="1"/>
      <protection locked="0"/>
    </xf>
    <xf numFmtId="0" fontId="3" fillId="5" borderId="17" xfId="0" applyFont="1" applyFill="1" applyBorder="1" applyAlignment="1">
      <alignment horizontal="right" vertical="center" indent="1"/>
    </xf>
    <xf numFmtId="0" fontId="16" fillId="0" borderId="6" xfId="0" applyFont="1" applyBorder="1" applyAlignment="1">
      <alignment horizontal="right" vertical="center"/>
    </xf>
    <xf numFmtId="0" fontId="0" fillId="0" borderId="17" xfId="0" applyBorder="1" applyAlignment="1">
      <alignment horizontal="right" vertical="center" indent="1"/>
    </xf>
    <xf numFmtId="0" fontId="21" fillId="10" borderId="22" xfId="0" applyFont="1" applyFill="1" applyBorder="1" applyAlignment="1">
      <alignment horizontal="left" vertical="center" wrapText="1"/>
    </xf>
    <xf numFmtId="165" fontId="15" fillId="6" borderId="28" xfId="0" applyNumberFormat="1" applyFont="1" applyFill="1" applyBorder="1" applyAlignment="1" applyProtection="1">
      <alignment vertical="center" wrapText="1"/>
      <protection locked="0"/>
    </xf>
    <xf numFmtId="0" fontId="22" fillId="5" borderId="17" xfId="0" applyFont="1" applyFill="1" applyBorder="1" applyAlignment="1">
      <alignment horizontal="right" vertical="center" indent="1"/>
    </xf>
    <xf numFmtId="0" fontId="16" fillId="0" borderId="0" xfId="0" applyFont="1" applyAlignment="1">
      <alignment horizontal="right" vertical="center"/>
    </xf>
    <xf numFmtId="0" fontId="21" fillId="12" borderId="21" xfId="0" applyFont="1" applyFill="1" applyBorder="1" applyAlignment="1">
      <alignment vertical="center"/>
    </xf>
    <xf numFmtId="0" fontId="21" fillId="12" borderId="22" xfId="0" applyFont="1" applyFill="1" applyBorder="1" applyAlignment="1">
      <alignment horizontal="left" vertical="center" wrapText="1"/>
    </xf>
    <xf numFmtId="0" fontId="22" fillId="5" borderId="12" xfId="0" applyFont="1" applyFill="1" applyBorder="1" applyAlignment="1">
      <alignment horizontal="right" vertical="center" indent="1"/>
    </xf>
    <xf numFmtId="0" fontId="21" fillId="12" borderId="22" xfId="0" applyFont="1" applyFill="1" applyBorder="1" applyAlignment="1" applyProtection="1">
      <alignment horizontal="left" vertical="center" wrapText="1"/>
      <protection locked="0"/>
    </xf>
    <xf numFmtId="0" fontId="3" fillId="5" borderId="29" xfId="0" applyFont="1" applyFill="1" applyBorder="1" applyAlignment="1">
      <alignment horizontal="right" vertical="center" indent="1"/>
    </xf>
    <xf numFmtId="0" fontId="19" fillId="0" borderId="0" xfId="0" applyFont="1" applyAlignment="1" applyProtection="1">
      <alignment horizontal="center" vertical="center"/>
      <protection locked="0"/>
    </xf>
    <xf numFmtId="0" fontId="3" fillId="0" borderId="0" xfId="0" applyFont="1" applyAlignment="1" applyProtection="1">
      <alignment horizontal="left" vertical="center"/>
      <protection locked="0"/>
    </xf>
    <xf numFmtId="0" fontId="3" fillId="0" borderId="0" xfId="0" applyFont="1" applyAlignment="1">
      <alignment vertical="center"/>
    </xf>
    <xf numFmtId="165" fontId="15" fillId="0" borderId="0" xfId="0" applyNumberFormat="1" applyFont="1" applyAlignment="1">
      <alignment vertical="center" wrapText="1"/>
    </xf>
    <xf numFmtId="0" fontId="21" fillId="0" borderId="0" xfId="0" applyFont="1" applyAlignment="1">
      <alignment vertical="center"/>
    </xf>
    <xf numFmtId="0" fontId="21" fillId="0" borderId="0" xfId="0" applyFont="1" applyAlignment="1">
      <alignment horizontal="left" vertical="center"/>
    </xf>
    <xf numFmtId="0" fontId="15" fillId="0" borderId="0" xfId="0" applyFont="1" applyAlignment="1">
      <alignment horizontal="right" vertical="center"/>
    </xf>
    <xf numFmtId="0" fontId="3" fillId="0" borderId="0" xfId="0" applyFont="1" applyAlignment="1">
      <alignment horizontal="right" vertical="center" indent="1"/>
    </xf>
    <xf numFmtId="0" fontId="3" fillId="0" borderId="0" xfId="0" applyFont="1" applyAlignment="1">
      <alignment horizontal="left" vertical="center" indent="1"/>
    </xf>
    <xf numFmtId="0" fontId="16" fillId="8" borderId="7" xfId="0" applyFont="1" applyFill="1" applyBorder="1" applyAlignment="1" applyProtection="1">
      <alignment horizontal="center" vertical="center" wrapText="1"/>
      <protection locked="0"/>
    </xf>
    <xf numFmtId="0" fontId="16" fillId="5" borderId="7" xfId="0" applyFont="1" applyFill="1" applyBorder="1" applyAlignment="1">
      <alignment horizontal="center" vertical="center" wrapText="1"/>
    </xf>
    <xf numFmtId="0" fontId="15" fillId="0" borderId="0" xfId="0" applyFont="1" applyAlignment="1">
      <alignment horizontal="center" vertical="center" wrapText="1"/>
    </xf>
    <xf numFmtId="0" fontId="16" fillId="5" borderId="21" xfId="0" applyFont="1" applyFill="1" applyBorder="1" applyAlignment="1">
      <alignment horizontal="center" vertical="center" wrapText="1"/>
    </xf>
    <xf numFmtId="0" fontId="16" fillId="8" borderId="22" xfId="0" applyFont="1" applyFill="1" applyBorder="1" applyAlignment="1" applyProtection="1">
      <alignment horizontal="center" vertical="center" wrapText="1"/>
      <protection locked="0"/>
    </xf>
    <xf numFmtId="0" fontId="16" fillId="0" borderId="0" xfId="0" applyFont="1" applyAlignment="1">
      <alignment vertical="center" wrapText="1"/>
    </xf>
    <xf numFmtId="0" fontId="23" fillId="5" borderId="0" xfId="0" applyFont="1" applyFill="1" applyAlignment="1">
      <alignment horizontal="center" vertical="center"/>
    </xf>
    <xf numFmtId="0" fontId="22" fillId="0" borderId="14" xfId="0" applyFont="1" applyBorder="1" applyAlignment="1">
      <alignment horizontal="center" vertical="top"/>
    </xf>
    <xf numFmtId="0" fontId="22" fillId="0" borderId="0" xfId="0" applyFont="1" applyAlignment="1">
      <alignment horizontal="center" vertical="top"/>
    </xf>
    <xf numFmtId="0" fontId="0" fillId="0" borderId="30" xfId="0" applyBorder="1" applyAlignment="1">
      <alignment vertical="center"/>
    </xf>
    <xf numFmtId="0" fontId="5" fillId="4" borderId="31" xfId="0" applyFont="1" applyFill="1" applyBorder="1" applyAlignment="1">
      <alignment horizontal="left" vertical="center" indent="1"/>
    </xf>
    <xf numFmtId="0" fontId="5" fillId="4" borderId="32" xfId="0" applyFont="1" applyFill="1" applyBorder="1" applyAlignment="1">
      <alignment horizontal="left" vertical="center" indent="1"/>
    </xf>
    <xf numFmtId="0" fontId="5" fillId="4" borderId="33" xfId="0" applyFont="1" applyFill="1" applyBorder="1" applyAlignment="1">
      <alignment horizontal="left" vertical="center" indent="1"/>
    </xf>
    <xf numFmtId="0" fontId="3" fillId="0" borderId="0" xfId="0" applyFont="1" applyAlignment="1" applyProtection="1">
      <alignment horizontal="left" vertical="center" wrapText="1"/>
      <protection locked="0"/>
    </xf>
    <xf numFmtId="9" fontId="3" fillId="0" borderId="0" xfId="0" applyNumberFormat="1" applyFont="1" applyAlignment="1" applyProtection="1">
      <alignment vertical="center" wrapText="1"/>
      <protection locked="0"/>
    </xf>
    <xf numFmtId="165" fontId="16" fillId="6" borderId="7" xfId="0" applyNumberFormat="1" applyFont="1" applyFill="1" applyBorder="1" applyAlignment="1" applyProtection="1">
      <alignment vertical="center" wrapText="1"/>
      <protection locked="0"/>
    </xf>
    <xf numFmtId="164" fontId="24" fillId="0" borderId="0" xfId="0" applyNumberFormat="1" applyFont="1" applyAlignment="1" applyProtection="1">
      <alignment vertical="center"/>
      <protection locked="0"/>
    </xf>
    <xf numFmtId="0" fontId="13" fillId="0" borderId="0" xfId="0" applyFont="1" applyAlignment="1" applyProtection="1">
      <alignment horizontal="left" vertical="center"/>
      <protection locked="0"/>
    </xf>
    <xf numFmtId="168" fontId="16" fillId="6" borderId="35" xfId="0" applyNumberFormat="1" applyFont="1" applyFill="1" applyBorder="1" applyAlignment="1">
      <alignment horizontal="right" vertical="center" wrapText="1" indent="2"/>
    </xf>
    <xf numFmtId="168" fontId="16" fillId="6" borderId="21" xfId="3" applyNumberFormat="1" applyFont="1" applyFill="1" applyBorder="1" applyAlignment="1" applyProtection="1">
      <alignment horizontal="right" vertical="center" wrapText="1" indent="2"/>
    </xf>
    <xf numFmtId="0" fontId="16" fillId="0" borderId="0" xfId="0" applyFont="1" applyAlignment="1">
      <alignment horizontal="right" vertical="center" indent="1"/>
    </xf>
    <xf numFmtId="49" fontId="9" fillId="14" borderId="7" xfId="3" applyNumberFormat="1" applyFont="1" applyFill="1" applyBorder="1" applyAlignment="1" applyProtection="1">
      <alignment horizontal="center" vertical="center" wrapText="1"/>
      <protection locked="0"/>
    </xf>
    <xf numFmtId="169" fontId="16" fillId="0" borderId="0" xfId="0" applyNumberFormat="1" applyFont="1" applyAlignment="1">
      <alignment vertical="center"/>
    </xf>
    <xf numFmtId="9" fontId="16" fillId="0" borderId="14" xfId="3" applyFont="1" applyBorder="1" applyAlignment="1" applyProtection="1">
      <alignment horizontal="center" vertical="center" wrapText="1"/>
    </xf>
    <xf numFmtId="0" fontId="14" fillId="0" borderId="0" xfId="0" applyFont="1" applyAlignment="1">
      <alignment horizontal="right" vertical="center"/>
    </xf>
    <xf numFmtId="49" fontId="13" fillId="0" borderId="0" xfId="0" applyNumberFormat="1" applyFont="1" applyAlignment="1" applyProtection="1">
      <alignment horizontal="right" vertical="center"/>
      <protection locked="0"/>
    </xf>
    <xf numFmtId="0" fontId="13" fillId="15" borderId="7" xfId="0" applyFont="1" applyFill="1" applyBorder="1" applyAlignment="1" applyProtection="1">
      <alignment horizontal="center" vertical="center"/>
      <protection locked="0"/>
    </xf>
    <xf numFmtId="165" fontId="3" fillId="7" borderId="7" xfId="0" applyNumberFormat="1" applyFont="1" applyFill="1" applyBorder="1" applyAlignment="1" applyProtection="1">
      <alignment vertical="center"/>
      <protection locked="0"/>
    </xf>
    <xf numFmtId="0" fontId="5" fillId="4" borderId="37" xfId="0" applyFont="1" applyFill="1" applyBorder="1" applyAlignment="1">
      <alignment horizontal="left" vertical="center" indent="1"/>
    </xf>
    <xf numFmtId="0" fontId="5" fillId="4" borderId="38" xfId="0" applyFont="1" applyFill="1" applyBorder="1" applyAlignment="1">
      <alignment horizontal="left" vertical="center" indent="1"/>
    </xf>
    <xf numFmtId="0" fontId="5" fillId="4" borderId="39" xfId="0" applyFont="1" applyFill="1" applyBorder="1" applyAlignment="1">
      <alignment horizontal="left" vertical="center" indent="1"/>
    </xf>
    <xf numFmtId="0" fontId="13" fillId="0" borderId="0" xfId="0" applyFont="1" applyAlignment="1" applyProtection="1">
      <alignment horizontal="right" vertical="center"/>
      <protection locked="0"/>
    </xf>
    <xf numFmtId="0" fontId="26" fillId="16" borderId="40" xfId="0" applyFont="1" applyFill="1" applyBorder="1" applyAlignment="1">
      <alignment horizontal="center" vertical="center"/>
    </xf>
    <xf numFmtId="169" fontId="26" fillId="16" borderId="42" xfId="0" applyNumberFormat="1" applyFont="1" applyFill="1" applyBorder="1" applyAlignment="1">
      <alignment horizontal="center" vertical="center"/>
    </xf>
    <xf numFmtId="0" fontId="26" fillId="16" borderId="0" xfId="0" applyFont="1" applyFill="1" applyAlignment="1">
      <alignment horizontal="center" vertical="center" wrapText="1"/>
    </xf>
    <xf numFmtId="0" fontId="27" fillId="0" borderId="0" xfId="0" applyFont="1" applyAlignment="1">
      <alignment horizontal="left" vertical="center" indent="1"/>
    </xf>
    <xf numFmtId="0" fontId="15" fillId="6" borderId="21" xfId="0" applyFont="1" applyFill="1" applyBorder="1" applyAlignment="1" applyProtection="1">
      <alignment horizontal="center" vertical="center"/>
      <protection locked="0"/>
    </xf>
    <xf numFmtId="165" fontId="15" fillId="6" borderId="7" xfId="0" applyNumberFormat="1" applyFont="1" applyFill="1" applyBorder="1" applyAlignment="1" applyProtection="1">
      <alignment vertical="center" wrapText="1"/>
      <protection locked="0"/>
    </xf>
    <xf numFmtId="14" fontId="15" fillId="6" borderId="7" xfId="0" applyNumberFormat="1" applyFont="1" applyFill="1" applyBorder="1" applyAlignment="1" applyProtection="1">
      <alignment horizontal="center" vertical="center"/>
      <protection locked="0"/>
    </xf>
    <xf numFmtId="0" fontId="28" fillId="0" borderId="0" xfId="0" applyFont="1" applyAlignment="1">
      <alignment horizontal="center" vertical="center"/>
    </xf>
    <xf numFmtId="0" fontId="15" fillId="8" borderId="7" xfId="0" applyFont="1" applyFill="1" applyBorder="1" applyAlignment="1" applyProtection="1">
      <alignment horizontal="left" vertical="center" indent="1"/>
      <protection locked="0"/>
    </xf>
    <xf numFmtId="0" fontId="3" fillId="0" borderId="0" xfId="0" applyFont="1" applyAlignment="1">
      <alignment horizontal="right" vertical="center"/>
    </xf>
    <xf numFmtId="165" fontId="15" fillId="17" borderId="7" xfId="0" applyNumberFormat="1" applyFont="1" applyFill="1" applyBorder="1" applyAlignment="1">
      <alignment vertical="center" wrapText="1"/>
    </xf>
    <xf numFmtId="0" fontId="28" fillId="0" borderId="0" xfId="0" applyFont="1" applyAlignment="1" applyProtection="1">
      <alignment vertical="center"/>
      <protection locked="0"/>
    </xf>
    <xf numFmtId="164" fontId="0" fillId="0" borderId="0" xfId="0" applyNumberFormat="1" applyAlignment="1" applyProtection="1">
      <alignment vertical="center"/>
      <protection locked="0"/>
    </xf>
    <xf numFmtId="169" fontId="3" fillId="0" borderId="0" xfId="0" applyNumberFormat="1" applyFont="1" applyAlignment="1">
      <alignment vertical="center"/>
    </xf>
    <xf numFmtId="0" fontId="29" fillId="0" borderId="0" xfId="0" applyFont="1" applyAlignment="1">
      <alignment vertical="center"/>
    </xf>
    <xf numFmtId="165" fontId="13" fillId="17" borderId="7" xfId="0" applyNumberFormat="1" applyFont="1" applyFill="1" applyBorder="1" applyAlignment="1">
      <alignment vertical="center" wrapText="1"/>
    </xf>
    <xf numFmtId="0" fontId="5" fillId="0" borderId="0" xfId="0" applyFont="1" applyAlignment="1">
      <alignment vertical="center"/>
    </xf>
    <xf numFmtId="0" fontId="30" fillId="0" borderId="0" xfId="0" applyFont="1" applyAlignment="1">
      <alignment horizontal="center" vertical="center"/>
    </xf>
    <xf numFmtId="0" fontId="30" fillId="0" borderId="0" xfId="0" applyFont="1" applyAlignment="1">
      <alignment vertical="center"/>
    </xf>
    <xf numFmtId="0" fontId="15" fillId="0" borderId="0" xfId="0" applyFont="1" applyAlignment="1">
      <alignment horizontal="center" vertical="center"/>
    </xf>
    <xf numFmtId="164" fontId="13" fillId="0" borderId="0" xfId="0" applyNumberFormat="1" applyFont="1" applyAlignment="1">
      <alignment vertical="center"/>
    </xf>
    <xf numFmtId="170" fontId="23" fillId="0" borderId="0" xfId="0" applyNumberFormat="1" applyFont="1" applyAlignment="1">
      <alignment horizontal="left" vertical="center" indent="5"/>
    </xf>
    <xf numFmtId="164" fontId="23" fillId="0" borderId="0" xfId="0" applyNumberFormat="1" applyFont="1" applyAlignment="1">
      <alignment vertical="center"/>
    </xf>
    <xf numFmtId="0" fontId="22" fillId="0" borderId="0" xfId="0" applyFont="1" applyAlignment="1">
      <alignment horizontal="center" vertical="center"/>
    </xf>
    <xf numFmtId="0" fontId="19"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wrapText="1"/>
    </xf>
    <xf numFmtId="0" fontId="4" fillId="0" borderId="0" xfId="0" applyFont="1"/>
    <xf numFmtId="0" fontId="28" fillId="0" borderId="0" xfId="0" applyFont="1" applyAlignment="1">
      <alignment vertical="center"/>
    </xf>
    <xf numFmtId="0" fontId="19" fillId="0" borderId="0" xfId="0" applyFont="1" applyAlignment="1">
      <alignment vertical="center" wrapText="1"/>
    </xf>
    <xf numFmtId="164" fontId="6" fillId="0" borderId="0" xfId="0" applyNumberFormat="1" applyFont="1" applyAlignment="1">
      <alignment vertical="center"/>
    </xf>
    <xf numFmtId="0" fontId="19" fillId="0" borderId="45" xfId="0" applyFont="1" applyBorder="1" applyAlignment="1">
      <alignment vertical="center" wrapText="1"/>
    </xf>
    <xf numFmtId="171" fontId="28" fillId="0" borderId="0" xfId="0" applyNumberFormat="1" applyFont="1" applyAlignment="1">
      <alignment horizontal="center" vertical="center"/>
    </xf>
    <xf numFmtId="49" fontId="28" fillId="0" borderId="0" xfId="0" applyNumberFormat="1" applyFont="1" applyAlignment="1">
      <alignment vertical="center"/>
    </xf>
    <xf numFmtId="0" fontId="7" fillId="0" borderId="0" xfId="0" applyFont="1" applyAlignment="1">
      <alignment vertical="center"/>
    </xf>
    <xf numFmtId="0" fontId="3" fillId="0" borderId="0" xfId="0" applyFont="1" applyAlignment="1">
      <alignment horizontal="left" vertical="center" wrapText="1"/>
    </xf>
    <xf numFmtId="0" fontId="3" fillId="0" borderId="0" xfId="0" applyFont="1" applyAlignment="1">
      <alignment horizontal="left" vertical="center"/>
    </xf>
    <xf numFmtId="0" fontId="32" fillId="0" borderId="0" xfId="0" applyFont="1" applyAlignment="1">
      <alignment vertical="top" wrapText="1"/>
    </xf>
    <xf numFmtId="0" fontId="32" fillId="0" borderId="0" xfId="0" applyFont="1" applyAlignment="1">
      <alignment vertical="center" wrapText="1"/>
    </xf>
    <xf numFmtId="0" fontId="33" fillId="0" borderId="0" xfId="0" applyFont="1" applyAlignment="1">
      <alignment horizontal="center" vertical="center"/>
    </xf>
    <xf numFmtId="0" fontId="19" fillId="8" borderId="48" xfId="0" applyFont="1" applyFill="1" applyBorder="1" applyAlignment="1">
      <alignment horizontal="center" vertical="center"/>
    </xf>
    <xf numFmtId="0" fontId="19" fillId="8" borderId="49" xfId="0" applyFont="1" applyFill="1" applyBorder="1" applyAlignment="1">
      <alignment horizontal="center" vertical="center"/>
    </xf>
    <xf numFmtId="0" fontId="19" fillId="8" borderId="50" xfId="0" applyFont="1" applyFill="1" applyBorder="1" applyAlignment="1">
      <alignment horizontal="center" vertical="center"/>
    </xf>
    <xf numFmtId="0" fontId="19" fillId="8" borderId="51" xfId="0" applyFont="1" applyFill="1" applyBorder="1" applyAlignment="1">
      <alignment horizontal="center" vertical="center"/>
    </xf>
    <xf numFmtId="0" fontId="19" fillId="8" borderId="54" xfId="0" applyFont="1" applyFill="1" applyBorder="1" applyAlignment="1">
      <alignment horizontal="center" vertical="center"/>
    </xf>
    <xf numFmtId="0" fontId="19" fillId="8" borderId="55" xfId="0" applyFont="1" applyFill="1" applyBorder="1" applyAlignment="1">
      <alignment horizontal="center" vertical="center"/>
    </xf>
    <xf numFmtId="0" fontId="19" fillId="8" borderId="56" xfId="0" applyFont="1" applyFill="1" applyBorder="1" applyAlignment="1">
      <alignment horizontal="center" vertical="center"/>
    </xf>
    <xf numFmtId="0" fontId="19" fillId="8" borderId="57" xfId="0" applyFont="1" applyFill="1" applyBorder="1" applyAlignment="1">
      <alignment horizontal="center" vertical="center"/>
    </xf>
    <xf numFmtId="0" fontId="34" fillId="0" borderId="59" xfId="0" applyFont="1" applyBorder="1" applyAlignment="1">
      <alignment wrapText="1"/>
    </xf>
    <xf numFmtId="0" fontId="32" fillId="0" borderId="60" xfId="0" applyFont="1" applyBorder="1" applyAlignment="1">
      <alignment vertical="center" wrapText="1"/>
    </xf>
    <xf numFmtId="0" fontId="34" fillId="8" borderId="61" xfId="0" applyFont="1" applyFill="1" applyBorder="1" applyAlignment="1">
      <alignment horizontal="center" vertical="center" wrapText="1"/>
    </xf>
    <xf numFmtId="0" fontId="34" fillId="8" borderId="62" xfId="0" applyFont="1" applyFill="1" applyBorder="1" applyAlignment="1">
      <alignment horizontal="center" vertical="center" wrapText="1"/>
    </xf>
    <xf numFmtId="0" fontId="34" fillId="8" borderId="63" xfId="0" applyFont="1" applyFill="1" applyBorder="1" applyAlignment="1">
      <alignment horizontal="center" vertical="center" wrapText="1"/>
    </xf>
    <xf numFmtId="0" fontId="34" fillId="8" borderId="64" xfId="0" applyFont="1" applyFill="1" applyBorder="1" applyAlignment="1">
      <alignment horizontal="center" vertical="center" wrapText="1"/>
    </xf>
    <xf numFmtId="0" fontId="34" fillId="8" borderId="65" xfId="0" applyFont="1" applyFill="1" applyBorder="1" applyAlignment="1">
      <alignment horizontal="center" vertical="center" wrapText="1"/>
    </xf>
    <xf numFmtId="0" fontId="34" fillId="8" borderId="66" xfId="0" applyFont="1" applyFill="1" applyBorder="1" applyAlignment="1">
      <alignment horizontal="center" vertical="center" wrapText="1"/>
    </xf>
    <xf numFmtId="0" fontId="34" fillId="8" borderId="67" xfId="0" applyFont="1" applyFill="1" applyBorder="1" applyAlignment="1">
      <alignment horizontal="center" vertical="center" wrapText="1"/>
    </xf>
    <xf numFmtId="0" fontId="28" fillId="19" borderId="68" xfId="0" applyFont="1" applyFill="1" applyBorder="1" applyAlignment="1">
      <alignment horizontal="center" vertical="center" textRotation="90"/>
    </xf>
    <xf numFmtId="0" fontId="28" fillId="19" borderId="68" xfId="0" applyFont="1" applyFill="1" applyBorder="1" applyAlignment="1">
      <alignment horizontal="center" vertical="center" textRotation="90" wrapText="1"/>
    </xf>
    <xf numFmtId="0" fontId="28" fillId="19" borderId="68" xfId="0" applyFont="1" applyFill="1" applyBorder="1" applyAlignment="1">
      <alignment horizontal="center" vertical="center"/>
    </xf>
    <xf numFmtId="0" fontId="28" fillId="19" borderId="68" xfId="0" applyFont="1" applyFill="1" applyBorder="1" applyAlignment="1">
      <alignment horizontal="center" vertical="center" wrapText="1"/>
    </xf>
    <xf numFmtId="0" fontId="28" fillId="19" borderId="69" xfId="0" applyFont="1" applyFill="1" applyBorder="1" applyAlignment="1">
      <alignment horizontal="center" vertical="center"/>
    </xf>
    <xf numFmtId="0" fontId="28" fillId="19" borderId="70" xfId="0" applyFont="1" applyFill="1" applyBorder="1" applyAlignment="1">
      <alignment horizontal="center" vertical="center" wrapText="1"/>
    </xf>
    <xf numFmtId="0" fontId="28" fillId="19" borderId="71" xfId="0" applyFont="1" applyFill="1" applyBorder="1" applyAlignment="1">
      <alignment horizontal="center" vertical="center" wrapText="1"/>
    </xf>
    <xf numFmtId="0" fontId="28" fillId="19" borderId="69" xfId="0" applyFont="1" applyFill="1" applyBorder="1" applyAlignment="1">
      <alignment horizontal="center" vertical="center" textRotation="90" wrapText="1"/>
    </xf>
    <xf numFmtId="0" fontId="35" fillId="20" borderId="72" xfId="0" applyFont="1" applyFill="1" applyBorder="1" applyAlignment="1">
      <alignment horizontal="center" vertical="center" wrapText="1"/>
    </xf>
    <xf numFmtId="0" fontId="28" fillId="19" borderId="73" xfId="0" applyFont="1" applyFill="1" applyBorder="1" applyAlignment="1">
      <alignment horizontal="center" vertical="center" textRotation="90" wrapText="1"/>
    </xf>
    <xf numFmtId="0" fontId="28" fillId="19" borderId="74" xfId="0" applyFont="1" applyFill="1" applyBorder="1" applyAlignment="1">
      <alignment horizontal="center" vertical="center" textRotation="90" wrapText="1"/>
    </xf>
    <xf numFmtId="0" fontId="3" fillId="21" borderId="69" xfId="0" applyFont="1" applyFill="1" applyBorder="1" applyAlignment="1">
      <alignment horizontal="center" vertical="center" textRotation="90" wrapText="1"/>
    </xf>
    <xf numFmtId="0" fontId="3" fillId="21" borderId="75" xfId="0" applyFont="1" applyFill="1" applyBorder="1" applyAlignment="1">
      <alignment horizontal="center" vertical="center" textRotation="90" wrapText="1"/>
    </xf>
    <xf numFmtId="0" fontId="3" fillId="17" borderId="71" xfId="0" applyFont="1" applyFill="1" applyBorder="1" applyAlignment="1">
      <alignment horizontal="center" vertical="center" wrapText="1"/>
    </xf>
    <xf numFmtId="0" fontId="3" fillId="17" borderId="68" xfId="0" applyFont="1" applyFill="1" applyBorder="1" applyAlignment="1">
      <alignment horizontal="center" vertical="center" wrapText="1"/>
    </xf>
    <xf numFmtId="0" fontId="36" fillId="22" borderId="68" xfId="0" applyFont="1" applyFill="1" applyBorder="1" applyAlignment="1">
      <alignment horizontal="center" vertical="center" wrapText="1"/>
    </xf>
    <xf numFmtId="0" fontId="3" fillId="23" borderId="68" xfId="0" applyFont="1" applyFill="1" applyBorder="1" applyAlignment="1" applyProtection="1">
      <alignment horizontal="center" vertical="center" wrapText="1"/>
      <protection locked="0"/>
    </xf>
    <xf numFmtId="0" fontId="3" fillId="17" borderId="69" xfId="0" applyFont="1" applyFill="1" applyBorder="1" applyAlignment="1">
      <alignment horizontal="center" vertical="center" wrapText="1"/>
    </xf>
    <xf numFmtId="0" fontId="3" fillId="17" borderId="68" xfId="0" applyFont="1" applyFill="1" applyBorder="1" applyAlignment="1" applyProtection="1">
      <alignment horizontal="center" vertical="center" wrapText="1"/>
      <protection locked="0"/>
    </xf>
    <xf numFmtId="0" fontId="3" fillId="17" borderId="76" xfId="0" applyFont="1" applyFill="1" applyBorder="1" applyAlignment="1" applyProtection="1">
      <alignment horizontal="center" vertical="center" wrapText="1"/>
      <protection locked="0"/>
    </xf>
    <xf numFmtId="0" fontId="3" fillId="17" borderId="75" xfId="0" applyFont="1" applyFill="1" applyBorder="1" applyAlignment="1" applyProtection="1">
      <alignment horizontal="center" vertical="center" wrapText="1"/>
      <protection locked="0"/>
    </xf>
    <xf numFmtId="0" fontId="3" fillId="17" borderId="76" xfId="0" applyFont="1" applyFill="1" applyBorder="1" applyAlignment="1">
      <alignment horizontal="center" vertical="center" wrapText="1"/>
    </xf>
    <xf numFmtId="0" fontId="3" fillId="17" borderId="77" xfId="0" applyFont="1" applyFill="1" applyBorder="1" applyAlignment="1">
      <alignment horizontal="center" vertical="center" wrapText="1"/>
    </xf>
    <xf numFmtId="0" fontId="3" fillId="17" borderId="78" xfId="0" applyFont="1" applyFill="1" applyBorder="1" applyAlignment="1">
      <alignment horizontal="center" vertical="center" wrapText="1"/>
    </xf>
    <xf numFmtId="0" fontId="34" fillId="16" borderId="79" xfId="0" applyFont="1" applyFill="1" applyBorder="1" applyAlignment="1">
      <alignment horizontal="center" vertical="center" wrapText="1"/>
    </xf>
    <xf numFmtId="0" fontId="0" fillId="0" borderId="59" xfId="0" applyBorder="1" applyAlignment="1">
      <alignment horizontal="center" vertical="center" wrapText="1"/>
    </xf>
    <xf numFmtId="0" fontId="3" fillId="0" borderId="80" xfId="0" applyFont="1" applyBorder="1" applyAlignment="1" applyProtection="1">
      <alignment horizontal="left" vertical="center"/>
      <protection locked="0"/>
    </xf>
    <xf numFmtId="0" fontId="3" fillId="0" borderId="17" xfId="0" applyFont="1" applyBorder="1" applyAlignment="1">
      <alignment horizontal="center" vertical="center"/>
    </xf>
    <xf numFmtId="0" fontId="3" fillId="0" borderId="17" xfId="0" applyFont="1" applyBorder="1" applyAlignment="1" applyProtection="1">
      <alignment horizontal="left" vertical="center"/>
      <protection locked="0"/>
    </xf>
    <xf numFmtId="0" fontId="0" fillId="0" borderId="0" xfId="0" applyAlignment="1">
      <alignment horizontal="center" vertical="center"/>
    </xf>
    <xf numFmtId="0" fontId="3" fillId="0" borderId="0" xfId="0" applyFont="1" applyAlignment="1">
      <alignment horizontal="center" vertical="center" wrapText="1"/>
    </xf>
    <xf numFmtId="0" fontId="30" fillId="5" borderId="81" xfId="0" applyFont="1" applyFill="1" applyBorder="1" applyAlignment="1">
      <alignment horizontal="center"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0" fontId="3" fillId="0" borderId="80" xfId="0" applyFont="1" applyBorder="1" applyAlignment="1">
      <alignment vertical="center"/>
    </xf>
    <xf numFmtId="0" fontId="3" fillId="0" borderId="17" xfId="0" applyFont="1" applyBorder="1" applyAlignment="1">
      <alignment vertical="center"/>
    </xf>
    <xf numFmtId="0" fontId="3" fillId="0" borderId="80" xfId="0" applyFont="1" applyBorder="1" applyAlignment="1" applyProtection="1">
      <alignment vertical="center"/>
      <protection locked="0"/>
    </xf>
    <xf numFmtId="0" fontId="3" fillId="0" borderId="17" xfId="0" applyFont="1" applyBorder="1" applyAlignment="1" applyProtection="1">
      <alignment vertical="center"/>
      <protection locked="0"/>
    </xf>
    <xf numFmtId="0" fontId="3" fillId="0" borderId="80" xfId="0" applyFont="1" applyBorder="1" applyAlignment="1">
      <alignment vertical="center" wrapText="1"/>
    </xf>
    <xf numFmtId="0" fontId="3" fillId="0" borderId="17" xfId="0" applyFont="1" applyBorder="1" applyAlignment="1">
      <alignment vertical="center" wrapText="1"/>
    </xf>
    <xf numFmtId="0" fontId="3" fillId="0" borderId="80" xfId="0" applyFont="1" applyBorder="1" applyAlignment="1" applyProtection="1">
      <alignment vertical="center" wrapText="1"/>
      <protection locked="0"/>
    </xf>
    <xf numFmtId="0" fontId="3" fillId="0" borderId="17" xfId="0" applyFont="1" applyBorder="1" applyAlignment="1" applyProtection="1">
      <alignment vertical="center" wrapText="1"/>
      <protection locked="0"/>
    </xf>
    <xf numFmtId="165" fontId="3" fillId="0" borderId="0" xfId="0" applyNumberFormat="1" applyFont="1" applyAlignment="1">
      <alignment horizontal="center" vertical="center"/>
    </xf>
    <xf numFmtId="165" fontId="3" fillId="0" borderId="0" xfId="0" applyNumberFormat="1" applyFont="1" applyAlignment="1">
      <alignment horizontal="center" vertical="center" wrapText="1"/>
    </xf>
    <xf numFmtId="0" fontId="30" fillId="5" borderId="0" xfId="0" applyFont="1" applyFill="1" applyAlignment="1">
      <alignment horizontal="center" vertical="center"/>
    </xf>
    <xf numFmtId="0" fontId="3" fillId="0" borderId="80" xfId="0" applyFont="1" applyBorder="1" applyAlignment="1">
      <alignment horizontal="center" vertical="center"/>
    </xf>
    <xf numFmtId="0" fontId="3" fillId="0" borderId="80"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19" fillId="8" borderId="82" xfId="0" applyFont="1" applyFill="1" applyBorder="1" applyAlignment="1" applyProtection="1">
      <alignment horizontal="center" vertical="center"/>
      <protection locked="0"/>
    </xf>
    <xf numFmtId="0" fontId="3" fillId="8" borderId="82" xfId="0" applyFont="1" applyFill="1" applyBorder="1" applyAlignment="1" applyProtection="1">
      <alignment horizontal="center" vertical="center"/>
      <protection locked="0"/>
    </xf>
    <xf numFmtId="0" fontId="3" fillId="0" borderId="82" xfId="0" applyFont="1" applyBorder="1" applyAlignment="1" applyProtection="1">
      <alignment horizontal="center" vertical="center" wrapText="1"/>
      <protection locked="0"/>
    </xf>
    <xf numFmtId="172" fontId="3" fillId="5" borderId="82" xfId="0" applyNumberFormat="1" applyFont="1" applyFill="1" applyBorder="1" applyAlignment="1" applyProtection="1">
      <alignment horizontal="center" vertical="center"/>
      <protection locked="0"/>
    </xf>
    <xf numFmtId="0" fontId="3" fillId="0" borderId="83" xfId="0" applyFont="1" applyBorder="1" applyAlignment="1" applyProtection="1">
      <alignment horizontal="left" vertical="center" wrapText="1" indent="1"/>
      <protection locked="0"/>
    </xf>
    <xf numFmtId="165" fontId="3" fillId="5" borderId="18" xfId="0" applyNumberFormat="1" applyFont="1" applyFill="1" applyBorder="1" applyAlignment="1" applyProtection="1">
      <alignment vertical="center"/>
      <protection locked="0"/>
    </xf>
    <xf numFmtId="49" fontId="3" fillId="8" borderId="84" xfId="0" applyNumberFormat="1" applyFont="1" applyFill="1" applyBorder="1" applyAlignment="1" applyProtection="1">
      <alignment horizontal="left" vertical="top" wrapText="1" indent="1"/>
      <protection locked="0"/>
    </xf>
    <xf numFmtId="0" fontId="3" fillId="7" borderId="85" xfId="0" applyFont="1" applyFill="1" applyBorder="1" applyAlignment="1" applyProtection="1">
      <alignment horizontal="center" vertical="center" wrapText="1"/>
      <protection locked="0"/>
    </xf>
    <xf numFmtId="165" fontId="37" fillId="20" borderId="86" xfId="0" applyNumberFormat="1" applyFont="1" applyFill="1" applyBorder="1" applyAlignment="1">
      <alignment vertical="center"/>
    </xf>
    <xf numFmtId="165" fontId="3" fillId="24" borderId="87" xfId="0" applyNumberFormat="1" applyFont="1" applyFill="1" applyBorder="1" applyAlignment="1" applyProtection="1">
      <alignment vertical="center" wrapText="1"/>
      <protection locked="0"/>
    </xf>
    <xf numFmtId="165" fontId="3" fillId="24" borderId="82" xfId="0" applyNumberFormat="1" applyFont="1" applyFill="1" applyBorder="1" applyAlignment="1" applyProtection="1">
      <alignment vertical="center"/>
      <protection locked="0"/>
    </xf>
    <xf numFmtId="1" fontId="3" fillId="5" borderId="88" xfId="0" applyNumberFormat="1" applyFont="1" applyFill="1" applyBorder="1" applyAlignment="1">
      <alignment horizontal="center" vertical="center"/>
    </xf>
    <xf numFmtId="1" fontId="3" fillId="7" borderId="89" xfId="0" applyNumberFormat="1" applyFont="1" applyFill="1" applyBorder="1" applyAlignment="1">
      <alignment horizontal="center" vertical="center"/>
    </xf>
    <xf numFmtId="165" fontId="3" fillId="25" borderId="90" xfId="0" applyNumberFormat="1" applyFont="1" applyFill="1" applyBorder="1" applyAlignment="1" applyProtection="1">
      <alignment horizontal="center" vertical="center"/>
      <protection locked="0"/>
    </xf>
    <xf numFmtId="165" fontId="3" fillId="5" borderId="84" xfId="0" applyNumberFormat="1" applyFont="1" applyFill="1" applyBorder="1" applyAlignment="1" applyProtection="1">
      <alignment vertical="center"/>
      <protection locked="0"/>
    </xf>
    <xf numFmtId="165" fontId="3" fillId="5" borderId="82" xfId="0" applyNumberFormat="1" applyFont="1" applyFill="1" applyBorder="1" applyAlignment="1" applyProtection="1">
      <alignment vertical="center"/>
      <protection locked="0"/>
    </xf>
    <xf numFmtId="165" fontId="3" fillId="26" borderId="82" xfId="0" applyNumberFormat="1" applyFont="1" applyFill="1" applyBorder="1" applyAlignment="1">
      <alignment vertical="center"/>
    </xf>
    <xf numFmtId="165" fontId="3" fillId="5" borderId="91" xfId="0" applyNumberFormat="1" applyFont="1" applyFill="1" applyBorder="1" applyAlignment="1" applyProtection="1">
      <alignment vertical="center"/>
      <protection locked="0"/>
    </xf>
    <xf numFmtId="165" fontId="3" fillId="5" borderId="92" xfId="0" applyNumberFormat="1" applyFont="1" applyFill="1" applyBorder="1" applyAlignment="1" applyProtection="1">
      <alignment vertical="center"/>
      <protection locked="0"/>
    </xf>
    <xf numFmtId="165" fontId="3" fillId="5" borderId="87" xfId="0" applyNumberFormat="1" applyFont="1" applyFill="1" applyBorder="1" applyAlignment="1" applyProtection="1">
      <alignment vertical="center"/>
      <protection locked="0"/>
    </xf>
    <xf numFmtId="165" fontId="3" fillId="5" borderId="93" xfId="0" applyNumberFormat="1" applyFont="1" applyFill="1" applyBorder="1" applyAlignment="1" applyProtection="1">
      <alignment vertical="center"/>
      <protection locked="0"/>
    </xf>
    <xf numFmtId="165" fontId="3" fillId="5" borderId="94" xfId="0" applyNumberFormat="1" applyFont="1" applyFill="1" applyBorder="1" applyAlignment="1" applyProtection="1">
      <alignment vertical="center"/>
      <protection locked="0"/>
    </xf>
    <xf numFmtId="165" fontId="3" fillId="0" borderId="87" xfId="0" applyNumberFormat="1" applyFont="1" applyBorder="1" applyAlignment="1" applyProtection="1">
      <alignment vertical="center"/>
      <protection locked="0"/>
    </xf>
    <xf numFmtId="165" fontId="3" fillId="5" borderId="95" xfId="0" applyNumberFormat="1" applyFont="1" applyFill="1" applyBorder="1" applyAlignment="1" applyProtection="1">
      <alignment vertical="center"/>
      <protection locked="0"/>
    </xf>
    <xf numFmtId="165" fontId="3" fillId="5" borderId="96" xfId="0" applyNumberFormat="1" applyFont="1" applyFill="1" applyBorder="1" applyAlignment="1" applyProtection="1">
      <alignment vertical="center"/>
      <protection locked="0"/>
    </xf>
    <xf numFmtId="165" fontId="3" fillId="26" borderId="97" xfId="0" applyNumberFormat="1" applyFont="1" applyFill="1" applyBorder="1" applyAlignment="1" applyProtection="1">
      <alignment vertical="center"/>
      <protection locked="0"/>
    </xf>
    <xf numFmtId="164" fontId="0" fillId="0" borderId="0" xfId="0" applyNumberFormat="1" applyAlignment="1">
      <alignment vertical="center"/>
    </xf>
    <xf numFmtId="0" fontId="19" fillId="8" borderId="7" xfId="0" applyFont="1" applyFill="1" applyBorder="1" applyAlignment="1" applyProtection="1">
      <alignment horizontal="center" vertical="center"/>
      <protection locked="0"/>
    </xf>
    <xf numFmtId="0" fontId="3" fillId="8" borderId="98" xfId="0" applyFont="1" applyFill="1" applyBorder="1" applyAlignment="1" applyProtection="1">
      <alignment horizontal="center" vertical="center"/>
      <protection locked="0"/>
    </xf>
    <xf numFmtId="0" fontId="3" fillId="0" borderId="98" xfId="0" applyFont="1" applyBorder="1" applyAlignment="1" applyProtection="1">
      <alignment horizontal="center" vertical="center" wrapText="1"/>
      <protection locked="0"/>
    </xf>
    <xf numFmtId="172" fontId="3" fillId="5" borderId="7" xfId="0" applyNumberFormat="1" applyFont="1" applyFill="1" applyBorder="1" applyAlignment="1" applyProtection="1">
      <alignment horizontal="center" vertical="center"/>
      <protection locked="0"/>
    </xf>
    <xf numFmtId="0" fontId="3" fillId="0" borderId="35" xfId="0" applyFont="1" applyBorder="1" applyAlignment="1" applyProtection="1">
      <alignment horizontal="left" vertical="center" wrapText="1" indent="1"/>
      <protection locked="0"/>
    </xf>
    <xf numFmtId="165" fontId="3" fillId="5" borderId="9" xfId="0" applyNumberFormat="1" applyFont="1" applyFill="1" applyBorder="1" applyAlignment="1" applyProtection="1">
      <alignment vertical="center"/>
      <protection locked="0"/>
    </xf>
    <xf numFmtId="49" fontId="3" fillId="8" borderId="22" xfId="0" applyNumberFormat="1" applyFont="1" applyFill="1" applyBorder="1" applyAlignment="1" applyProtection="1">
      <alignment horizontal="left" vertical="top" wrapText="1" indent="1"/>
      <protection locked="0"/>
    </xf>
    <xf numFmtId="165" fontId="37" fillId="20" borderId="99" xfId="0" applyNumberFormat="1" applyFont="1" applyFill="1" applyBorder="1" applyAlignment="1">
      <alignment vertical="center"/>
    </xf>
    <xf numFmtId="165" fontId="3" fillId="24" borderId="100" xfId="0" applyNumberFormat="1" applyFont="1" applyFill="1" applyBorder="1" applyAlignment="1" applyProtection="1">
      <alignment vertical="center"/>
      <protection locked="0"/>
    </xf>
    <xf numFmtId="165" fontId="3" fillId="24" borderId="7" xfId="0" applyNumberFormat="1" applyFont="1" applyFill="1" applyBorder="1" applyAlignment="1" applyProtection="1">
      <alignment vertical="center"/>
      <protection locked="0"/>
    </xf>
    <xf numFmtId="165" fontId="3" fillId="25" borderId="101" xfId="0" applyNumberFormat="1" applyFont="1" applyFill="1" applyBorder="1" applyAlignment="1" applyProtection="1">
      <alignment horizontal="center" vertical="center"/>
      <protection locked="0"/>
    </xf>
    <xf numFmtId="165" fontId="3" fillId="5" borderId="22" xfId="0" applyNumberFormat="1" applyFont="1" applyFill="1" applyBorder="1" applyAlignment="1" applyProtection="1">
      <alignment vertical="center"/>
      <protection locked="0"/>
    </xf>
    <xf numFmtId="165" fontId="3" fillId="5" borderId="7" xfId="0" applyNumberFormat="1" applyFont="1" applyFill="1" applyBorder="1" applyAlignment="1" applyProtection="1">
      <alignment vertical="center"/>
      <protection locked="0"/>
    </xf>
    <xf numFmtId="165" fontId="3" fillId="26" borderId="7" xfId="0" applyNumberFormat="1" applyFont="1" applyFill="1" applyBorder="1" applyAlignment="1">
      <alignment vertical="center"/>
    </xf>
    <xf numFmtId="165" fontId="3" fillId="5" borderId="21" xfId="0" applyNumberFormat="1" applyFont="1" applyFill="1" applyBorder="1" applyAlignment="1" applyProtection="1">
      <alignment vertical="center"/>
      <protection locked="0"/>
    </xf>
    <xf numFmtId="165" fontId="3" fillId="5" borderId="85" xfId="0" applyNumberFormat="1" applyFont="1" applyFill="1" applyBorder="1" applyAlignment="1" applyProtection="1">
      <alignment vertical="center"/>
      <protection locked="0"/>
    </xf>
    <xf numFmtId="165" fontId="3" fillId="5" borderId="100" xfId="0" applyNumberFormat="1" applyFont="1" applyFill="1" applyBorder="1" applyAlignment="1" applyProtection="1">
      <alignment vertical="center"/>
      <protection locked="0"/>
    </xf>
    <xf numFmtId="165" fontId="3" fillId="5" borderId="7" xfId="0" applyNumberFormat="1" applyFont="1" applyFill="1" applyBorder="1" applyAlignment="1" applyProtection="1">
      <alignment horizontal="center" vertical="center"/>
      <protection locked="0"/>
    </xf>
    <xf numFmtId="165" fontId="3" fillId="5" borderId="85" xfId="0" applyNumberFormat="1" applyFont="1" applyFill="1" applyBorder="1" applyAlignment="1" applyProtection="1">
      <alignment horizontal="center" vertical="center"/>
      <protection locked="0"/>
    </xf>
    <xf numFmtId="165" fontId="3" fillId="0" borderId="100" xfId="0" applyNumberFormat="1" applyFont="1" applyBorder="1" applyAlignment="1" applyProtection="1">
      <alignment vertical="center"/>
      <protection locked="0"/>
    </xf>
    <xf numFmtId="165" fontId="3" fillId="5" borderId="102" xfId="0" applyNumberFormat="1" applyFont="1" applyFill="1" applyBorder="1" applyAlignment="1" applyProtection="1">
      <alignment vertical="center"/>
      <protection locked="0"/>
    </xf>
    <xf numFmtId="165" fontId="3" fillId="5" borderId="103" xfId="0" applyNumberFormat="1" applyFont="1" applyFill="1" applyBorder="1" applyAlignment="1" applyProtection="1">
      <alignment vertical="center"/>
      <protection locked="0"/>
    </xf>
    <xf numFmtId="165" fontId="3" fillId="26" borderId="99" xfId="0" applyNumberFormat="1" applyFont="1" applyFill="1" applyBorder="1" applyAlignment="1" applyProtection="1">
      <alignment vertical="center"/>
      <protection locked="0"/>
    </xf>
    <xf numFmtId="0" fontId="3" fillId="0" borderId="21" xfId="0" applyFont="1" applyBorder="1" applyAlignment="1" applyProtection="1">
      <alignment horizontal="left" vertical="center" wrapText="1" indent="1"/>
      <protection locked="0"/>
    </xf>
    <xf numFmtId="165" fontId="3" fillId="5" borderId="7" xfId="0" applyNumberFormat="1" applyFont="1" applyFill="1" applyBorder="1" applyAlignment="1" applyProtection="1">
      <alignment horizontal="right" vertical="center"/>
      <protection locked="0"/>
    </xf>
    <xf numFmtId="165" fontId="3" fillId="24" borderId="7" xfId="0" applyNumberFormat="1" applyFont="1" applyFill="1" applyBorder="1" applyAlignment="1" applyProtection="1">
      <alignment horizontal="right" vertical="center"/>
      <protection locked="0"/>
    </xf>
    <xf numFmtId="0" fontId="3" fillId="5" borderId="21" xfId="0" applyFont="1" applyFill="1" applyBorder="1" applyAlignment="1" applyProtection="1">
      <alignment horizontal="left" vertical="center" wrapText="1" indent="1"/>
      <protection locked="0"/>
    </xf>
    <xf numFmtId="0" fontId="0" fillId="0" borderId="21" xfId="0" applyBorder="1" applyAlignment="1" applyProtection="1">
      <alignment horizontal="left" vertical="center" wrapText="1" indent="1"/>
      <protection locked="0"/>
    </xf>
    <xf numFmtId="165" fontId="3" fillId="24" borderId="100" xfId="0" applyNumberFormat="1" applyFont="1" applyFill="1" applyBorder="1" applyAlignment="1" applyProtection="1">
      <alignment horizontal="right" vertical="center" indent="1"/>
      <protection locked="0"/>
    </xf>
    <xf numFmtId="0" fontId="3" fillId="8" borderId="7" xfId="0" applyFont="1" applyFill="1" applyBorder="1" applyAlignment="1" applyProtection="1">
      <alignment horizontal="center" vertical="center"/>
      <protection locked="0"/>
    </xf>
    <xf numFmtId="165" fontId="3" fillId="5" borderId="22" xfId="0" applyNumberFormat="1" applyFont="1" applyFill="1" applyBorder="1" applyAlignment="1" applyProtection="1">
      <alignment horizontal="center" vertical="center"/>
      <protection locked="0"/>
    </xf>
    <xf numFmtId="165" fontId="3" fillId="5" borderId="21" xfId="0" applyNumberFormat="1" applyFont="1" applyFill="1" applyBorder="1" applyAlignment="1" applyProtection="1">
      <alignment horizontal="center" vertical="center"/>
      <protection locked="0"/>
    </xf>
    <xf numFmtId="165" fontId="3" fillId="5" borderId="100" xfId="0" applyNumberFormat="1" applyFont="1" applyFill="1" applyBorder="1" applyAlignment="1" applyProtection="1">
      <alignment horizontal="center" vertical="center"/>
      <protection locked="0"/>
    </xf>
    <xf numFmtId="165" fontId="3" fillId="5" borderId="102" xfId="0" applyNumberFormat="1" applyFont="1" applyFill="1" applyBorder="1" applyAlignment="1" applyProtection="1">
      <alignment horizontal="center" vertical="center"/>
      <protection locked="0"/>
    </xf>
    <xf numFmtId="165" fontId="3" fillId="5" borderId="103" xfId="0" applyNumberFormat="1" applyFont="1" applyFill="1" applyBorder="1" applyAlignment="1" applyProtection="1">
      <alignment horizontal="center" vertical="center"/>
      <protection locked="0"/>
    </xf>
    <xf numFmtId="165" fontId="3" fillId="0" borderId="22"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center" vertical="center"/>
      <protection locked="0"/>
    </xf>
    <xf numFmtId="165" fontId="3" fillId="0" borderId="21" xfId="0" applyNumberFormat="1" applyFont="1" applyBorder="1" applyAlignment="1" applyProtection="1">
      <alignment horizontal="center" vertical="center"/>
      <protection locked="0"/>
    </xf>
    <xf numFmtId="165" fontId="3" fillId="0" borderId="85" xfId="0" applyNumberFormat="1" applyFont="1" applyBorder="1" applyAlignment="1" applyProtection="1">
      <alignment horizontal="center" vertical="center"/>
      <protection locked="0"/>
    </xf>
    <xf numFmtId="165" fontId="3" fillId="0" borderId="100"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right" vertical="center"/>
      <protection locked="0"/>
    </xf>
    <xf numFmtId="165" fontId="3" fillId="0" borderId="102" xfId="0" applyNumberFormat="1" applyFont="1" applyBorder="1" applyAlignment="1" applyProtection="1">
      <alignment horizontal="center" vertical="center"/>
      <protection locked="0"/>
    </xf>
    <xf numFmtId="165" fontId="3" fillId="0" borderId="103" xfId="0" applyNumberFormat="1" applyFont="1" applyBorder="1" applyAlignment="1" applyProtection="1">
      <alignment horizontal="center" vertical="center"/>
      <protection locked="0"/>
    </xf>
    <xf numFmtId="165" fontId="3" fillId="0" borderId="22" xfId="0" applyNumberFormat="1" applyFont="1" applyBorder="1" applyAlignment="1" applyProtection="1">
      <alignment vertical="center"/>
      <protection locked="0"/>
    </xf>
    <xf numFmtId="165" fontId="3" fillId="0" borderId="7" xfId="0" applyNumberFormat="1" applyFont="1" applyBorder="1" applyAlignment="1" applyProtection="1">
      <alignment vertical="center"/>
      <protection locked="0"/>
    </xf>
    <xf numFmtId="165" fontId="3" fillId="0" borderId="21" xfId="0" applyNumberFormat="1" applyFont="1" applyBorder="1" applyAlignment="1" applyProtection="1">
      <alignment vertical="center"/>
      <protection locked="0"/>
    </xf>
    <xf numFmtId="165" fontId="3" fillId="0" borderId="85" xfId="0" applyNumberFormat="1" applyFont="1" applyBorder="1" applyAlignment="1" applyProtection="1">
      <alignment vertical="center"/>
      <protection locked="0"/>
    </xf>
    <xf numFmtId="165" fontId="3" fillId="0" borderId="102" xfId="0" applyNumberFormat="1" applyFont="1" applyBorder="1" applyAlignment="1" applyProtection="1">
      <alignment vertical="center"/>
      <protection locked="0"/>
    </xf>
    <xf numFmtId="165" fontId="3" fillId="0" borderId="103" xfId="0" applyNumberFormat="1" applyFont="1" applyBorder="1" applyAlignment="1" applyProtection="1">
      <alignment vertical="center"/>
      <protection locked="0"/>
    </xf>
    <xf numFmtId="165" fontId="3" fillId="24" borderId="98" xfId="0" applyNumberFormat="1" applyFont="1" applyFill="1" applyBorder="1" applyAlignment="1" applyProtection="1">
      <alignment vertical="center"/>
      <protection locked="0"/>
    </xf>
    <xf numFmtId="165" fontId="3" fillId="0" borderId="104" xfId="0" applyNumberFormat="1" applyFont="1" applyBorder="1" applyAlignment="1" applyProtection="1">
      <alignment vertical="center"/>
      <protection locked="0"/>
    </xf>
    <xf numFmtId="165" fontId="3" fillId="0" borderId="98" xfId="0" applyNumberFormat="1" applyFont="1" applyBorder="1" applyAlignment="1" applyProtection="1">
      <alignment vertical="center"/>
      <protection locked="0"/>
    </xf>
    <xf numFmtId="165" fontId="3" fillId="0" borderId="105" xfId="0" applyNumberFormat="1" applyFont="1" applyBorder="1" applyAlignment="1" applyProtection="1">
      <alignment vertical="center"/>
      <protection locked="0"/>
    </xf>
    <xf numFmtId="165" fontId="3" fillId="0" borderId="106" xfId="0" applyNumberFormat="1" applyFont="1" applyBorder="1" applyAlignment="1" applyProtection="1">
      <alignment vertical="center"/>
      <protection locked="0"/>
    </xf>
    <xf numFmtId="165" fontId="3" fillId="0" borderId="107" xfId="0" applyNumberFormat="1" applyFont="1" applyBorder="1" applyAlignment="1" applyProtection="1">
      <alignment vertical="center"/>
      <protection locked="0"/>
    </xf>
    <xf numFmtId="165" fontId="3" fillId="0" borderId="108" xfId="0" applyNumberFormat="1" applyFont="1" applyBorder="1" applyAlignment="1" applyProtection="1">
      <alignment vertical="center"/>
      <protection locked="0"/>
    </xf>
    <xf numFmtId="165" fontId="3" fillId="0" borderId="109" xfId="0" applyNumberFormat="1" applyFont="1" applyBorder="1" applyAlignment="1" applyProtection="1">
      <alignment vertical="center"/>
      <protection locked="0"/>
    </xf>
    <xf numFmtId="165" fontId="3" fillId="0" borderId="110" xfId="0" applyNumberFormat="1" applyFont="1" applyBorder="1" applyAlignment="1" applyProtection="1">
      <alignment vertical="center"/>
      <protection locked="0"/>
    </xf>
    <xf numFmtId="165" fontId="3" fillId="26" borderId="111" xfId="0" applyNumberFormat="1" applyFont="1" applyFill="1" applyBorder="1" applyAlignment="1" applyProtection="1">
      <alignment vertical="center"/>
      <protection locked="0"/>
    </xf>
    <xf numFmtId="165" fontId="3" fillId="0" borderId="99" xfId="0" applyNumberFormat="1" applyFont="1" applyBorder="1" applyAlignment="1" applyProtection="1">
      <alignment vertical="center"/>
      <protection locked="0"/>
    </xf>
    <xf numFmtId="165" fontId="3" fillId="0" borderId="112" xfId="0" applyNumberFormat="1" applyFont="1" applyBorder="1" applyAlignment="1" applyProtection="1">
      <alignment vertical="center"/>
      <protection locked="0"/>
    </xf>
    <xf numFmtId="165" fontId="3" fillId="26" borderId="113" xfId="0" applyNumberFormat="1" applyFont="1" applyFill="1" applyBorder="1" applyAlignment="1" applyProtection="1">
      <alignment vertical="center"/>
      <protection locked="0"/>
    </xf>
    <xf numFmtId="165" fontId="3" fillId="24" borderId="107" xfId="0" applyNumberFormat="1" applyFont="1" applyFill="1" applyBorder="1" applyAlignment="1" applyProtection="1">
      <alignment vertical="center"/>
      <protection locked="0"/>
    </xf>
    <xf numFmtId="165" fontId="3" fillId="0" borderId="111" xfId="0" applyNumberFormat="1" applyFont="1" applyBorder="1" applyAlignment="1" applyProtection="1">
      <alignment vertical="center"/>
      <protection locked="0"/>
    </xf>
    <xf numFmtId="165" fontId="3" fillId="26" borderId="114" xfId="0" applyNumberFormat="1" applyFont="1" applyFill="1" applyBorder="1" applyAlignment="1" applyProtection="1">
      <alignment vertical="center"/>
      <protection locked="0"/>
    </xf>
    <xf numFmtId="0" fontId="3" fillId="8" borderId="98" xfId="0" applyFont="1" applyFill="1" applyBorder="1" applyAlignment="1" applyProtection="1">
      <alignment horizontal="left" vertical="top" wrapText="1"/>
      <protection locked="0"/>
    </xf>
    <xf numFmtId="0" fontId="3" fillId="7" borderId="115" xfId="0" applyFont="1" applyFill="1" applyBorder="1" applyAlignment="1" applyProtection="1">
      <alignment horizontal="center" vertical="center" wrapText="1"/>
      <protection locked="0"/>
    </xf>
    <xf numFmtId="165" fontId="3" fillId="10" borderId="46" xfId="0" applyNumberFormat="1" applyFont="1" applyFill="1" applyBorder="1" applyAlignment="1">
      <alignment vertical="center"/>
    </xf>
    <xf numFmtId="0" fontId="3" fillId="16" borderId="117" xfId="0" applyFont="1" applyFill="1" applyBorder="1" applyAlignment="1">
      <alignment vertical="center" wrapText="1"/>
    </xf>
    <xf numFmtId="165" fontId="3" fillId="21" borderId="118" xfId="0" applyNumberFormat="1" applyFont="1" applyFill="1" applyBorder="1" applyAlignment="1">
      <alignment vertical="center" wrapText="1"/>
    </xf>
    <xf numFmtId="165" fontId="37" fillId="20" borderId="119" xfId="0" applyNumberFormat="1" applyFont="1" applyFill="1" applyBorder="1" applyAlignment="1">
      <alignment vertical="center"/>
    </xf>
    <xf numFmtId="165" fontId="3" fillId="24" borderId="118" xfId="0" applyNumberFormat="1" applyFont="1" applyFill="1" applyBorder="1" applyAlignment="1">
      <alignment vertical="center"/>
    </xf>
    <xf numFmtId="165" fontId="3" fillId="16" borderId="120" xfId="0" applyNumberFormat="1" applyFont="1" applyFill="1" applyBorder="1" applyAlignment="1">
      <alignment vertical="center"/>
    </xf>
    <xf numFmtId="165" fontId="3" fillId="16" borderId="121" xfId="0" applyNumberFormat="1" applyFont="1" applyFill="1" applyBorder="1" applyAlignment="1">
      <alignment vertical="center"/>
    </xf>
    <xf numFmtId="165" fontId="3" fillId="25" borderId="118" xfId="0" applyNumberFormat="1" applyFont="1" applyFill="1" applyBorder="1" applyAlignment="1">
      <alignment vertical="center"/>
    </xf>
    <xf numFmtId="165" fontId="3" fillId="10" borderId="117" xfId="0" applyNumberFormat="1" applyFont="1" applyFill="1" applyBorder="1" applyAlignment="1">
      <alignment vertical="center"/>
    </xf>
    <xf numFmtId="165" fontId="3" fillId="10" borderId="118" xfId="0" applyNumberFormat="1" applyFont="1" applyFill="1" applyBorder="1" applyAlignment="1">
      <alignment vertical="center"/>
    </xf>
    <xf numFmtId="165" fontId="3" fillId="10" borderId="116" xfId="0" applyNumberFormat="1" applyFont="1" applyFill="1" applyBorder="1" applyAlignment="1">
      <alignment vertical="center"/>
    </xf>
    <xf numFmtId="165" fontId="3" fillId="10" borderId="122" xfId="0" applyNumberFormat="1" applyFont="1" applyFill="1" applyBorder="1" applyAlignment="1">
      <alignment vertical="center"/>
    </xf>
    <xf numFmtId="165" fontId="19" fillId="0" borderId="0" xfId="0" applyNumberFormat="1" applyFont="1" applyAlignment="1">
      <alignment horizontal="center" vertical="center"/>
    </xf>
    <xf numFmtId="173" fontId="19" fillId="0" borderId="0" xfId="0" applyNumberFormat="1" applyFont="1" applyAlignment="1">
      <alignment horizontal="center" vertical="center"/>
    </xf>
    <xf numFmtId="173" fontId="19" fillId="0" borderId="0" xfId="0" applyNumberFormat="1" applyFont="1" applyAlignment="1">
      <alignment horizontal="center" vertical="center" wrapText="1"/>
    </xf>
    <xf numFmtId="166" fontId="3" fillId="0" borderId="0" xfId="0" applyNumberFormat="1" applyFont="1" applyAlignment="1">
      <alignment vertical="center"/>
    </xf>
    <xf numFmtId="0" fontId="3" fillId="0" borderId="123" xfId="0" applyFont="1" applyBorder="1" applyAlignment="1">
      <alignment vertical="center"/>
    </xf>
    <xf numFmtId="165" fontId="3" fillId="10" borderId="7" xfId="0" applyNumberFormat="1" applyFont="1" applyFill="1" applyBorder="1" applyAlignment="1">
      <alignment vertical="center"/>
    </xf>
    <xf numFmtId="173" fontId="3" fillId="0" borderId="0" xfId="0" applyNumberFormat="1" applyFont="1" applyAlignment="1">
      <alignment vertical="center"/>
    </xf>
    <xf numFmtId="173" fontId="3" fillId="0" borderId="0" xfId="0" applyNumberFormat="1" applyFont="1" applyAlignment="1">
      <alignment vertical="center" wrapText="1"/>
    </xf>
    <xf numFmtId="173" fontId="13" fillId="0" borderId="0" xfId="0" applyNumberFormat="1" applyFont="1" applyAlignment="1">
      <alignment vertical="center" wrapText="1"/>
    </xf>
    <xf numFmtId="49" fontId="30" fillId="0" borderId="0" xfId="0" applyNumberFormat="1" applyFont="1" applyAlignment="1">
      <alignment horizontal="center" vertical="center"/>
    </xf>
    <xf numFmtId="2" fontId="3" fillId="0" borderId="0" xfId="0" applyNumberFormat="1" applyFont="1" applyAlignment="1">
      <alignment vertical="center" wrapText="1"/>
    </xf>
    <xf numFmtId="165" fontId="3" fillId="14" borderId="7" xfId="0" applyNumberFormat="1" applyFont="1" applyFill="1" applyBorder="1" applyAlignment="1">
      <alignment vertical="center"/>
    </xf>
    <xf numFmtId="165" fontId="3" fillId="14" borderId="7" xfId="0" applyNumberFormat="1" applyFont="1" applyFill="1" applyBorder="1" applyAlignment="1">
      <alignment vertical="center" wrapText="1"/>
    </xf>
    <xf numFmtId="164" fontId="3" fillId="0" borderId="0" xfId="0" applyNumberFormat="1" applyFont="1" applyAlignment="1">
      <alignment vertical="center" wrapText="1"/>
    </xf>
    <xf numFmtId="0" fontId="19" fillId="0" borderId="15" xfId="0" applyFont="1" applyBorder="1" applyAlignment="1">
      <alignment horizontal="center" vertical="center"/>
    </xf>
    <xf numFmtId="0" fontId="19" fillId="0" borderId="17" xfId="0" applyFont="1" applyBorder="1" applyAlignment="1">
      <alignment horizontal="center" vertical="center"/>
    </xf>
    <xf numFmtId="0" fontId="19" fillId="0" borderId="12" xfId="0" applyFont="1" applyBorder="1" applyAlignment="1">
      <alignment horizontal="center" vertical="center"/>
    </xf>
    <xf numFmtId="0" fontId="19" fillId="0" borderId="0" xfId="0" applyFont="1" applyAlignment="1">
      <alignment horizontal="left" vertical="center"/>
    </xf>
    <xf numFmtId="0" fontId="4" fillId="2" borderId="0" xfId="0" applyFont="1" applyFill="1"/>
    <xf numFmtId="0" fontId="5" fillId="0" borderId="0" xfId="0" applyFont="1" applyAlignment="1">
      <alignment vertical="center" wrapText="1"/>
    </xf>
    <xf numFmtId="0" fontId="5" fillId="3" borderId="0" xfId="0" applyFont="1" applyFill="1" applyAlignment="1">
      <alignment vertical="center" wrapText="1"/>
    </xf>
    <xf numFmtId="49" fontId="5" fillId="0" borderId="0" xfId="0" applyNumberFormat="1" applyFont="1" applyAlignment="1">
      <alignment vertical="center"/>
    </xf>
    <xf numFmtId="164" fontId="6" fillId="0" borderId="45" xfId="0" applyNumberFormat="1" applyFont="1" applyBorder="1" applyAlignment="1">
      <alignment vertical="center"/>
    </xf>
    <xf numFmtId="0" fontId="0" fillId="0" borderId="45" xfId="0" applyBorder="1" applyAlignment="1">
      <alignment vertical="center"/>
    </xf>
    <xf numFmtId="0" fontId="19" fillId="0" borderId="45" xfId="0" applyFont="1" applyBorder="1" applyAlignment="1">
      <alignment vertical="center"/>
    </xf>
    <xf numFmtId="0" fontId="19" fillId="0" borderId="0" xfId="0" applyFont="1" applyAlignment="1">
      <alignment vertical="center"/>
    </xf>
    <xf numFmtId="164" fontId="19" fillId="0" borderId="0" xfId="0" applyNumberFormat="1" applyFont="1" applyAlignment="1">
      <alignment horizontal="center" vertical="center"/>
    </xf>
    <xf numFmtId="0" fontId="34" fillId="0" borderId="0" xfId="0" applyFont="1" applyAlignment="1">
      <alignment vertical="center" wrapText="1"/>
    </xf>
    <xf numFmtId="1" fontId="32" fillId="0" borderId="0" xfId="0" applyNumberFormat="1" applyFont="1" applyAlignment="1">
      <alignment vertical="top" wrapText="1"/>
    </xf>
    <xf numFmtId="1" fontId="32" fillId="0" borderId="0" xfId="0" applyNumberFormat="1" applyFont="1" applyAlignment="1">
      <alignment wrapText="1"/>
    </xf>
    <xf numFmtId="0" fontId="36" fillId="0" borderId="0" xfId="0" applyFont="1" applyAlignment="1">
      <alignment horizontal="center" vertical="center"/>
    </xf>
    <xf numFmtId="0" fontId="19" fillId="8" borderId="126" xfId="0" applyFont="1" applyFill="1" applyBorder="1" applyAlignment="1">
      <alignment horizontal="center" vertical="center"/>
    </xf>
    <xf numFmtId="0" fontId="19" fillId="8" borderId="19" xfId="0" applyFont="1" applyFill="1" applyBorder="1" applyAlignment="1">
      <alignment horizontal="center" vertical="center"/>
    </xf>
    <xf numFmtId="0" fontId="19" fillId="8" borderId="127" xfId="0" applyFont="1" applyFill="1" applyBorder="1" applyAlignment="1">
      <alignment horizontal="center" vertical="center"/>
    </xf>
    <xf numFmtId="0" fontId="19" fillId="8" borderId="129" xfId="0" applyFont="1" applyFill="1" applyBorder="1" applyAlignment="1">
      <alignment horizontal="center" vertical="center"/>
    </xf>
    <xf numFmtId="0" fontId="19" fillId="8" borderId="132" xfId="0" applyFont="1" applyFill="1" applyBorder="1" applyAlignment="1">
      <alignment horizontal="center" vertical="center"/>
    </xf>
    <xf numFmtId="0" fontId="34" fillId="0" borderId="0" xfId="0" applyFont="1" applyAlignment="1">
      <alignment wrapText="1"/>
    </xf>
    <xf numFmtId="1" fontId="32" fillId="0" borderId="60" xfId="0" applyNumberFormat="1" applyFont="1" applyBorder="1" applyAlignment="1">
      <alignment wrapText="1"/>
    </xf>
    <xf numFmtId="0" fontId="34" fillId="8" borderId="133" xfId="0" applyFont="1" applyFill="1" applyBorder="1" applyAlignment="1">
      <alignment horizontal="center" vertical="center"/>
    </xf>
    <xf numFmtId="0" fontId="34" fillId="8" borderId="49" xfId="0" applyFont="1" applyFill="1" applyBorder="1" applyAlignment="1">
      <alignment horizontal="center" vertical="center"/>
    </xf>
    <xf numFmtId="0" fontId="34" fillId="8" borderId="134" xfId="0" applyFont="1" applyFill="1" applyBorder="1" applyAlignment="1">
      <alignment horizontal="center" vertical="center"/>
    </xf>
    <xf numFmtId="0" fontId="34" fillId="8" borderId="51" xfId="0" applyFont="1" applyFill="1" applyBorder="1" applyAlignment="1">
      <alignment horizontal="center" vertical="center"/>
    </xf>
    <xf numFmtId="0" fontId="34" fillId="8" borderId="6" xfId="0" applyFont="1" applyFill="1" applyBorder="1" applyAlignment="1">
      <alignment horizontal="center" vertical="center"/>
    </xf>
    <xf numFmtId="49" fontId="34" fillId="8" borderId="6" xfId="0" applyNumberFormat="1" applyFont="1" applyFill="1" applyBorder="1" applyAlignment="1">
      <alignment horizontal="center" vertical="center"/>
    </xf>
    <xf numFmtId="0" fontId="34" fillId="8" borderId="135" xfId="0" applyFont="1" applyFill="1" applyBorder="1" applyAlignment="1">
      <alignment horizontal="center" vertical="center"/>
    </xf>
    <xf numFmtId="0" fontId="34" fillId="8" borderId="98" xfId="0" applyFont="1" applyFill="1" applyBorder="1" applyAlignment="1">
      <alignment horizontal="center" vertical="center"/>
    </xf>
    <xf numFmtId="0" fontId="34" fillId="8" borderId="107" xfId="0" applyFont="1" applyFill="1" applyBorder="1" applyAlignment="1">
      <alignment horizontal="center" vertical="center"/>
    </xf>
    <xf numFmtId="0" fontId="34" fillId="8" borderId="136" xfId="0" applyFont="1" applyFill="1" applyBorder="1" applyAlignment="1">
      <alignment horizontal="center" vertical="center"/>
    </xf>
    <xf numFmtId="0" fontId="34" fillId="8" borderId="137" xfId="0" applyFont="1" applyFill="1" applyBorder="1" applyAlignment="1">
      <alignment horizontal="center" vertical="center"/>
    </xf>
    <xf numFmtId="0" fontId="34" fillId="8" borderId="138" xfId="0" applyFont="1" applyFill="1" applyBorder="1" applyAlignment="1">
      <alignment horizontal="center" vertical="center"/>
    </xf>
    <xf numFmtId="0" fontId="28" fillId="19" borderId="139" xfId="0" applyFont="1" applyFill="1" applyBorder="1" applyAlignment="1">
      <alignment horizontal="center" vertical="center" textRotation="90"/>
    </xf>
    <xf numFmtId="0" fontId="28" fillId="19" borderId="139" xfId="0" applyFont="1" applyFill="1" applyBorder="1" applyAlignment="1">
      <alignment horizontal="center" vertical="center" textRotation="90" wrapText="1"/>
    </xf>
    <xf numFmtId="0" fontId="28" fillId="19" borderId="139" xfId="0" applyFont="1" applyFill="1" applyBorder="1" applyAlignment="1">
      <alignment horizontal="center" vertical="center" wrapText="1"/>
    </xf>
    <xf numFmtId="0" fontId="28" fillId="19" borderId="140" xfId="0" applyFont="1" applyFill="1" applyBorder="1" applyAlignment="1">
      <alignment horizontal="center" vertical="center" wrapText="1"/>
    </xf>
    <xf numFmtId="0" fontId="28" fillId="19" borderId="141" xfId="0" applyFont="1" applyFill="1" applyBorder="1" applyAlignment="1">
      <alignment horizontal="center" vertical="center" wrapText="1"/>
    </xf>
    <xf numFmtId="0" fontId="28" fillId="19" borderId="142" xfId="0" applyFont="1" applyFill="1" applyBorder="1" applyAlignment="1">
      <alignment horizontal="center" vertical="center" wrapText="1"/>
    </xf>
    <xf numFmtId="0" fontId="28" fillId="19" borderId="143" xfId="0" applyFont="1" applyFill="1" applyBorder="1" applyAlignment="1">
      <alignment horizontal="center" vertical="center" textRotation="90" wrapText="1"/>
    </xf>
    <xf numFmtId="0" fontId="35" fillId="20" borderId="144" xfId="0" applyFont="1" applyFill="1" applyBorder="1" applyAlignment="1">
      <alignment horizontal="center" vertical="center" wrapText="1"/>
    </xf>
    <xf numFmtId="0" fontId="3" fillId="21" borderId="143" xfId="0" applyFont="1" applyFill="1" applyBorder="1" applyAlignment="1">
      <alignment horizontal="center" vertical="center" textRotation="90" wrapText="1"/>
    </xf>
    <xf numFmtId="0" fontId="3" fillId="17" borderId="145" xfId="0" applyFont="1" applyFill="1" applyBorder="1" applyAlignment="1">
      <alignment horizontal="center" vertical="center" wrapText="1"/>
    </xf>
    <xf numFmtId="0" fontId="3" fillId="17" borderId="139" xfId="0" applyFont="1" applyFill="1" applyBorder="1" applyAlignment="1">
      <alignment horizontal="center" vertical="center" wrapText="1"/>
    </xf>
    <xf numFmtId="0" fontId="3" fillId="17" borderId="139" xfId="0" applyFont="1" applyFill="1" applyBorder="1" applyAlignment="1" applyProtection="1">
      <alignment horizontal="center" vertical="center" wrapText="1"/>
      <protection locked="0"/>
    </xf>
    <xf numFmtId="0" fontId="28" fillId="22" borderId="145" xfId="0" applyFont="1" applyFill="1" applyBorder="1" applyAlignment="1">
      <alignment horizontal="center" vertical="center" wrapText="1"/>
    </xf>
    <xf numFmtId="0" fontId="3" fillId="23" borderId="139" xfId="0" applyFont="1" applyFill="1" applyBorder="1" applyAlignment="1" applyProtection="1">
      <alignment horizontal="center" vertical="center" wrapText="1"/>
      <protection locked="0"/>
    </xf>
    <xf numFmtId="0" fontId="36" fillId="22" borderId="143" xfId="0" applyFont="1" applyFill="1" applyBorder="1" applyAlignment="1">
      <alignment horizontal="center" vertical="center" wrapText="1"/>
    </xf>
    <xf numFmtId="0" fontId="3" fillId="17" borderId="146" xfId="0" applyFont="1" applyFill="1" applyBorder="1" applyAlignment="1" applyProtection="1">
      <alignment horizontal="center" vertical="center" wrapText="1"/>
      <protection locked="0"/>
    </xf>
    <xf numFmtId="0" fontId="3" fillId="17" borderId="145" xfId="0" applyFont="1" applyFill="1" applyBorder="1" applyAlignment="1" applyProtection="1">
      <alignment horizontal="center" vertical="center" wrapText="1"/>
      <protection locked="0"/>
    </xf>
    <xf numFmtId="0" fontId="34" fillId="16" borderId="147" xfId="0" applyFont="1" applyFill="1" applyBorder="1" applyAlignment="1">
      <alignment horizontal="center" vertical="center" wrapText="1"/>
    </xf>
    <xf numFmtId="0" fontId="0" fillId="0" borderId="17" xfId="0" applyBorder="1" applyAlignment="1">
      <alignment vertical="center"/>
    </xf>
    <xf numFmtId="0" fontId="0" fillId="0" borderId="0" xfId="0" applyAlignment="1" applyProtection="1">
      <alignment horizontal="center" vertical="center" wrapText="1"/>
      <protection locked="0"/>
    </xf>
    <xf numFmtId="0" fontId="3" fillId="0" borderId="123" xfId="0" applyFont="1" applyBorder="1" applyAlignment="1" applyProtection="1">
      <alignment horizontal="center" vertical="center" wrapText="1"/>
      <protection locked="0"/>
    </xf>
    <xf numFmtId="0" fontId="3" fillId="0" borderId="123" xfId="0" applyFont="1" applyBorder="1" applyAlignment="1" applyProtection="1">
      <alignment vertical="center" wrapText="1"/>
      <protection locked="0"/>
    </xf>
    <xf numFmtId="0" fontId="28" fillId="0" borderId="0" xfId="0" applyFont="1" applyAlignment="1">
      <alignment horizontal="right" vertical="center" textRotation="90" wrapText="1"/>
    </xf>
    <xf numFmtId="0" fontId="0" fillId="0" borderId="123" xfId="0" applyBorder="1" applyAlignment="1" applyProtection="1">
      <alignment vertical="center" wrapText="1"/>
      <protection locked="0"/>
    </xf>
    <xf numFmtId="0" fontId="3" fillId="0" borderId="123" xfId="0" applyFont="1" applyBorder="1" applyAlignment="1" applyProtection="1">
      <alignment horizontal="right" vertical="center" wrapText="1"/>
      <protection locked="0"/>
    </xf>
    <xf numFmtId="0" fontId="28" fillId="5" borderId="148" xfId="0" applyFont="1" applyFill="1" applyBorder="1" applyAlignment="1" applyProtection="1">
      <alignment vertical="center" wrapText="1"/>
      <protection locked="0"/>
    </xf>
    <xf numFmtId="0" fontId="3" fillId="0" borderId="0" xfId="0" applyFont="1" applyAlignment="1" applyProtection="1">
      <alignment horizontal="right" vertical="center" wrapText="1"/>
      <protection locked="0"/>
    </xf>
    <xf numFmtId="0" fontId="28" fillId="5" borderId="81" xfId="0" applyFont="1" applyFill="1" applyBorder="1" applyAlignment="1" applyProtection="1">
      <alignment vertical="center" wrapText="1"/>
      <protection locked="0"/>
    </xf>
    <xf numFmtId="0" fontId="28" fillId="5" borderId="81" xfId="0" applyFont="1" applyFill="1" applyBorder="1" applyAlignment="1">
      <alignment vertical="center" wrapText="1"/>
    </xf>
    <xf numFmtId="0" fontId="28" fillId="5" borderId="0" xfId="0" applyFont="1" applyFill="1" applyAlignment="1" applyProtection="1">
      <alignment horizontal="center" vertical="center" wrapText="1"/>
      <protection locked="0"/>
    </xf>
    <xf numFmtId="1" fontId="22" fillId="0" borderId="0" xfId="0" applyNumberFormat="1" applyFont="1" applyAlignment="1">
      <alignment horizontal="center" vertical="center"/>
    </xf>
    <xf numFmtId="49" fontId="3" fillId="5" borderId="7" xfId="0" applyNumberFormat="1" applyFont="1" applyFill="1" applyBorder="1" applyAlignment="1" applyProtection="1">
      <alignment horizontal="center" vertical="center"/>
      <protection locked="0"/>
    </xf>
    <xf numFmtId="165" fontId="3" fillId="5" borderId="9" xfId="0" applyNumberFormat="1" applyFont="1" applyFill="1" applyBorder="1" applyAlignment="1" applyProtection="1">
      <alignment vertical="center" wrapText="1"/>
      <protection locked="0"/>
    </xf>
    <xf numFmtId="0" fontId="3" fillId="8" borderId="103" xfId="0" applyFont="1" applyFill="1" applyBorder="1" applyAlignment="1" applyProtection="1">
      <alignment horizontal="left" vertical="top" wrapText="1" indent="1"/>
      <protection locked="0"/>
    </xf>
    <xf numFmtId="0" fontId="3" fillId="7" borderId="92" xfId="0" applyFont="1" applyFill="1" applyBorder="1" applyAlignment="1">
      <alignment horizontal="center" vertical="center" wrapText="1"/>
    </xf>
    <xf numFmtId="165" fontId="37" fillId="20" borderId="149" xfId="0" applyNumberFormat="1" applyFont="1" applyFill="1" applyBorder="1" applyAlignment="1">
      <alignment horizontal="right" vertical="center"/>
    </xf>
    <xf numFmtId="165" fontId="3" fillId="24" borderId="93" xfId="0" applyNumberFormat="1" applyFont="1" applyFill="1" applyBorder="1" applyAlignment="1" applyProtection="1">
      <alignment horizontal="right" vertical="center" wrapText="1"/>
      <protection locked="0"/>
    </xf>
    <xf numFmtId="1" fontId="3" fillId="5" borderId="93" xfId="0" applyNumberFormat="1" applyFont="1" applyFill="1" applyBorder="1" applyAlignment="1">
      <alignment horizontal="center" vertical="center"/>
    </xf>
    <xf numFmtId="1" fontId="3" fillId="7" borderId="92" xfId="0" applyNumberFormat="1" applyFont="1" applyFill="1" applyBorder="1" applyAlignment="1">
      <alignment horizontal="center" vertical="center"/>
    </xf>
    <xf numFmtId="165" fontId="3" fillId="5" borderId="87" xfId="0" applyNumberFormat="1" applyFont="1" applyFill="1" applyBorder="1" applyAlignment="1" applyProtection="1">
      <alignment horizontal="right" vertical="center" indent="1"/>
      <protection locked="0"/>
    </xf>
    <xf numFmtId="165" fontId="3" fillId="5" borderId="94" xfId="0" applyNumberFormat="1" applyFont="1" applyFill="1" applyBorder="1" applyAlignment="1" applyProtection="1">
      <alignment horizontal="right" vertical="center" indent="1"/>
      <protection locked="0"/>
    </xf>
    <xf numFmtId="165" fontId="3" fillId="5" borderId="93" xfId="0" applyNumberFormat="1" applyFont="1" applyFill="1" applyBorder="1" applyAlignment="1" applyProtection="1">
      <alignment horizontal="right" vertical="center" indent="1"/>
      <protection locked="0"/>
    </xf>
    <xf numFmtId="165" fontId="3" fillId="5" borderId="92" xfId="0" applyNumberFormat="1" applyFont="1" applyFill="1" applyBorder="1" applyAlignment="1" applyProtection="1">
      <alignment horizontal="right" vertical="center" indent="1"/>
      <protection locked="0"/>
    </xf>
    <xf numFmtId="165" fontId="3" fillId="26" borderId="87" xfId="0" applyNumberFormat="1" applyFont="1" applyFill="1" applyBorder="1" applyAlignment="1">
      <alignment vertical="center"/>
    </xf>
    <xf numFmtId="165" fontId="3" fillId="5" borderId="91" xfId="0" applyNumberFormat="1" applyFont="1" applyFill="1" applyBorder="1" applyAlignment="1" applyProtection="1">
      <alignment horizontal="right" vertical="center" indent="1"/>
      <protection locked="0"/>
    </xf>
    <xf numFmtId="165" fontId="3" fillId="26" borderId="91" xfId="0" applyNumberFormat="1" applyFont="1" applyFill="1" applyBorder="1" applyAlignment="1">
      <alignment horizontal="right" vertical="center" indent="1"/>
    </xf>
    <xf numFmtId="165" fontId="3" fillId="0" borderId="93" xfId="0" applyNumberFormat="1" applyFont="1" applyBorder="1" applyAlignment="1" applyProtection="1">
      <alignment horizontal="right" vertical="center"/>
      <protection locked="0"/>
    </xf>
    <xf numFmtId="165" fontId="3" fillId="5" borderId="95" xfId="0" applyNumberFormat="1" applyFont="1" applyFill="1" applyBorder="1" applyAlignment="1" applyProtection="1">
      <alignment horizontal="right" vertical="center" indent="1"/>
      <protection locked="0"/>
    </xf>
    <xf numFmtId="165" fontId="3" fillId="26" borderId="150" xfId="0" applyNumberFormat="1" applyFont="1" applyFill="1" applyBorder="1" applyAlignment="1" applyProtection="1">
      <alignment horizontal="right" vertical="center" indent="1"/>
      <protection locked="0"/>
    </xf>
    <xf numFmtId="164" fontId="0" fillId="5" borderId="0" xfId="0" applyNumberFormat="1" applyFill="1" applyAlignment="1">
      <alignment vertical="center"/>
    </xf>
    <xf numFmtId="0" fontId="0" fillId="5" borderId="17" xfId="0" applyFill="1" applyBorder="1" applyAlignment="1">
      <alignment vertical="center"/>
    </xf>
    <xf numFmtId="0" fontId="3" fillId="5" borderId="0" xfId="0" applyFont="1" applyFill="1" applyAlignment="1">
      <alignment vertical="center"/>
    </xf>
    <xf numFmtId="0" fontId="0" fillId="5" borderId="0" xfId="0" applyFill="1" applyAlignment="1">
      <alignment vertical="center"/>
    </xf>
    <xf numFmtId="0" fontId="3" fillId="7" borderId="85" xfId="0" applyFont="1" applyFill="1" applyBorder="1" applyAlignment="1">
      <alignment horizontal="center" vertical="center" wrapText="1"/>
    </xf>
    <xf numFmtId="165" fontId="37" fillId="20" borderId="113" xfId="0" applyNumberFormat="1" applyFont="1" applyFill="1" applyBorder="1" applyAlignment="1">
      <alignment horizontal="right" vertical="center"/>
    </xf>
    <xf numFmtId="165" fontId="3" fillId="24" borderId="7" xfId="0" applyNumberFormat="1" applyFont="1" applyFill="1" applyBorder="1" applyAlignment="1" applyProtection="1">
      <alignment horizontal="right" vertical="center" wrapText="1"/>
      <protection locked="0"/>
    </xf>
    <xf numFmtId="165" fontId="3" fillId="5" borderId="100" xfId="0" applyNumberFormat="1" applyFont="1" applyFill="1" applyBorder="1" applyAlignment="1" applyProtection="1">
      <alignment horizontal="right" vertical="center"/>
      <protection locked="0"/>
    </xf>
    <xf numFmtId="165" fontId="3" fillId="5" borderId="21" xfId="0" applyNumberFormat="1" applyFont="1" applyFill="1" applyBorder="1" applyAlignment="1" applyProtection="1">
      <alignment horizontal="right" vertical="center"/>
      <protection locked="0"/>
    </xf>
    <xf numFmtId="165" fontId="3" fillId="5" borderId="85" xfId="0" applyNumberFormat="1" applyFont="1" applyFill="1" applyBorder="1" applyAlignment="1" applyProtection="1">
      <alignment horizontal="right" vertical="center"/>
      <protection locked="0"/>
    </xf>
    <xf numFmtId="165" fontId="3" fillId="26" borderId="100" xfId="0" applyNumberFormat="1" applyFont="1" applyFill="1" applyBorder="1" applyAlignment="1">
      <alignment vertical="center"/>
    </xf>
    <xf numFmtId="165" fontId="3" fillId="26" borderId="21" xfId="0" applyNumberFormat="1" applyFont="1" applyFill="1" applyBorder="1" applyAlignment="1">
      <alignment horizontal="right" vertical="center"/>
    </xf>
    <xf numFmtId="165" fontId="3" fillId="0" borderId="0" xfId="0" applyNumberFormat="1" applyFont="1" applyAlignment="1" applyProtection="1">
      <alignment vertical="center"/>
      <protection locked="0"/>
    </xf>
    <xf numFmtId="165" fontId="3" fillId="5" borderId="102" xfId="0" applyNumberFormat="1" applyFont="1" applyFill="1" applyBorder="1" applyAlignment="1" applyProtection="1">
      <alignment horizontal="right" vertical="center"/>
      <protection locked="0"/>
    </xf>
    <xf numFmtId="165" fontId="3" fillId="26" borderId="151" xfId="0" applyNumberFormat="1" applyFont="1" applyFill="1" applyBorder="1" applyAlignment="1" applyProtection="1">
      <alignment horizontal="right" vertical="center"/>
      <protection locked="0"/>
    </xf>
    <xf numFmtId="165" fontId="3" fillId="0" borderId="49" xfId="0" applyNumberFormat="1" applyFont="1" applyBorder="1" applyAlignment="1" applyProtection="1">
      <alignment vertical="center"/>
      <protection locked="0"/>
    </xf>
    <xf numFmtId="165" fontId="3" fillId="0" borderId="100" xfId="0" applyNumberFormat="1" applyFont="1" applyBorder="1" applyAlignment="1" applyProtection="1">
      <alignment horizontal="right" vertical="center"/>
      <protection locked="0"/>
    </xf>
    <xf numFmtId="165" fontId="37" fillId="5" borderId="7" xfId="0" applyNumberFormat="1" applyFont="1" applyFill="1" applyBorder="1" applyAlignment="1" applyProtection="1">
      <alignment vertical="center" wrapText="1"/>
      <protection locked="0"/>
    </xf>
    <xf numFmtId="165" fontId="3" fillId="0" borderId="85" xfId="0" applyNumberFormat="1" applyFont="1" applyBorder="1" applyAlignment="1" applyProtection="1">
      <alignment horizontal="right" vertical="center"/>
      <protection locked="0"/>
    </xf>
    <xf numFmtId="165" fontId="3" fillId="0" borderId="21" xfId="0" applyNumberFormat="1" applyFont="1" applyBorder="1" applyAlignment="1" applyProtection="1">
      <alignment horizontal="right" vertical="center"/>
      <protection locked="0"/>
    </xf>
    <xf numFmtId="165" fontId="3" fillId="0" borderId="102" xfId="0" applyNumberFormat="1" applyFont="1" applyBorder="1" applyAlignment="1" applyProtection="1">
      <alignment horizontal="right" vertical="center"/>
      <protection locked="0"/>
    </xf>
    <xf numFmtId="165" fontId="37" fillId="5" borderId="9" xfId="0" applyNumberFormat="1" applyFont="1" applyFill="1" applyBorder="1" applyAlignment="1" applyProtection="1">
      <alignment vertical="center" wrapText="1"/>
      <protection locked="0"/>
    </xf>
    <xf numFmtId="0" fontId="3" fillId="8" borderId="10" xfId="0" applyFont="1" applyFill="1" applyBorder="1" applyAlignment="1" applyProtection="1">
      <alignment horizontal="left" vertical="top" wrapText="1" indent="1"/>
      <protection locked="0"/>
    </xf>
    <xf numFmtId="165" fontId="3" fillId="24" borderId="100" xfId="0" applyNumberFormat="1" applyFont="1" applyFill="1" applyBorder="1" applyAlignment="1" applyProtection="1">
      <alignment horizontal="right" vertical="center"/>
      <protection locked="0"/>
    </xf>
    <xf numFmtId="0" fontId="3" fillId="8" borderId="7" xfId="0" applyFont="1" applyFill="1" applyBorder="1" applyAlignment="1" applyProtection="1">
      <alignment horizontal="center" vertical="center" wrapText="1"/>
      <protection locked="0"/>
    </xf>
    <xf numFmtId="0" fontId="3" fillId="7" borderId="115" xfId="0" applyFont="1" applyFill="1" applyBorder="1" applyAlignment="1">
      <alignment horizontal="center" vertical="center" wrapText="1"/>
    </xf>
    <xf numFmtId="165" fontId="3" fillId="5" borderId="106" xfId="0" applyNumberFormat="1" applyFont="1" applyFill="1" applyBorder="1" applyAlignment="1" applyProtection="1">
      <alignment horizontal="right" vertical="center"/>
      <protection locked="0"/>
    </xf>
    <xf numFmtId="165" fontId="3" fillId="5" borderId="152" xfId="0" applyNumberFormat="1" applyFont="1" applyFill="1" applyBorder="1" applyAlignment="1" applyProtection="1">
      <alignment horizontal="right" vertical="center"/>
      <protection locked="0"/>
    </xf>
    <xf numFmtId="165" fontId="3" fillId="5" borderId="153" xfId="0" applyNumberFormat="1" applyFont="1" applyFill="1" applyBorder="1" applyAlignment="1" applyProtection="1">
      <alignment horizontal="right" vertical="center"/>
      <protection locked="0"/>
    </xf>
    <xf numFmtId="165" fontId="3" fillId="5" borderId="115" xfId="0" applyNumberFormat="1" applyFont="1" applyFill="1" applyBorder="1" applyAlignment="1" applyProtection="1">
      <alignment horizontal="right" vertical="center"/>
      <protection locked="0"/>
    </xf>
    <xf numFmtId="164" fontId="3" fillId="16" borderId="122" xfId="0" applyNumberFormat="1" applyFont="1" applyFill="1" applyBorder="1" applyAlignment="1">
      <alignment horizontal="right" vertical="center"/>
    </xf>
    <xf numFmtId="164" fontId="3" fillId="21" borderId="117" xfId="0" applyNumberFormat="1" applyFont="1" applyFill="1" applyBorder="1" applyAlignment="1">
      <alignment horizontal="right" vertical="center"/>
    </xf>
    <xf numFmtId="165" fontId="3" fillId="20" borderId="119" xfId="0" applyNumberFormat="1" applyFont="1" applyFill="1" applyBorder="1" applyAlignment="1">
      <alignment horizontal="right" vertical="center"/>
    </xf>
    <xf numFmtId="165" fontId="3" fillId="24" borderId="118" xfId="0" applyNumberFormat="1" applyFont="1" applyFill="1" applyBorder="1" applyAlignment="1">
      <alignment horizontal="right" vertical="center"/>
    </xf>
    <xf numFmtId="165" fontId="3" fillId="24" borderId="121" xfId="0" applyNumberFormat="1" applyFont="1" applyFill="1" applyBorder="1" applyAlignment="1">
      <alignment horizontal="right" vertical="center"/>
    </xf>
    <xf numFmtId="165" fontId="3" fillId="10" borderId="119" xfId="0" applyNumberFormat="1" applyFont="1" applyFill="1" applyBorder="1" applyAlignment="1">
      <alignment horizontal="right" vertical="center"/>
    </xf>
    <xf numFmtId="165" fontId="3" fillId="10" borderId="154" xfId="0" applyNumberFormat="1" applyFont="1" applyFill="1" applyBorder="1" applyAlignment="1">
      <alignment horizontal="right" vertical="center"/>
    </xf>
    <xf numFmtId="165" fontId="3" fillId="10" borderId="118" xfId="0" applyNumberFormat="1" applyFont="1" applyFill="1" applyBorder="1" applyAlignment="1">
      <alignment horizontal="right" vertical="center"/>
    </xf>
    <xf numFmtId="165" fontId="3" fillId="10" borderId="121" xfId="0" applyNumberFormat="1" applyFont="1" applyFill="1" applyBorder="1" applyAlignment="1">
      <alignment horizontal="right" vertical="center"/>
    </xf>
    <xf numFmtId="165" fontId="3" fillId="10" borderId="154" xfId="0" applyNumberFormat="1" applyFont="1" applyFill="1" applyBorder="1" applyAlignment="1">
      <alignment vertical="center"/>
    </xf>
    <xf numFmtId="165" fontId="3" fillId="10" borderId="120" xfId="0" applyNumberFormat="1" applyFont="1" applyFill="1" applyBorder="1" applyAlignment="1">
      <alignment horizontal="right" vertical="center"/>
    </xf>
    <xf numFmtId="165" fontId="3" fillId="10" borderId="155" xfId="0" applyNumberFormat="1" applyFont="1" applyFill="1" applyBorder="1" applyAlignment="1">
      <alignment horizontal="right" vertical="center"/>
    </xf>
    <xf numFmtId="164" fontId="3" fillId="0" borderId="0" xfId="0" applyNumberFormat="1" applyFont="1" applyAlignment="1">
      <alignment vertical="center"/>
    </xf>
    <xf numFmtId="0" fontId="13" fillId="0" borderId="0" xfId="0" applyFont="1" applyAlignment="1">
      <alignment horizontal="right" vertical="center"/>
    </xf>
    <xf numFmtId="0" fontId="3" fillId="0" borderId="10" xfId="0" applyFont="1" applyBorder="1" applyAlignment="1">
      <alignment vertical="center"/>
    </xf>
    <xf numFmtId="0" fontId="13" fillId="0" borderId="0" xfId="0" applyFont="1" applyAlignment="1">
      <alignment vertical="center" wrapText="1"/>
    </xf>
    <xf numFmtId="49" fontId="30" fillId="0" borderId="3" xfId="0" applyNumberFormat="1" applyFont="1" applyBorder="1" applyAlignment="1">
      <alignment horizontal="center" vertical="center"/>
    </xf>
    <xf numFmtId="165" fontId="3" fillId="14" borderId="10" xfId="0" applyNumberFormat="1" applyFont="1" applyFill="1" applyBorder="1" applyAlignment="1">
      <alignment vertical="center"/>
    </xf>
    <xf numFmtId="14" fontId="3" fillId="0" borderId="0" xfId="0" applyNumberFormat="1" applyFont="1" applyAlignment="1">
      <alignment vertical="center"/>
    </xf>
    <xf numFmtId="0" fontId="0" fillId="0" borderId="0" xfId="0" applyAlignment="1">
      <alignment horizontal="center" vertical="top"/>
    </xf>
    <xf numFmtId="0" fontId="0" fillId="0" borderId="0" xfId="0" applyAlignment="1">
      <alignment horizontal="left" vertical="top" wrapText="1"/>
    </xf>
    <xf numFmtId="0" fontId="0" fillId="0" borderId="0" xfId="0" applyAlignment="1">
      <alignment horizontal="center" vertical="top" wrapText="1"/>
    </xf>
    <xf numFmtId="174" fontId="0" fillId="0" borderId="0" xfId="2" applyFont="1" applyBorder="1" applyAlignment="1" applyProtection="1">
      <alignment horizontal="center"/>
    </xf>
    <xf numFmtId="49" fontId="5" fillId="2" borderId="0" xfId="0" applyNumberFormat="1" applyFont="1" applyFill="1" applyAlignment="1">
      <alignment vertical="top" wrapText="1"/>
    </xf>
    <xf numFmtId="49" fontId="5" fillId="2" borderId="0" xfId="0" applyNumberFormat="1" applyFont="1" applyFill="1" applyAlignment="1">
      <alignment vertical="center" wrapText="1"/>
    </xf>
    <xf numFmtId="0" fontId="5" fillId="2" borderId="0" xfId="0" applyFont="1" applyFill="1" applyAlignment="1">
      <alignment vertical="top" wrapText="1"/>
    </xf>
    <xf numFmtId="14" fontId="6" fillId="27" borderId="156" xfId="0" applyNumberFormat="1" applyFont="1" applyFill="1" applyBorder="1" applyAlignment="1" applyProtection="1">
      <alignment horizontal="center" vertical="center" wrapText="1"/>
      <protection locked="0"/>
    </xf>
    <xf numFmtId="0" fontId="6" fillId="0" borderId="0" xfId="0" applyFont="1" applyAlignment="1">
      <alignment horizontal="center" vertical="center" wrapText="1"/>
    </xf>
    <xf numFmtId="175" fontId="6" fillId="0" borderId="0" xfId="0" applyNumberFormat="1" applyFont="1" applyAlignment="1" applyProtection="1">
      <alignment horizontal="center" vertical="center" wrapText="1"/>
      <protection locked="0"/>
    </xf>
    <xf numFmtId="0" fontId="6" fillId="0" borderId="0" xfId="0" applyFont="1" applyAlignment="1">
      <alignment vertical="center" wrapText="1"/>
    </xf>
    <xf numFmtId="0" fontId="6" fillId="0" borderId="3" xfId="0" applyFont="1" applyBorder="1" applyAlignment="1">
      <alignment vertical="top" wrapText="1"/>
    </xf>
    <xf numFmtId="0" fontId="6" fillId="0" borderId="3" xfId="0" applyFont="1" applyBorder="1" applyAlignment="1">
      <alignment horizontal="right" vertical="center"/>
    </xf>
    <xf numFmtId="0" fontId="38" fillId="13" borderId="0" xfId="0" applyFont="1" applyFill="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0" xfId="0" applyFont="1" applyAlignment="1">
      <alignment vertical="top" wrapText="1"/>
    </xf>
    <xf numFmtId="0" fontId="6" fillId="16" borderId="0" xfId="0" applyFont="1" applyFill="1" applyAlignment="1">
      <alignment horizontal="right" vertical="center"/>
    </xf>
    <xf numFmtId="0" fontId="38" fillId="16" borderId="0" xfId="0" applyFont="1" applyFill="1" applyAlignment="1">
      <alignment horizontal="center" vertical="center" wrapText="1"/>
    </xf>
    <xf numFmtId="0" fontId="6" fillId="16" borderId="0" xfId="0" applyFont="1" applyFill="1" applyAlignment="1">
      <alignment horizontal="center" vertical="center" wrapText="1"/>
    </xf>
    <xf numFmtId="0" fontId="6" fillId="16" borderId="0" xfId="0" applyFont="1" applyFill="1" applyAlignment="1">
      <alignment vertical="center" wrapText="1"/>
    </xf>
    <xf numFmtId="0" fontId="36" fillId="16" borderId="98" xfId="0" applyFont="1" applyFill="1" applyBorder="1" applyAlignment="1">
      <alignment horizontal="center" vertical="center" wrapText="1"/>
    </xf>
    <xf numFmtId="0" fontId="36" fillId="16" borderId="0" xfId="0" applyFont="1" applyFill="1" applyAlignment="1">
      <alignment horizontal="center" vertical="center"/>
    </xf>
    <xf numFmtId="0" fontId="36" fillId="16" borderId="49" xfId="0" applyFont="1" applyFill="1" applyBorder="1" applyAlignment="1">
      <alignment horizontal="center" vertical="center" wrapText="1"/>
    </xf>
    <xf numFmtId="0" fontId="36" fillId="16" borderId="98" xfId="0" applyFont="1" applyFill="1" applyBorder="1" applyAlignment="1">
      <alignment horizontal="center" vertical="center"/>
    </xf>
    <xf numFmtId="0" fontId="36" fillId="16" borderId="105" xfId="0" applyFont="1" applyFill="1" applyBorder="1" applyAlignment="1">
      <alignment horizontal="center" vertical="center" wrapText="1"/>
    </xf>
    <xf numFmtId="0" fontId="36" fillId="16" borderId="14" xfId="0" applyFont="1" applyFill="1" applyBorder="1" applyAlignment="1">
      <alignment horizontal="center" vertical="center" wrapText="1"/>
    </xf>
    <xf numFmtId="0" fontId="0" fillId="16" borderId="0" xfId="0" applyFill="1"/>
    <xf numFmtId="0" fontId="36" fillId="16" borderId="3" xfId="0" applyFont="1" applyFill="1" applyBorder="1" applyAlignment="1">
      <alignment vertical="center" wrapText="1"/>
    </xf>
    <xf numFmtId="0" fontId="36" fillId="16" borderId="0" xfId="0" applyFont="1" applyFill="1" applyAlignment="1">
      <alignment horizontal="center" vertical="center" wrapText="1"/>
    </xf>
    <xf numFmtId="0" fontId="36" fillId="16" borderId="14" xfId="0" applyFont="1" applyFill="1" applyBorder="1" applyAlignment="1">
      <alignment horizontal="center" vertical="center"/>
    </xf>
    <xf numFmtId="0" fontId="36" fillId="16" borderId="104" xfId="0" applyFont="1" applyFill="1" applyBorder="1" applyAlignment="1">
      <alignment horizontal="center" vertical="center"/>
    </xf>
    <xf numFmtId="0" fontId="39" fillId="28" borderId="21" xfId="0" applyFont="1" applyFill="1" applyBorder="1" applyAlignment="1">
      <alignment vertical="center" wrapText="1"/>
    </xf>
    <xf numFmtId="0" fontId="40" fillId="28" borderId="10" xfId="0" applyFont="1" applyFill="1" applyBorder="1" applyAlignment="1">
      <alignment vertical="center"/>
    </xf>
    <xf numFmtId="0" fontId="5" fillId="28" borderId="10" xfId="0" applyFont="1" applyFill="1" applyBorder="1" applyAlignment="1">
      <alignment vertical="center"/>
    </xf>
    <xf numFmtId="0" fontId="5" fillId="28" borderId="10" xfId="0" applyFont="1" applyFill="1" applyBorder="1" applyAlignment="1">
      <alignment horizontal="left" vertical="center" indent="1"/>
    </xf>
    <xf numFmtId="176" fontId="41" fillId="28" borderId="10" xfId="0" applyNumberFormat="1" applyFont="1" applyFill="1" applyBorder="1" applyAlignment="1">
      <alignment horizontal="center" vertical="center"/>
    </xf>
    <xf numFmtId="0" fontId="5" fillId="28" borderId="10" xfId="0" applyFont="1" applyFill="1" applyBorder="1"/>
    <xf numFmtId="0" fontId="5" fillId="28" borderId="22" xfId="0" applyFont="1" applyFill="1" applyBorder="1"/>
    <xf numFmtId="0" fontId="15" fillId="0" borderId="7" xfId="0" applyFont="1" applyBorder="1" applyAlignment="1">
      <alignment horizontal="center" vertical="center"/>
    </xf>
    <xf numFmtId="0" fontId="15" fillId="0" borderId="7" xfId="0" applyFont="1" applyBorder="1" applyAlignment="1">
      <alignment horizontal="center" vertical="center" wrapText="1"/>
    </xf>
    <xf numFmtId="14" fontId="15" fillId="0" borderId="7" xfId="0" applyNumberFormat="1" applyFont="1" applyBorder="1" applyAlignment="1">
      <alignment horizontal="center" vertical="center"/>
    </xf>
    <xf numFmtId="2" fontId="15" fillId="0" borderId="7" xfId="0" applyNumberFormat="1" applyFont="1" applyBorder="1" applyAlignment="1">
      <alignment horizontal="center" vertical="center" wrapText="1"/>
    </xf>
    <xf numFmtId="165" fontId="15" fillId="0" borderId="7" xfId="2" applyNumberFormat="1" applyFont="1" applyBorder="1" applyAlignment="1" applyProtection="1">
      <alignment vertical="center"/>
    </xf>
    <xf numFmtId="165" fontId="15" fillId="0" borderId="7" xfId="0" applyNumberFormat="1" applyFont="1" applyBorder="1" applyAlignment="1">
      <alignment horizontal="center" vertical="center"/>
    </xf>
    <xf numFmtId="177" fontId="0" fillId="0" borderId="7" xfId="0" applyNumberFormat="1" applyBorder="1" applyAlignment="1">
      <alignment horizontal="right" vertical="center" indent="1"/>
    </xf>
    <xf numFmtId="49" fontId="0" fillId="0" borderId="7" xfId="0" applyNumberFormat="1" applyBorder="1" applyAlignment="1">
      <alignment horizontal="left" vertical="top" wrapText="1" indent="1"/>
    </xf>
    <xf numFmtId="175" fontId="0" fillId="0" borderId="0" xfId="0" applyNumberFormat="1" applyAlignment="1">
      <alignment vertical="center"/>
    </xf>
    <xf numFmtId="2" fontId="0" fillId="0" borderId="0" xfId="0" applyNumberFormat="1" applyAlignment="1">
      <alignment vertical="center"/>
    </xf>
    <xf numFmtId="14" fontId="0" fillId="0" borderId="0" xfId="0" applyNumberFormat="1" applyAlignment="1">
      <alignment vertical="center"/>
    </xf>
    <xf numFmtId="0" fontId="15" fillId="0" borderId="21" xfId="0" applyFont="1" applyBorder="1" applyAlignment="1">
      <alignment horizontal="center" vertical="center"/>
    </xf>
    <xf numFmtId="0" fontId="33" fillId="0" borderId="10" xfId="0" applyFont="1" applyBorder="1" applyAlignment="1">
      <alignment horizontal="center" vertical="center"/>
    </xf>
    <xf numFmtId="0" fontId="15" fillId="0" borderId="10" xfId="0" applyFont="1" applyBorder="1" applyAlignment="1">
      <alignment horizontal="center" vertical="center" wrapText="1"/>
    </xf>
    <xf numFmtId="0" fontId="15" fillId="0" borderId="10" xfId="0" applyFont="1" applyBorder="1" applyAlignment="1">
      <alignment horizontal="left" vertical="center" wrapText="1" indent="1"/>
    </xf>
    <xf numFmtId="14" fontId="15" fillId="0" borderId="10" xfId="0" applyNumberFormat="1" applyFont="1" applyBorder="1" applyAlignment="1">
      <alignment horizontal="center" vertical="center"/>
    </xf>
    <xf numFmtId="165" fontId="15" fillId="0" borderId="10" xfId="2" applyNumberFormat="1" applyFont="1" applyBorder="1" applyAlignment="1" applyProtection="1">
      <alignment vertical="center"/>
    </xf>
    <xf numFmtId="165" fontId="15" fillId="0" borderId="10" xfId="0" applyNumberFormat="1" applyFont="1" applyBorder="1" applyAlignment="1">
      <alignment horizontal="center" vertical="center"/>
    </xf>
    <xf numFmtId="177" fontId="0" fillId="0" borderId="22" xfId="0" applyNumberFormat="1" applyBorder="1" applyAlignment="1">
      <alignment horizontal="right" vertical="center" indent="1"/>
    </xf>
    <xf numFmtId="0" fontId="40" fillId="28" borderId="21" xfId="0" applyFont="1" applyFill="1" applyBorder="1" applyAlignment="1">
      <alignment vertical="center"/>
    </xf>
    <xf numFmtId="14" fontId="41" fillId="28" borderId="10" xfId="0" applyNumberFormat="1" applyFont="1" applyFill="1" applyBorder="1" applyAlignment="1">
      <alignment horizontal="center" vertical="center"/>
    </xf>
    <xf numFmtId="0" fontId="5" fillId="28" borderId="22" xfId="0" applyFont="1" applyFill="1" applyBorder="1" applyAlignment="1">
      <alignment vertical="center"/>
    </xf>
    <xf numFmtId="0" fontId="0" fillId="0" borderId="7" xfId="0" applyBorder="1" applyAlignment="1">
      <alignment horizontal="left" vertical="top" wrapText="1" indent="1"/>
    </xf>
    <xf numFmtId="49" fontId="15" fillId="0" borderId="7" xfId="0" applyNumberFormat="1" applyFont="1" applyBorder="1" applyAlignment="1">
      <alignment horizontal="center" vertical="center" wrapText="1"/>
    </xf>
    <xf numFmtId="165" fontId="15" fillId="0" borderId="7" xfId="2" applyNumberFormat="1" applyFont="1" applyBorder="1" applyAlignment="1" applyProtection="1">
      <alignment horizontal="center" vertical="center"/>
    </xf>
    <xf numFmtId="177" fontId="0" fillId="0" borderId="0" xfId="0" applyNumberFormat="1" applyAlignment="1">
      <alignment vertical="center"/>
    </xf>
    <xf numFmtId="0" fontId="15" fillId="0" borderId="14" xfId="0" applyFont="1" applyBorder="1" applyAlignment="1">
      <alignment horizontal="center" vertical="center"/>
    </xf>
    <xf numFmtId="49" fontId="15" fillId="0" borderId="14" xfId="0" applyNumberFormat="1" applyFont="1" applyBorder="1" applyAlignment="1">
      <alignment horizontal="center" vertical="center" wrapText="1"/>
    </xf>
    <xf numFmtId="0" fontId="15" fillId="0" borderId="14" xfId="0" applyFont="1" applyBorder="1" applyAlignment="1">
      <alignment horizontal="left" vertical="center" wrapText="1" indent="1"/>
    </xf>
    <xf numFmtId="14" fontId="15" fillId="0" borderId="14" xfId="0" applyNumberFormat="1" applyFont="1" applyBorder="1" applyAlignment="1">
      <alignment horizontal="center" vertical="center"/>
    </xf>
    <xf numFmtId="0" fontId="15" fillId="0" borderId="14" xfId="0" applyFont="1" applyBorder="1" applyAlignment="1">
      <alignment horizontal="center" vertical="center" wrapText="1"/>
    </xf>
    <xf numFmtId="165" fontId="15" fillId="0" borderId="14" xfId="2" applyNumberFormat="1" applyFont="1" applyBorder="1" applyAlignment="1" applyProtection="1">
      <alignment horizontal="center" vertical="center"/>
    </xf>
    <xf numFmtId="177" fontId="0" fillId="0" borderId="0" xfId="0" applyNumberFormat="1" applyAlignment="1">
      <alignment horizontal="right" vertical="center" indent="1"/>
    </xf>
    <xf numFmtId="0" fontId="0" fillId="0" borderId="0" xfId="0" applyAlignment="1">
      <alignment horizontal="left" vertical="top" wrapText="1" indent="1"/>
    </xf>
    <xf numFmtId="0" fontId="30" fillId="2" borderId="0" xfId="0" applyFont="1" applyFill="1" applyAlignment="1">
      <alignment vertical="center" wrapText="1"/>
    </xf>
    <xf numFmtId="0" fontId="0" fillId="2" borderId="0" xfId="0" applyFill="1" applyAlignment="1">
      <alignment vertical="center"/>
    </xf>
    <xf numFmtId="0" fontId="15" fillId="2" borderId="158" xfId="0" applyFont="1" applyFill="1" applyBorder="1" applyAlignment="1">
      <alignment vertical="center" wrapText="1"/>
    </xf>
    <xf numFmtId="0" fontId="0" fillId="2" borderId="159" xfId="0" applyFill="1" applyBorder="1" applyAlignment="1">
      <alignment vertical="center"/>
    </xf>
    <xf numFmtId="165" fontId="30" fillId="2" borderId="160" xfId="0" applyNumberFormat="1" applyFont="1" applyFill="1" applyBorder="1" applyAlignment="1">
      <alignment vertical="center" wrapText="1"/>
    </xf>
    <xf numFmtId="165" fontId="15" fillId="0" borderId="0" xfId="2" applyNumberFormat="1" applyFont="1" applyBorder="1" applyAlignment="1" applyProtection="1">
      <alignment horizontal="center" vertical="center"/>
    </xf>
    <xf numFmtId="0" fontId="15" fillId="2" borderId="161" xfId="0" applyFont="1" applyFill="1" applyBorder="1" applyAlignment="1">
      <alignment vertical="center" wrapText="1"/>
    </xf>
    <xf numFmtId="0" fontId="0" fillId="2" borderId="162" xfId="0" applyFill="1" applyBorder="1" applyAlignment="1">
      <alignment vertical="center"/>
    </xf>
    <xf numFmtId="0" fontId="15" fillId="2" borderId="163" xfId="0" applyFont="1" applyFill="1" applyBorder="1" applyAlignment="1">
      <alignment vertical="center" wrapText="1"/>
    </xf>
    <xf numFmtId="0" fontId="0" fillId="2" borderId="164" xfId="0" applyFill="1" applyBorder="1" applyAlignment="1">
      <alignment vertical="center"/>
    </xf>
    <xf numFmtId="0" fontId="9" fillId="0" borderId="0" xfId="0" applyFont="1" applyAlignment="1">
      <alignment vertical="top"/>
    </xf>
    <xf numFmtId="0" fontId="0" fillId="0" borderId="0" xfId="0" applyAlignment="1">
      <alignment vertical="top"/>
    </xf>
    <xf numFmtId="177" fontId="0" fillId="0" borderId="0" xfId="0" applyNumberFormat="1" applyAlignment="1">
      <alignment horizontal="center" vertical="top"/>
    </xf>
    <xf numFmtId="49" fontId="24" fillId="0" borderId="0" xfId="0" applyNumberFormat="1" applyFont="1" applyAlignment="1">
      <alignment vertical="top"/>
    </xf>
    <xf numFmtId="49" fontId="16" fillId="0" borderId="32" xfId="0" applyNumberFormat="1" applyFont="1" applyBorder="1" applyAlignment="1" applyProtection="1">
      <alignment horizontal="center" vertical="top"/>
      <protection locked="0"/>
    </xf>
    <xf numFmtId="0" fontId="16" fillId="0" borderId="0" xfId="0" applyFont="1" applyAlignment="1">
      <alignment vertical="top"/>
    </xf>
    <xf numFmtId="0" fontId="30" fillId="0" borderId="0" xfId="0" applyFont="1" applyAlignment="1">
      <alignment horizontal="right" vertical="center" wrapText="1"/>
    </xf>
    <xf numFmtId="0" fontId="3" fillId="0" borderId="0" xfId="0" applyFont="1"/>
    <xf numFmtId="0" fontId="3" fillId="0" borderId="0" xfId="0" applyFont="1" applyAlignment="1">
      <alignment horizontal="center"/>
    </xf>
    <xf numFmtId="0" fontId="42" fillId="0" borderId="0" xfId="0" applyFont="1" applyAlignment="1">
      <alignment vertical="top" wrapText="1"/>
    </xf>
    <xf numFmtId="0" fontId="43" fillId="0" borderId="0" xfId="0" applyFont="1" applyAlignment="1">
      <alignment vertical="top" wrapText="1"/>
    </xf>
    <xf numFmtId="178" fontId="44" fillId="0" borderId="0" xfId="0" applyNumberFormat="1" applyFont="1" applyAlignment="1">
      <alignment vertical="top"/>
    </xf>
    <xf numFmtId="179" fontId="3" fillId="0" borderId="0" xfId="0" applyNumberFormat="1" applyFont="1" applyAlignment="1">
      <alignment vertical="center"/>
    </xf>
    <xf numFmtId="0" fontId="34" fillId="0" borderId="0" xfId="0" applyFont="1" applyAlignment="1">
      <alignment vertical="top" wrapText="1"/>
    </xf>
    <xf numFmtId="0" fontId="17" fillId="0" borderId="0" xfId="0" applyFont="1" applyAlignment="1">
      <alignment vertical="center"/>
    </xf>
    <xf numFmtId="180" fontId="3" fillId="0" borderId="0" xfId="0" applyNumberFormat="1" applyFont="1" applyAlignment="1">
      <alignment vertical="center"/>
    </xf>
    <xf numFmtId="0" fontId="25" fillId="0" borderId="0" xfId="0" applyFont="1" applyAlignment="1">
      <alignment vertical="center" wrapText="1"/>
    </xf>
    <xf numFmtId="0" fontId="9" fillId="17" borderId="7" xfId="0" applyFont="1" applyFill="1" applyBorder="1" applyAlignment="1">
      <alignment horizontal="center" vertical="center"/>
    </xf>
    <xf numFmtId="0" fontId="13" fillId="0" borderId="0" xfId="0" applyFont="1" applyAlignment="1">
      <alignment vertical="center"/>
    </xf>
    <xf numFmtId="0" fontId="9" fillId="10" borderId="7" xfId="0" applyFont="1" applyFill="1" applyBorder="1" applyAlignment="1">
      <alignment horizontal="center" vertical="center"/>
    </xf>
    <xf numFmtId="0" fontId="46" fillId="0" borderId="22" xfId="0" applyFont="1" applyBorder="1" applyAlignment="1">
      <alignment horizontal="left" vertical="center"/>
    </xf>
    <xf numFmtId="165" fontId="15" fillId="29" borderId="7" xfId="0" applyNumberFormat="1" applyFont="1" applyFill="1" applyBorder="1" applyAlignment="1">
      <alignment vertical="center"/>
    </xf>
    <xf numFmtId="165" fontId="46" fillId="6" borderId="165" xfId="0" applyNumberFormat="1" applyFont="1" applyFill="1" applyBorder="1" applyAlignment="1" applyProtection="1">
      <alignment horizontal="right" vertical="center"/>
      <protection locked="0"/>
    </xf>
    <xf numFmtId="178" fontId="3" fillId="0" borderId="0" xfId="0" applyNumberFormat="1" applyFont="1" applyAlignment="1">
      <alignment vertical="center"/>
    </xf>
    <xf numFmtId="174" fontId="3" fillId="0" borderId="0" xfId="0" applyNumberFormat="1" applyFont="1" applyAlignment="1">
      <alignment vertical="center"/>
    </xf>
    <xf numFmtId="0" fontId="19" fillId="0" borderId="0" xfId="0" applyFont="1" applyAlignment="1">
      <alignment horizontal="right" vertical="center"/>
    </xf>
    <xf numFmtId="165" fontId="15" fillId="0" borderId="0" xfId="0" applyNumberFormat="1" applyFont="1" applyAlignment="1">
      <alignment vertical="center"/>
    </xf>
    <xf numFmtId="0" fontId="15" fillId="31" borderId="0" xfId="0" applyFont="1" applyFill="1" applyAlignment="1">
      <alignment vertical="center"/>
    </xf>
    <xf numFmtId="165" fontId="0" fillId="0" borderId="0" xfId="0" applyNumberFormat="1" applyAlignment="1">
      <alignment vertical="center"/>
    </xf>
    <xf numFmtId="165" fontId="13" fillId="29" borderId="167" xfId="0" applyNumberFormat="1" applyFont="1" applyFill="1" applyBorder="1" applyAlignment="1">
      <alignment vertical="center"/>
    </xf>
    <xf numFmtId="0" fontId="19" fillId="0" borderId="80" xfId="0" applyFont="1" applyBorder="1" applyAlignment="1">
      <alignment vertical="center"/>
    </xf>
    <xf numFmtId="0" fontId="0" fillId="0" borderId="14" xfId="0" applyBorder="1" applyAlignment="1">
      <alignment vertical="center"/>
    </xf>
    <xf numFmtId="165" fontId="19" fillId="0" borderId="0" xfId="0" applyNumberFormat="1" applyFont="1" applyAlignment="1">
      <alignment vertical="center"/>
    </xf>
    <xf numFmtId="0" fontId="19" fillId="0" borderId="0" xfId="0" applyFont="1" applyAlignment="1">
      <alignment horizontal="right" vertical="center" wrapText="1"/>
    </xf>
    <xf numFmtId="164" fontId="30" fillId="13" borderId="168" xfId="0" applyNumberFormat="1" applyFont="1" applyFill="1" applyBorder="1" applyAlignment="1">
      <alignment vertical="center"/>
    </xf>
    <xf numFmtId="164" fontId="27" fillId="0" borderId="0" xfId="0" applyNumberFormat="1" applyFont="1" applyAlignment="1">
      <alignment vertical="center"/>
    </xf>
    <xf numFmtId="0" fontId="47" fillId="0" borderId="0" xfId="0" applyFont="1" applyAlignment="1">
      <alignment horizontal="left" vertical="center" wrapText="1"/>
    </xf>
    <xf numFmtId="0" fontId="46" fillId="0" borderId="21" xfId="0" applyFont="1" applyBorder="1" applyAlignment="1">
      <alignment horizontal="right" vertical="center"/>
    </xf>
    <xf numFmtId="172" fontId="46" fillId="0" borderId="165" xfId="0" applyNumberFormat="1" applyFont="1" applyBorder="1" applyAlignment="1" applyProtection="1">
      <alignment horizontal="center" vertical="center"/>
      <protection locked="0"/>
    </xf>
    <xf numFmtId="165" fontId="15" fillId="29" borderId="167" xfId="0" applyNumberFormat="1" applyFont="1" applyFill="1" applyBorder="1" applyAlignment="1">
      <alignment vertical="center"/>
    </xf>
    <xf numFmtId="0" fontId="3" fillId="10" borderId="7" xfId="0" applyFont="1" applyFill="1" applyBorder="1" applyAlignment="1">
      <alignment horizontal="center" vertical="center"/>
    </xf>
    <xf numFmtId="1" fontId="15" fillId="0" borderId="7" xfId="0" applyNumberFormat="1" applyFont="1" applyBorder="1" applyAlignment="1">
      <alignment horizontal="center" vertical="center"/>
    </xf>
    <xf numFmtId="165" fontId="15" fillId="0" borderId="7" xfId="0" applyNumberFormat="1" applyFont="1" applyBorder="1" applyAlignment="1">
      <alignment vertical="center"/>
    </xf>
    <xf numFmtId="1" fontId="3" fillId="0" borderId="0" xfId="0" applyNumberFormat="1" applyFont="1" applyAlignment="1">
      <alignment horizontal="center" vertical="center"/>
    </xf>
    <xf numFmtId="49" fontId="3" fillId="0" borderId="0" xfId="0" applyNumberFormat="1" applyFont="1" applyAlignment="1">
      <alignment vertical="center"/>
    </xf>
    <xf numFmtId="166" fontId="3" fillId="10" borderId="19" xfId="0" applyNumberFormat="1" applyFont="1" applyFill="1" applyBorder="1" applyAlignment="1">
      <alignment horizontal="center" vertical="center"/>
    </xf>
    <xf numFmtId="0" fontId="3" fillId="10" borderId="49" xfId="0" applyFont="1" applyFill="1" applyBorder="1" applyAlignment="1">
      <alignment horizontal="center" vertical="center"/>
    </xf>
    <xf numFmtId="1" fontId="19" fillId="0" borderId="0" xfId="0" applyNumberFormat="1" applyFont="1" applyAlignment="1">
      <alignment horizontal="center" vertical="center"/>
    </xf>
    <xf numFmtId="166" fontId="3" fillId="0" borderId="0" xfId="0" applyNumberFormat="1" applyFont="1" applyAlignment="1">
      <alignment horizontal="center" vertical="center"/>
    </xf>
    <xf numFmtId="1" fontId="17" fillId="0" borderId="0" xfId="0" applyNumberFormat="1" applyFont="1" applyAlignment="1">
      <alignment horizontal="center" vertical="center"/>
    </xf>
    <xf numFmtId="0" fontId="17" fillId="0" borderId="0" xfId="0" applyFont="1" applyAlignment="1">
      <alignment horizontal="center" vertical="center"/>
    </xf>
    <xf numFmtId="165" fontId="17" fillId="0" borderId="0" xfId="0" applyNumberFormat="1" applyFont="1" applyAlignment="1">
      <alignment horizontal="center" vertical="center"/>
    </xf>
    <xf numFmtId="175" fontId="3" fillId="0" borderId="0" xfId="0" applyNumberFormat="1" applyFont="1" applyAlignment="1">
      <alignment vertical="center"/>
    </xf>
    <xf numFmtId="49" fontId="13" fillId="0" borderId="0" xfId="0" applyNumberFormat="1" applyFont="1" applyAlignment="1">
      <alignment vertical="center"/>
    </xf>
    <xf numFmtId="164" fontId="27" fillId="0" borderId="0" xfId="0" applyNumberFormat="1" applyFont="1" applyAlignment="1">
      <alignment horizontal="left" vertical="center" indent="3"/>
    </xf>
    <xf numFmtId="1" fontId="13" fillId="0" borderId="0" xfId="0" applyNumberFormat="1" applyFont="1" applyAlignment="1">
      <alignment vertical="center"/>
    </xf>
    <xf numFmtId="0" fontId="20" fillId="0" borderId="14" xfId="0" applyFont="1" applyBorder="1" applyAlignment="1">
      <alignment horizontal="right" vertical="center" indent="1"/>
    </xf>
    <xf numFmtId="0" fontId="48" fillId="0" borderId="14" xfId="0" applyFont="1" applyBorder="1" applyAlignment="1">
      <alignment horizontal="right" vertical="center" indent="1"/>
    </xf>
    <xf numFmtId="0" fontId="0" fillId="0" borderId="0" xfId="0" applyAlignment="1">
      <alignment horizontal="right" vertical="center" indent="9"/>
    </xf>
    <xf numFmtId="0" fontId="19" fillId="0" borderId="0" xfId="0" applyFont="1" applyAlignment="1">
      <alignment horizontal="right" vertical="center" indent="9"/>
    </xf>
    <xf numFmtId="165" fontId="15" fillId="29" borderId="7" xfId="0" applyNumberFormat="1" applyFont="1" applyFill="1" applyBorder="1" applyAlignment="1">
      <alignment horizontal="center" vertical="center"/>
    </xf>
    <xf numFmtId="165" fontId="15" fillId="0" borderId="0" xfId="0" applyNumberFormat="1" applyFont="1" applyAlignment="1">
      <alignment horizontal="center" vertical="center"/>
    </xf>
    <xf numFmtId="0" fontId="15" fillId="31" borderId="0" xfId="0" applyFont="1" applyFill="1" applyAlignment="1">
      <alignment horizontal="right" vertical="center"/>
    </xf>
    <xf numFmtId="165" fontId="0" fillId="0" borderId="0" xfId="0" applyNumberFormat="1" applyAlignment="1">
      <alignment horizontal="right" vertical="center" indent="9"/>
    </xf>
    <xf numFmtId="0" fontId="0" fillId="0" borderId="17" xfId="0" applyBorder="1" applyAlignment="1">
      <alignment horizontal="right" vertical="center" indent="9"/>
    </xf>
    <xf numFmtId="0" fontId="19" fillId="0" borderId="80" xfId="0" applyFont="1" applyBorder="1" applyAlignment="1">
      <alignment horizontal="right" vertical="center" indent="9"/>
    </xf>
    <xf numFmtId="165" fontId="13" fillId="29" borderId="167" xfId="0" applyNumberFormat="1" applyFont="1" applyFill="1" applyBorder="1" applyAlignment="1">
      <alignment horizontal="center" vertical="center"/>
    </xf>
    <xf numFmtId="0" fontId="0" fillId="0" borderId="14" xfId="0" applyBorder="1" applyAlignment="1">
      <alignment horizontal="right" vertical="center" indent="9"/>
    </xf>
    <xf numFmtId="165" fontId="19" fillId="0" borderId="0" xfId="0" applyNumberFormat="1" applyFont="1" applyAlignment="1">
      <alignment horizontal="right" vertical="center" indent="9"/>
    </xf>
    <xf numFmtId="0" fontId="19" fillId="0" borderId="0" xfId="0" applyFont="1" applyAlignment="1">
      <alignment horizontal="right" vertical="center" wrapText="1" indent="9"/>
    </xf>
    <xf numFmtId="164" fontId="27" fillId="0" borderId="0" xfId="0" applyNumberFormat="1" applyFont="1" applyAlignment="1">
      <alignment horizontal="center" vertical="center"/>
    </xf>
    <xf numFmtId="0" fontId="47" fillId="0" borderId="0" xfId="0" applyFont="1" applyAlignment="1">
      <alignment vertical="center" wrapText="1"/>
    </xf>
    <xf numFmtId="165" fontId="15" fillId="29" borderId="167" xfId="0" applyNumberFormat="1" applyFont="1" applyFill="1" applyBorder="1" applyAlignment="1">
      <alignment horizontal="center" vertical="center"/>
    </xf>
    <xf numFmtId="165" fontId="15" fillId="0" borderId="7" xfId="0" applyNumberFormat="1" applyFont="1" applyBorder="1" applyAlignment="1">
      <alignment horizontal="right" vertical="center"/>
    </xf>
    <xf numFmtId="0" fontId="3" fillId="0" borderId="0" xfId="0" applyFont="1" applyAlignment="1">
      <alignment horizontal="right" vertical="center" indent="9"/>
    </xf>
    <xf numFmtId="165" fontId="3" fillId="0" borderId="0" xfId="0" applyNumberFormat="1" applyFont="1" applyAlignment="1">
      <alignment horizontal="right" vertical="center" indent="9"/>
    </xf>
    <xf numFmtId="1" fontId="3" fillId="0" borderId="0" xfId="0" applyNumberFormat="1" applyFont="1" applyAlignment="1">
      <alignment horizontal="right" vertical="center" indent="9"/>
    </xf>
    <xf numFmtId="49" fontId="3" fillId="0" borderId="0" xfId="0" applyNumberFormat="1" applyFont="1" applyAlignment="1">
      <alignment horizontal="right" vertical="center" indent="9"/>
    </xf>
    <xf numFmtId="1" fontId="19" fillId="0" borderId="0" xfId="0" applyNumberFormat="1" applyFont="1" applyAlignment="1">
      <alignment horizontal="right" vertical="center" indent="9"/>
    </xf>
    <xf numFmtId="166" fontId="3" fillId="0" borderId="0" xfId="0" applyNumberFormat="1" applyFont="1" applyAlignment="1">
      <alignment horizontal="right" vertical="center" indent="9"/>
    </xf>
    <xf numFmtId="1" fontId="17" fillId="0" borderId="0" xfId="0" applyNumberFormat="1" applyFont="1" applyAlignment="1">
      <alignment horizontal="right" vertical="center" indent="9"/>
    </xf>
    <xf numFmtId="0" fontId="17" fillId="0" borderId="0" xfId="0" applyFont="1" applyAlignment="1">
      <alignment horizontal="right" vertical="center" indent="9"/>
    </xf>
    <xf numFmtId="167" fontId="0" fillId="0" borderId="0" xfId="0" applyNumberFormat="1" applyAlignment="1">
      <alignment horizontal="right" vertical="center" indent="9"/>
    </xf>
    <xf numFmtId="165" fontId="17" fillId="0" borderId="0" xfId="0" applyNumberFormat="1" applyFont="1" applyAlignment="1">
      <alignment horizontal="right" vertical="center" indent="9"/>
    </xf>
    <xf numFmtId="165" fontId="15" fillId="29" borderId="7" xfId="0" applyNumberFormat="1" applyFont="1" applyFill="1" applyBorder="1" applyAlignment="1">
      <alignment horizontal="right" vertical="center"/>
    </xf>
    <xf numFmtId="0" fontId="15" fillId="31" borderId="0" xfId="0" applyFont="1" applyFill="1" applyAlignment="1">
      <alignment horizontal="right" vertical="center" indent="9"/>
    </xf>
    <xf numFmtId="0" fontId="18" fillId="0" borderId="0" xfId="4" applyBorder="1" applyAlignment="1" applyProtection="1">
      <alignment horizontal="right" vertical="center" indent="9"/>
    </xf>
    <xf numFmtId="0" fontId="49" fillId="0" borderId="0" xfId="0" applyFont="1" applyAlignment="1">
      <alignment vertical="center" wrapText="1"/>
    </xf>
    <xf numFmtId="167" fontId="0" fillId="0" borderId="0" xfId="0" applyNumberFormat="1" applyAlignment="1">
      <alignment vertical="center"/>
    </xf>
    <xf numFmtId="0" fontId="18" fillId="0" borderId="0" xfId="4" applyBorder="1" applyAlignment="1" applyProtection="1">
      <alignment vertical="center"/>
    </xf>
    <xf numFmtId="0" fontId="17" fillId="0" borderId="0" xfId="0" applyFont="1" applyAlignment="1">
      <alignment vertical="top" wrapText="1"/>
    </xf>
    <xf numFmtId="0" fontId="16" fillId="27" borderId="0" xfId="0" applyFont="1" applyFill="1" applyAlignment="1">
      <alignment vertical="center"/>
    </xf>
    <xf numFmtId="0" fontId="0" fillId="27" borderId="0" xfId="0" applyFill="1" applyAlignment="1">
      <alignment vertical="center"/>
    </xf>
    <xf numFmtId="0" fontId="16" fillId="0" borderId="14" xfId="0" applyFont="1" applyBorder="1" applyAlignment="1">
      <alignment vertical="center"/>
    </xf>
    <xf numFmtId="0" fontId="5" fillId="0" borderId="14" xfId="0" applyFont="1" applyBorder="1" applyAlignment="1">
      <alignment horizontal="center" vertical="center" wrapText="1"/>
    </xf>
    <xf numFmtId="0" fontId="3" fillId="0" borderId="104" xfId="0" applyFont="1" applyBorder="1" applyAlignment="1">
      <alignment vertical="center"/>
    </xf>
    <xf numFmtId="0" fontId="16" fillId="0" borderId="105" xfId="0" applyFont="1" applyBorder="1" applyAlignment="1">
      <alignment vertical="center"/>
    </xf>
    <xf numFmtId="0" fontId="16" fillId="0" borderId="104" xfId="0" applyFont="1" applyBorder="1" applyAlignment="1">
      <alignment vertical="center"/>
    </xf>
    <xf numFmtId="0" fontId="16" fillId="16" borderId="171" xfId="0" applyFont="1" applyFill="1" applyBorder="1" applyAlignment="1">
      <alignment vertical="center"/>
    </xf>
    <xf numFmtId="0" fontId="5" fillId="16" borderId="172" xfId="0" applyFont="1" applyFill="1" applyBorder="1" applyAlignment="1">
      <alignment horizontal="center" vertical="center" wrapText="1"/>
    </xf>
    <xf numFmtId="165" fontId="0" fillId="33" borderId="7" xfId="0" applyNumberFormat="1" applyFill="1" applyBorder="1" applyAlignment="1">
      <alignment vertical="center"/>
    </xf>
    <xf numFmtId="0" fontId="19" fillId="0" borderId="0" xfId="0" applyFont="1" applyAlignment="1">
      <alignment horizontal="left" vertical="center" wrapText="1"/>
    </xf>
    <xf numFmtId="165" fontId="0" fillId="33" borderId="19" xfId="0" applyNumberFormat="1" applyFill="1" applyBorder="1" applyAlignment="1">
      <alignment vertical="center"/>
    </xf>
    <xf numFmtId="0" fontId="39" fillId="0" borderId="21" xfId="0" applyFont="1" applyBorder="1" applyAlignment="1">
      <alignment horizontal="left" vertical="center" indent="1"/>
    </xf>
    <xf numFmtId="0" fontId="0" fillId="0" borderId="10" xfId="0" applyBorder="1" applyAlignment="1">
      <alignment horizontal="left" vertical="center" indent="1"/>
    </xf>
    <xf numFmtId="165" fontId="0" fillId="5" borderId="10" xfId="0" applyNumberFormat="1" applyFill="1" applyBorder="1" applyAlignment="1">
      <alignment vertical="center"/>
    </xf>
    <xf numFmtId="165" fontId="37" fillId="33" borderId="7" xfId="0" applyNumberFormat="1" applyFont="1" applyFill="1" applyBorder="1" applyAlignment="1">
      <alignment vertical="center"/>
    </xf>
    <xf numFmtId="165" fontId="28" fillId="34" borderId="7" xfId="0" applyNumberFormat="1" applyFont="1" applyFill="1" applyBorder="1" applyAlignment="1">
      <alignment vertical="center"/>
    </xf>
    <xf numFmtId="0" fontId="0" fillId="27" borderId="0" xfId="0" applyFill="1" applyAlignment="1">
      <alignment vertical="center" wrapText="1"/>
    </xf>
    <xf numFmtId="0" fontId="3" fillId="0" borderId="50" xfId="0" applyFont="1" applyBorder="1" applyAlignment="1">
      <alignment vertical="center"/>
    </xf>
    <xf numFmtId="0" fontId="3" fillId="0" borderId="6" xfId="0" applyFont="1" applyBorder="1" applyAlignment="1">
      <alignment vertical="center"/>
    </xf>
    <xf numFmtId="0" fontId="19" fillId="27" borderId="0" xfId="0" applyFont="1" applyFill="1" applyAlignment="1">
      <alignment vertical="center"/>
    </xf>
    <xf numFmtId="165" fontId="37" fillId="36" borderId="7" xfId="0" applyNumberFormat="1" applyFont="1" applyFill="1" applyBorder="1" applyAlignment="1">
      <alignment vertical="center"/>
    </xf>
    <xf numFmtId="173" fontId="28" fillId="0" borderId="0" xfId="0" applyNumberFormat="1" applyFont="1" applyAlignment="1">
      <alignment vertical="center"/>
    </xf>
    <xf numFmtId="165" fontId="0" fillId="33" borderId="98" xfId="0" applyNumberFormat="1" applyFill="1" applyBorder="1" applyAlignment="1">
      <alignment vertical="center"/>
    </xf>
    <xf numFmtId="0" fontId="0" fillId="0" borderId="35" xfId="0" applyBorder="1" applyAlignment="1">
      <alignment vertical="center"/>
    </xf>
    <xf numFmtId="0" fontId="0" fillId="0" borderId="3" xfId="0" applyBorder="1" applyAlignment="1">
      <alignment vertical="center"/>
    </xf>
    <xf numFmtId="0" fontId="0" fillId="0" borderId="130" xfId="0" applyBorder="1" applyAlignment="1">
      <alignment vertical="center"/>
    </xf>
    <xf numFmtId="0" fontId="50" fillId="27" borderId="0" xfId="0" applyFont="1" applyFill="1" applyAlignment="1">
      <alignment vertical="center"/>
    </xf>
    <xf numFmtId="164" fontId="0" fillId="27" borderId="0" xfId="0" applyNumberFormat="1" applyFill="1" applyAlignment="1">
      <alignment vertical="center"/>
    </xf>
    <xf numFmtId="0" fontId="33" fillId="27" borderId="0" xfId="0" applyFont="1" applyFill="1" applyAlignment="1">
      <alignment horizontal="center" vertical="center"/>
    </xf>
    <xf numFmtId="0" fontId="50" fillId="5" borderId="105" xfId="0" applyFont="1" applyFill="1" applyBorder="1" applyAlignment="1">
      <alignment vertical="center"/>
    </xf>
    <xf numFmtId="0" fontId="0" fillId="5" borderId="173" xfId="0" applyFill="1" applyBorder="1" applyAlignment="1">
      <alignment vertical="center"/>
    </xf>
    <xf numFmtId="164" fontId="0" fillId="5" borderId="173" xfId="0" applyNumberFormat="1" applyFill="1" applyBorder="1" applyAlignment="1">
      <alignment vertical="center"/>
    </xf>
    <xf numFmtId="0" fontId="33" fillId="5" borderId="173" xfId="0" applyFont="1" applyFill="1" applyBorder="1" applyAlignment="1">
      <alignment horizontal="center" vertical="center"/>
    </xf>
    <xf numFmtId="0" fontId="33" fillId="5" borderId="104" xfId="0" applyFont="1" applyFill="1" applyBorder="1" applyAlignment="1">
      <alignment horizontal="center" vertical="center"/>
    </xf>
    <xf numFmtId="0" fontId="0" fillId="0" borderId="105" xfId="0" applyBorder="1" applyAlignment="1">
      <alignment vertical="center"/>
    </xf>
    <xf numFmtId="0" fontId="0" fillId="0" borderId="104" xfId="0" applyBorder="1" applyAlignment="1">
      <alignment vertical="center"/>
    </xf>
    <xf numFmtId="0" fontId="16" fillId="0" borderId="6" xfId="0" applyFont="1" applyBorder="1" applyAlignment="1">
      <alignment vertical="center"/>
    </xf>
    <xf numFmtId="0" fontId="16" fillId="16" borderId="41" xfId="0" applyFont="1" applyFill="1" applyBorder="1" applyAlignment="1">
      <alignment vertical="center"/>
    </xf>
    <xf numFmtId="165" fontId="0" fillId="16" borderId="19" xfId="0" applyNumberFormat="1" applyFill="1" applyBorder="1" applyAlignment="1">
      <alignment vertical="center"/>
    </xf>
    <xf numFmtId="0" fontId="22" fillId="0" borderId="0" xfId="0" applyFont="1" applyAlignment="1">
      <alignment vertical="center" wrapText="1"/>
    </xf>
    <xf numFmtId="165" fontId="3" fillId="36" borderId="7" xfId="0" applyNumberFormat="1" applyFont="1" applyFill="1" applyBorder="1" applyAlignment="1">
      <alignment vertical="center"/>
    </xf>
    <xf numFmtId="165" fontId="0" fillId="16" borderId="7" xfId="0" applyNumberFormat="1" applyFill="1" applyBorder="1" applyAlignment="1">
      <alignment vertical="center"/>
    </xf>
    <xf numFmtId="0" fontId="50" fillId="27" borderId="14" xfId="0" applyFont="1" applyFill="1" applyBorder="1" applyAlignment="1">
      <alignment vertical="center"/>
    </xf>
    <xf numFmtId="0" fontId="0" fillId="27" borderId="14" xfId="0" applyFill="1" applyBorder="1" applyAlignment="1">
      <alignment vertical="center"/>
    </xf>
    <xf numFmtId="165" fontId="0" fillId="27" borderId="14" xfId="0" applyNumberFormat="1" applyFill="1" applyBorder="1" applyAlignment="1">
      <alignment vertical="center"/>
    </xf>
    <xf numFmtId="165" fontId="0" fillId="27" borderId="0" xfId="0" applyNumberFormat="1" applyFill="1" applyAlignment="1">
      <alignment vertical="center"/>
    </xf>
    <xf numFmtId="164" fontId="28" fillId="0" borderId="14" xfId="0" applyNumberFormat="1" applyFont="1" applyBorder="1" applyAlignment="1">
      <alignment vertical="center"/>
    </xf>
    <xf numFmtId="0" fontId="28" fillId="0" borderId="14" xfId="0" applyFont="1" applyBorder="1" applyAlignment="1">
      <alignment vertical="center"/>
    </xf>
    <xf numFmtId="0" fontId="16" fillId="0" borderId="27" xfId="0" applyFont="1" applyBorder="1" applyAlignment="1">
      <alignment vertical="center"/>
    </xf>
    <xf numFmtId="164" fontId="28" fillId="27" borderId="0" xfId="0" applyNumberFormat="1" applyFont="1" applyFill="1" applyAlignment="1">
      <alignment vertical="center"/>
    </xf>
    <xf numFmtId="0" fontId="22" fillId="0" borderId="0" xfId="0" applyFont="1" applyAlignment="1">
      <alignment vertical="center"/>
    </xf>
    <xf numFmtId="49" fontId="22" fillId="0" borderId="0" xfId="0" applyNumberFormat="1" applyFont="1" applyAlignment="1">
      <alignment vertical="center"/>
    </xf>
    <xf numFmtId="49" fontId="22" fillId="0" borderId="0" xfId="0" applyNumberFormat="1" applyFont="1" applyAlignment="1">
      <alignment vertical="center" wrapText="1"/>
    </xf>
    <xf numFmtId="164" fontId="22" fillId="0" borderId="0" xfId="0" applyNumberFormat="1" applyFont="1" applyAlignment="1">
      <alignment vertical="center"/>
    </xf>
    <xf numFmtId="0" fontId="53" fillId="2" borderId="0" xfId="0" applyFont="1" applyFill="1" applyAlignment="1">
      <alignment vertical="center"/>
    </xf>
    <xf numFmtId="0" fontId="28" fillId="2" borderId="0" xfId="0" applyFont="1" applyFill="1" applyAlignment="1">
      <alignment vertical="center"/>
    </xf>
    <xf numFmtId="0" fontId="55" fillId="0" borderId="0" xfId="0" applyFont="1" applyAlignment="1">
      <alignment horizontal="left" vertical="center"/>
    </xf>
    <xf numFmtId="0" fontId="4" fillId="0" borderId="0" xfId="0" applyFont="1" applyAlignment="1">
      <alignment vertical="center" wrapText="1"/>
    </xf>
    <xf numFmtId="0" fontId="4" fillId="0" borderId="0" xfId="0" applyFont="1" applyAlignment="1">
      <alignment horizontal="left" vertical="center" wrapText="1" indent="2"/>
    </xf>
    <xf numFmtId="164" fontId="22" fillId="0" borderId="0" xfId="0" applyNumberFormat="1" applyFont="1" applyAlignment="1">
      <alignment horizontal="left" vertical="center" wrapText="1"/>
    </xf>
    <xf numFmtId="0" fontId="3" fillId="0" borderId="0" xfId="0" applyFont="1" applyAlignment="1">
      <alignment vertical="top"/>
    </xf>
    <xf numFmtId="49" fontId="15" fillId="26" borderId="0" xfId="0" applyNumberFormat="1" applyFont="1" applyFill="1" applyAlignment="1" applyProtection="1">
      <alignment horizontal="center" vertical="center"/>
      <protection locked="0"/>
    </xf>
    <xf numFmtId="0" fontId="13" fillId="0" borderId="0" xfId="0" applyFont="1" applyAlignment="1">
      <alignment horizontal="left" vertical="center" wrapText="1" indent="8"/>
    </xf>
    <xf numFmtId="0" fontId="15" fillId="0" borderId="0" xfId="0" applyFont="1" applyAlignment="1">
      <alignment horizontal="right" vertical="center" wrapText="1"/>
    </xf>
    <xf numFmtId="172" fontId="15" fillId="26" borderId="0" xfId="0" applyNumberFormat="1" applyFont="1" applyFill="1" applyAlignment="1" applyProtection="1">
      <alignment horizontal="center" vertical="center" wrapText="1"/>
      <protection locked="0"/>
    </xf>
    <xf numFmtId="164" fontId="3" fillId="0" borderId="0" xfId="0" applyNumberFormat="1" applyFont="1" applyAlignment="1">
      <alignment vertical="top"/>
    </xf>
    <xf numFmtId="0" fontId="57" fillId="16" borderId="174" xfId="0" applyFont="1" applyFill="1" applyBorder="1" applyAlignment="1">
      <alignment horizontal="center" vertical="center" textRotation="90" wrapText="1"/>
    </xf>
    <xf numFmtId="0" fontId="57" fillId="16" borderId="127" xfId="0" applyFont="1" applyFill="1" applyBorder="1" applyAlignment="1">
      <alignment horizontal="center" vertical="center" wrapText="1"/>
    </xf>
    <xf numFmtId="164" fontId="57" fillId="16" borderId="127" xfId="0" applyNumberFormat="1" applyFont="1" applyFill="1" applyBorder="1" applyAlignment="1">
      <alignment horizontal="center" vertical="center" wrapText="1"/>
    </xf>
    <xf numFmtId="164" fontId="57" fillId="16" borderId="132" xfId="0" applyNumberFormat="1" applyFont="1" applyFill="1" applyBorder="1" applyAlignment="1">
      <alignment horizontal="center" vertical="center" wrapText="1"/>
    </xf>
    <xf numFmtId="0" fontId="26" fillId="5" borderId="0" xfId="0" applyFont="1" applyFill="1" applyAlignment="1">
      <alignment horizontal="right" vertical="center"/>
    </xf>
    <xf numFmtId="165" fontId="30" fillId="5" borderId="0" xfId="0" applyNumberFormat="1" applyFont="1" applyFill="1" applyAlignment="1">
      <alignment horizontal="left" vertical="center" indent="3"/>
    </xf>
    <xf numFmtId="0" fontId="26" fillId="0" borderId="0" xfId="0" applyFont="1" applyAlignment="1">
      <alignment horizontal="right" vertical="center"/>
    </xf>
    <xf numFmtId="173" fontId="30" fillId="0" borderId="0" xfId="0" applyNumberFormat="1" applyFont="1" applyAlignment="1">
      <alignment horizontal="left" vertical="center" indent="3"/>
    </xf>
    <xf numFmtId="165" fontId="30" fillId="0" borderId="0" xfId="0" applyNumberFormat="1" applyFont="1" applyAlignment="1">
      <alignment horizontal="left" vertical="center" indent="3"/>
    </xf>
    <xf numFmtId="0" fontId="15" fillId="0" borderId="82" xfId="0" applyFont="1" applyBorder="1" applyAlignment="1">
      <alignment horizontal="center" vertical="center" wrapText="1"/>
    </xf>
    <xf numFmtId="0" fontId="15" fillId="0" borderId="82" xfId="0" applyFont="1" applyBorder="1" applyAlignment="1">
      <alignment horizontal="left" vertical="center" wrapText="1" indent="1"/>
    </xf>
    <xf numFmtId="0" fontId="48" fillId="0" borderId="82" xfId="0" applyFont="1" applyBorder="1" applyAlignment="1">
      <alignment horizontal="left" vertical="center" wrapText="1" indent="1"/>
    </xf>
    <xf numFmtId="165" fontId="15" fillId="6" borderId="82" xfId="0" applyNumberFormat="1" applyFont="1" applyFill="1" applyBorder="1" applyAlignment="1" applyProtection="1">
      <alignment vertical="center"/>
      <protection locked="0"/>
    </xf>
    <xf numFmtId="165" fontId="15" fillId="27" borderId="82" xfId="0" applyNumberFormat="1" applyFont="1" applyFill="1" applyBorder="1" applyAlignment="1">
      <alignment horizontal="left" vertical="center"/>
    </xf>
    <xf numFmtId="165" fontId="15" fillId="27" borderId="178" xfId="0" applyNumberFormat="1" applyFont="1" applyFill="1" applyBorder="1" applyAlignment="1">
      <alignment vertical="center"/>
    </xf>
    <xf numFmtId="0" fontId="15" fillId="0" borderId="98" xfId="0" applyFont="1" applyBorder="1" applyAlignment="1">
      <alignment horizontal="center" vertical="center" wrapText="1"/>
    </xf>
    <xf numFmtId="0" fontId="15" fillId="0" borderId="98" xfId="0" applyFont="1" applyBorder="1" applyAlignment="1">
      <alignment horizontal="left" vertical="center" wrapText="1" indent="1"/>
    </xf>
    <xf numFmtId="0" fontId="3" fillId="0" borderId="98" xfId="0" applyFont="1" applyBorder="1" applyAlignment="1">
      <alignment horizontal="left" vertical="center" wrapText="1" indent="1"/>
    </xf>
    <xf numFmtId="165" fontId="15" fillId="6" borderId="98" xfId="0" applyNumberFormat="1" applyFont="1" applyFill="1" applyBorder="1" applyAlignment="1" applyProtection="1">
      <alignment vertical="center"/>
      <protection locked="0"/>
    </xf>
    <xf numFmtId="165" fontId="15" fillId="27" borderId="98" xfId="0" applyNumberFormat="1" applyFont="1" applyFill="1" applyBorder="1" applyAlignment="1">
      <alignment horizontal="left" vertical="center"/>
    </xf>
    <xf numFmtId="165" fontId="15" fillId="27" borderId="106" xfId="0" applyNumberFormat="1" applyFont="1" applyFill="1" applyBorder="1" applyAlignment="1">
      <alignment vertical="center"/>
    </xf>
    <xf numFmtId="175" fontId="3" fillId="0" borderId="0" xfId="0" applyNumberFormat="1" applyFont="1" applyAlignment="1">
      <alignment horizontal="right" vertical="center"/>
    </xf>
    <xf numFmtId="0" fontId="3" fillId="0" borderId="82" xfId="0" applyFont="1" applyBorder="1" applyAlignment="1">
      <alignment vertical="center" wrapText="1"/>
    </xf>
    <xf numFmtId="0" fontId="13" fillId="0" borderId="82" xfId="0" applyFont="1" applyBorder="1" applyAlignment="1">
      <alignment horizontal="right" vertical="center" wrapText="1" indent="1"/>
    </xf>
    <xf numFmtId="0" fontId="19" fillId="0" borderId="84" xfId="0" applyFont="1" applyBorder="1" applyAlignment="1">
      <alignment vertical="center" wrapText="1"/>
    </xf>
    <xf numFmtId="165" fontId="15" fillId="38" borderId="82" xfId="0" applyNumberFormat="1" applyFont="1" applyFill="1" applyBorder="1" applyAlignment="1">
      <alignment vertical="center"/>
    </xf>
    <xf numFmtId="165" fontId="15" fillId="38" borderId="82" xfId="0" applyNumberFormat="1" applyFont="1" applyFill="1" applyBorder="1" applyAlignment="1">
      <alignment horizontal="left" vertical="center"/>
    </xf>
    <xf numFmtId="165" fontId="15" fillId="38" borderId="178" xfId="0" applyNumberFormat="1" applyFont="1" applyFill="1" applyBorder="1" applyAlignment="1">
      <alignment vertical="center"/>
    </xf>
    <xf numFmtId="0" fontId="15" fillId="14" borderId="7" xfId="0" applyFont="1" applyFill="1" applyBorder="1" applyAlignment="1">
      <alignment horizontal="center" vertical="center" wrapText="1"/>
    </xf>
    <xf numFmtId="0" fontId="15" fillId="14" borderId="7" xfId="0" applyFont="1" applyFill="1" applyBorder="1" applyAlignment="1">
      <alignment horizontal="left" vertical="center" wrapText="1" indent="1"/>
    </xf>
    <xf numFmtId="0" fontId="3" fillId="14" borderId="21" xfId="0" applyFont="1" applyFill="1" applyBorder="1" applyAlignment="1">
      <alignment horizontal="left" vertical="center" wrapText="1" indent="1"/>
    </xf>
    <xf numFmtId="165" fontId="15" fillId="6" borderId="7" xfId="0" applyNumberFormat="1" applyFont="1" applyFill="1" applyBorder="1" applyAlignment="1" applyProtection="1">
      <alignment vertical="center"/>
      <protection locked="0"/>
    </xf>
    <xf numFmtId="165" fontId="15" fillId="27" borderId="7" xfId="0" applyNumberFormat="1" applyFont="1" applyFill="1" applyBorder="1" applyAlignment="1">
      <alignment horizontal="left" vertical="center"/>
    </xf>
    <xf numFmtId="165" fontId="15" fillId="27" borderId="85" xfId="0" applyNumberFormat="1" applyFont="1" applyFill="1" applyBorder="1" applyAlignment="1">
      <alignment vertical="center"/>
    </xf>
    <xf numFmtId="0" fontId="15" fillId="14" borderId="44" xfId="0" applyFont="1" applyFill="1" applyBorder="1" applyAlignment="1">
      <alignment horizontal="center" vertical="center" wrapText="1"/>
    </xf>
    <xf numFmtId="0" fontId="15" fillId="14" borderId="44" xfId="0" applyFont="1" applyFill="1" applyBorder="1" applyAlignment="1">
      <alignment horizontal="left" vertical="center" wrapText="1" indent="1"/>
    </xf>
    <xf numFmtId="0" fontId="3" fillId="14" borderId="179" xfId="0" applyFont="1" applyFill="1" applyBorder="1" applyAlignment="1">
      <alignment horizontal="left" vertical="center" wrapText="1" indent="1"/>
    </xf>
    <xf numFmtId="165" fontId="15" fillId="6" borderId="44" xfId="0" applyNumberFormat="1" applyFont="1" applyFill="1" applyBorder="1" applyAlignment="1" applyProtection="1">
      <alignment vertical="center"/>
      <protection locked="0"/>
    </xf>
    <xf numFmtId="165" fontId="15" fillId="27" borderId="44" xfId="0" applyNumberFormat="1" applyFont="1" applyFill="1" applyBorder="1" applyAlignment="1">
      <alignment horizontal="left" vertical="center"/>
    </xf>
    <xf numFmtId="165" fontId="15" fillId="27" borderId="180" xfId="0" applyNumberFormat="1" applyFont="1" applyFill="1" applyBorder="1" applyAlignment="1">
      <alignment vertical="center"/>
    </xf>
    <xf numFmtId="0" fontId="15" fillId="0" borderId="19" xfId="0" applyFont="1" applyBorder="1" applyAlignment="1">
      <alignment horizontal="center" vertical="center" wrapText="1"/>
    </xf>
    <xf numFmtId="0" fontId="15" fillId="0" borderId="19" xfId="0" applyFont="1" applyBorder="1" applyAlignment="1">
      <alignment horizontal="left" vertical="center" wrapText="1" indent="1"/>
    </xf>
    <xf numFmtId="0" fontId="3" fillId="0" borderId="35" xfId="0" applyFont="1" applyBorder="1" applyAlignment="1">
      <alignment horizontal="left" vertical="center" wrapText="1" indent="1"/>
    </xf>
    <xf numFmtId="165" fontId="15" fillId="6" borderId="19" xfId="0" applyNumberFormat="1" applyFont="1" applyFill="1" applyBorder="1" applyAlignment="1" applyProtection="1">
      <alignment vertical="center"/>
      <protection locked="0"/>
    </xf>
    <xf numFmtId="165" fontId="15" fillId="27" borderId="19" xfId="0" applyNumberFormat="1" applyFont="1" applyFill="1" applyBorder="1" applyAlignment="1">
      <alignment horizontal="left" vertical="center"/>
    </xf>
    <xf numFmtId="165" fontId="15" fillId="27" borderId="182" xfId="0" applyNumberFormat="1" applyFont="1" applyFill="1" applyBorder="1" applyAlignment="1">
      <alignment vertical="center"/>
    </xf>
    <xf numFmtId="0" fontId="15" fillId="0" borderId="7" xfId="0" applyFont="1" applyBorder="1" applyAlignment="1">
      <alignment horizontal="left" vertical="center" wrapText="1" indent="1"/>
    </xf>
    <xf numFmtId="0" fontId="3" fillId="0" borderId="21" xfId="0" applyFont="1" applyBorder="1" applyAlignment="1">
      <alignment horizontal="left" vertical="center" wrapText="1" indent="1"/>
    </xf>
    <xf numFmtId="0" fontId="15" fillId="0" borderId="181" xfId="0" applyFont="1" applyBorder="1" applyAlignment="1">
      <alignment horizontal="center" vertical="center" wrapText="1"/>
    </xf>
    <xf numFmtId="0" fontId="15" fillId="0" borderId="181" xfId="0" applyFont="1" applyBorder="1" applyAlignment="1">
      <alignment horizontal="left" vertical="center" wrapText="1" indent="1"/>
    </xf>
    <xf numFmtId="0" fontId="3" fillId="0" borderId="44" xfId="0" applyFont="1" applyBorder="1" applyAlignment="1">
      <alignment horizontal="left" vertical="center" wrapText="1" indent="1"/>
    </xf>
    <xf numFmtId="165" fontId="15" fillId="6" borderId="181" xfId="0" applyNumberFormat="1" applyFont="1" applyFill="1" applyBorder="1" applyAlignment="1" applyProtection="1">
      <alignment vertical="center"/>
      <protection locked="0"/>
    </xf>
    <xf numFmtId="0" fontId="3" fillId="0" borderId="82" xfId="0" applyFont="1" applyBorder="1" applyAlignment="1">
      <alignment horizontal="left" vertical="center" wrapText="1" indent="1"/>
    </xf>
    <xf numFmtId="0" fontId="19" fillId="0" borderId="0" xfId="0" applyFont="1" applyAlignment="1">
      <alignment horizontal="right" vertical="center" textRotation="90" wrapText="1"/>
    </xf>
    <xf numFmtId="0" fontId="3" fillId="0" borderId="7" xfId="0" applyFont="1" applyBorder="1" applyAlignment="1">
      <alignment horizontal="left" vertical="center" wrapText="1" indent="1"/>
    </xf>
    <xf numFmtId="0" fontId="15" fillId="0" borderId="44" xfId="0" applyFont="1" applyBorder="1" applyAlignment="1">
      <alignment horizontal="center" vertical="center" wrapText="1"/>
    </xf>
    <xf numFmtId="0" fontId="15" fillId="0" borderId="44" xfId="0" applyFont="1" applyBorder="1" applyAlignment="1">
      <alignment horizontal="left" vertical="center" wrapText="1" indent="1"/>
    </xf>
    <xf numFmtId="181" fontId="3" fillId="0" borderId="0" xfId="0" applyNumberFormat="1" applyFont="1" applyAlignment="1">
      <alignment vertical="center"/>
    </xf>
    <xf numFmtId="165" fontId="5" fillId="16" borderId="98" xfId="0" applyNumberFormat="1" applyFont="1" applyFill="1" applyBorder="1" applyAlignment="1">
      <alignment horizontal="left" vertical="center"/>
    </xf>
    <xf numFmtId="0" fontId="5" fillId="0" borderId="0" xfId="0" applyFont="1" applyAlignment="1">
      <alignment horizontal="right" vertical="center" wrapText="1" indent="1"/>
    </xf>
    <xf numFmtId="165" fontId="5" fillId="0" borderId="0" xfId="0" applyNumberFormat="1" applyFont="1" applyAlignment="1">
      <alignment horizontal="left" vertical="center"/>
    </xf>
    <xf numFmtId="0" fontId="15" fillId="0" borderId="84"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184" xfId="0" applyFont="1" applyBorder="1" applyAlignment="1">
      <alignment horizontal="center" vertical="center" wrapText="1"/>
    </xf>
    <xf numFmtId="0" fontId="3" fillId="0" borderId="82" xfId="0" applyFont="1" applyBorder="1" applyAlignment="1">
      <alignment horizontal="center" vertical="center" wrapText="1"/>
    </xf>
    <xf numFmtId="0" fontId="48" fillId="14" borderId="21" xfId="0" applyFont="1" applyFill="1" applyBorder="1" applyAlignment="1">
      <alignment horizontal="left" vertical="center" wrapText="1" indent="1"/>
    </xf>
    <xf numFmtId="0" fontId="3" fillId="14" borderId="7" xfId="0" applyFont="1" applyFill="1" applyBorder="1" applyAlignment="1">
      <alignment horizontal="left" vertical="center" wrapText="1" indent="1"/>
    </xf>
    <xf numFmtId="0" fontId="3" fillId="14" borderId="44" xfId="0" applyFont="1" applyFill="1" applyBorder="1" applyAlignment="1">
      <alignment horizontal="left" vertical="center" wrapText="1" indent="1"/>
    </xf>
    <xf numFmtId="0" fontId="3" fillId="5" borderId="82" xfId="0" applyFont="1" applyFill="1" applyBorder="1" applyAlignment="1">
      <alignment horizontal="left" vertical="center" wrapText="1" indent="1"/>
    </xf>
    <xf numFmtId="0" fontId="3" fillId="5" borderId="7" xfId="0" applyFont="1" applyFill="1" applyBorder="1" applyAlignment="1">
      <alignment horizontal="left" vertical="center" wrapText="1" indent="1"/>
    </xf>
    <xf numFmtId="0" fontId="15" fillId="5" borderId="7" xfId="0" applyFont="1" applyFill="1" applyBorder="1" applyAlignment="1">
      <alignment horizontal="left" vertical="center" wrapText="1" indent="1"/>
    </xf>
    <xf numFmtId="0" fontId="3" fillId="5" borderId="98" xfId="0" applyFont="1" applyFill="1" applyBorder="1" applyAlignment="1">
      <alignment horizontal="left" vertical="center" wrapText="1" indent="1"/>
    </xf>
    <xf numFmtId="0" fontId="3" fillId="0" borderId="177" xfId="0" applyFont="1" applyBorder="1" applyAlignment="1">
      <alignment vertical="center" wrapText="1"/>
    </xf>
    <xf numFmtId="0" fontId="15" fillId="0" borderId="177" xfId="0" applyFont="1" applyBorder="1" applyAlignment="1">
      <alignment horizontal="left" vertical="center" wrapText="1" indent="1"/>
    </xf>
    <xf numFmtId="0" fontId="3" fillId="5" borderId="177" xfId="0" applyFont="1" applyFill="1" applyBorder="1" applyAlignment="1">
      <alignment horizontal="left" vertical="center" wrapText="1" indent="1"/>
    </xf>
    <xf numFmtId="165" fontId="15" fillId="38" borderId="177" xfId="0" applyNumberFormat="1" applyFont="1" applyFill="1" applyBorder="1" applyAlignment="1">
      <alignment vertical="center"/>
    </xf>
    <xf numFmtId="165" fontId="15" fillId="38" borderId="177" xfId="0" applyNumberFormat="1" applyFont="1" applyFill="1" applyBorder="1" applyAlignment="1">
      <alignment horizontal="left" vertical="center"/>
    </xf>
    <xf numFmtId="165" fontId="15" fillId="38" borderId="185" xfId="0" applyNumberFormat="1" applyFont="1" applyFill="1" applyBorder="1" applyAlignment="1">
      <alignment vertical="center"/>
    </xf>
    <xf numFmtId="0" fontId="3" fillId="0" borderId="19" xfId="0" applyFont="1" applyBorder="1" applyAlignment="1">
      <alignment horizontal="left" vertical="center" wrapText="1" indent="1"/>
    </xf>
    <xf numFmtId="0" fontId="3" fillId="0" borderId="7" xfId="0" applyFont="1" applyBorder="1" applyAlignment="1">
      <alignment horizontal="center" vertical="center" wrapText="1"/>
    </xf>
    <xf numFmtId="0" fontId="59" fillId="0" borderId="0" xfId="0" applyFont="1" applyAlignment="1">
      <alignment vertical="center"/>
    </xf>
    <xf numFmtId="0" fontId="3" fillId="0" borderId="88" xfId="0" applyFont="1" applyBorder="1" applyAlignment="1">
      <alignment horizontal="left" vertical="center" wrapText="1" indent="1"/>
    </xf>
    <xf numFmtId="165" fontId="15" fillId="27" borderId="181" xfId="0" applyNumberFormat="1" applyFont="1" applyFill="1" applyBorder="1" applyAlignment="1">
      <alignment horizontal="left" vertical="center"/>
    </xf>
    <xf numFmtId="165" fontId="15" fillId="27" borderId="186" xfId="0" applyNumberFormat="1" applyFont="1" applyFill="1" applyBorder="1" applyAlignment="1">
      <alignment vertical="center"/>
    </xf>
    <xf numFmtId="49" fontId="3" fillId="0" borderId="0" xfId="0" applyNumberFormat="1" applyFont="1" applyAlignment="1">
      <alignment horizontal="left" vertical="center" wrapText="1"/>
    </xf>
    <xf numFmtId="181" fontId="3" fillId="0" borderId="0" xfId="0" applyNumberFormat="1" applyFont="1" applyAlignment="1">
      <alignment horizontal="left" vertical="center"/>
    </xf>
    <xf numFmtId="165" fontId="5" fillId="16" borderId="7" xfId="0" applyNumberFormat="1" applyFont="1" applyFill="1" applyBorder="1" applyAlignment="1">
      <alignment horizontal="left" vertical="center"/>
    </xf>
    <xf numFmtId="0" fontId="19" fillId="5" borderId="0" xfId="0" applyFont="1" applyFill="1" applyAlignment="1">
      <alignment vertical="center"/>
    </xf>
    <xf numFmtId="0" fontId="34" fillId="10" borderId="21" xfId="0" applyFont="1" applyFill="1" applyBorder="1" applyAlignment="1">
      <alignment horizontal="center" vertical="center"/>
    </xf>
    <xf numFmtId="165" fontId="0" fillId="10" borderId="7" xfId="0" applyNumberFormat="1" applyFill="1" applyBorder="1" applyAlignment="1">
      <alignment horizontal="right" vertical="center"/>
    </xf>
    <xf numFmtId="0" fontId="52" fillId="5" borderId="0" xfId="0" applyFont="1" applyFill="1" applyAlignment="1">
      <alignment horizontal="left" vertical="center" wrapText="1" indent="1"/>
    </xf>
    <xf numFmtId="0" fontId="61" fillId="5" borderId="0" xfId="0" applyFont="1" applyFill="1" applyAlignment="1">
      <alignment vertical="center" wrapText="1"/>
    </xf>
    <xf numFmtId="0" fontId="61" fillId="0" borderId="0" xfId="0" applyFont="1" applyAlignment="1">
      <alignment vertical="center" wrapText="1"/>
    </xf>
    <xf numFmtId="165" fontId="19" fillId="10" borderId="135" xfId="0" applyNumberFormat="1" applyFont="1" applyFill="1" applyBorder="1" applyAlignment="1">
      <alignment horizontal="right" vertical="center"/>
    </xf>
    <xf numFmtId="14" fontId="0" fillId="0" borderId="0" xfId="0" applyNumberFormat="1" applyAlignment="1">
      <alignment horizontal="center" vertical="center"/>
    </xf>
    <xf numFmtId="165" fontId="0" fillId="0" borderId="0" xfId="0" applyNumberFormat="1" applyAlignment="1">
      <alignment horizontal="right" vertical="center" wrapText="1"/>
    </xf>
    <xf numFmtId="0" fontId="0" fillId="39" borderId="49" xfId="0" applyFill="1" applyBorder="1" applyAlignment="1">
      <alignment vertical="center"/>
    </xf>
    <xf numFmtId="171" fontId="36" fillId="40" borderId="49" xfId="0" applyNumberFormat="1" applyFont="1" applyFill="1" applyBorder="1" applyAlignment="1">
      <alignment horizontal="center" vertical="center" wrapText="1"/>
    </xf>
    <xf numFmtId="0" fontId="36" fillId="40" borderId="49" xfId="0" applyFont="1" applyFill="1" applyBorder="1" applyAlignment="1">
      <alignment horizontal="center" vertical="center" wrapText="1"/>
    </xf>
    <xf numFmtId="0" fontId="3" fillId="6" borderId="7" xfId="0" applyFont="1" applyFill="1" applyBorder="1" applyAlignment="1" applyProtection="1">
      <alignment horizontal="left" vertical="center" indent="1"/>
      <protection locked="0"/>
    </xf>
    <xf numFmtId="172" fontId="0" fillId="6" borderId="7" xfId="0" applyNumberFormat="1" applyFill="1" applyBorder="1" applyAlignment="1" applyProtection="1">
      <alignment horizontal="center" vertical="center"/>
      <protection locked="0"/>
    </xf>
    <xf numFmtId="165" fontId="0" fillId="6" borderId="21" xfId="0" applyNumberFormat="1" applyFill="1" applyBorder="1" applyAlignment="1" applyProtection="1">
      <alignment horizontal="right" vertical="center" wrapText="1"/>
      <protection locked="0"/>
    </xf>
    <xf numFmtId="165" fontId="0" fillId="8" borderId="7" xfId="0" applyNumberFormat="1" applyFill="1" applyBorder="1" applyAlignment="1" applyProtection="1">
      <alignment horizontal="right" vertical="center" wrapText="1"/>
      <protection locked="0"/>
    </xf>
    <xf numFmtId="0" fontId="0" fillId="6" borderId="7" xfId="0" applyFill="1" applyBorder="1" applyAlignment="1" applyProtection="1">
      <alignment horizontal="left" vertical="center" indent="1"/>
      <protection locked="0"/>
    </xf>
    <xf numFmtId="165" fontId="19" fillId="10" borderId="7" xfId="0" applyNumberFormat="1" applyFont="1" applyFill="1" applyBorder="1" applyAlignment="1">
      <alignment horizontal="right" vertical="center" wrapText="1"/>
    </xf>
    <xf numFmtId="0" fontId="19" fillId="5" borderId="50" xfId="0" applyFont="1" applyFill="1" applyBorder="1" applyAlignment="1">
      <alignment horizontal="center" vertical="center"/>
    </xf>
    <xf numFmtId="0" fontId="63" fillId="0" borderId="0" xfId="0" applyFont="1" applyAlignment="1">
      <alignment vertical="center"/>
    </xf>
    <xf numFmtId="165" fontId="0" fillId="10" borderId="7" xfId="0" applyNumberFormat="1" applyFill="1" applyBorder="1" applyAlignment="1">
      <alignment horizontal="right" vertical="center" wrapText="1"/>
    </xf>
    <xf numFmtId="0" fontId="0" fillId="0" borderId="0" xfId="0" applyAlignment="1">
      <alignment horizontal="left" vertical="center" indent="1"/>
    </xf>
    <xf numFmtId="182" fontId="0" fillId="0" borderId="0" xfId="0" applyNumberFormat="1" applyAlignment="1">
      <alignment vertical="center"/>
    </xf>
    <xf numFmtId="165" fontId="19" fillId="10" borderId="135" xfId="0" applyNumberFormat="1" applyFont="1" applyFill="1" applyBorder="1" applyAlignment="1">
      <alignment horizontal="right" vertical="center" wrapText="1"/>
    </xf>
    <xf numFmtId="0" fontId="36" fillId="40" borderId="98" xfId="0" applyFont="1" applyFill="1" applyBorder="1" applyAlignment="1">
      <alignment horizontal="center" vertical="center" wrapText="1"/>
    </xf>
    <xf numFmtId="171" fontId="36" fillId="16" borderId="19" xfId="0" applyNumberFormat="1" applyFont="1" applyFill="1" applyBorder="1" applyAlignment="1">
      <alignment horizontal="center" vertical="center"/>
    </xf>
    <xf numFmtId="0" fontId="36" fillId="40" borderId="19" xfId="0" applyFont="1" applyFill="1" applyBorder="1" applyAlignment="1">
      <alignment horizontal="center" vertical="center" wrapText="1"/>
    </xf>
    <xf numFmtId="165" fontId="0" fillId="8" borderId="7" xfId="0" applyNumberFormat="1" applyFill="1" applyBorder="1" applyAlignment="1">
      <alignment vertical="center" wrapText="1"/>
    </xf>
    <xf numFmtId="165" fontId="0" fillId="8" borderId="98" xfId="0" applyNumberFormat="1" applyFill="1" applyBorder="1" applyAlignment="1">
      <alignment vertical="center" wrapText="1"/>
    </xf>
    <xf numFmtId="165" fontId="19" fillId="10" borderId="7" xfId="0" applyNumberFormat="1" applyFont="1" applyFill="1" applyBorder="1" applyAlignment="1">
      <alignment horizontal="right" vertical="center"/>
    </xf>
    <xf numFmtId="0" fontId="3" fillId="0" borderId="0" xfId="0" applyFont="1" applyAlignment="1">
      <alignment wrapText="1"/>
    </xf>
    <xf numFmtId="0" fontId="64" fillId="5" borderId="0" xfId="0" applyFont="1" applyFill="1" applyAlignment="1">
      <alignment horizontal="left" vertical="center" wrapText="1" indent="1"/>
    </xf>
    <xf numFmtId="0" fontId="28" fillId="0" borderId="0" xfId="0" applyFont="1"/>
    <xf numFmtId="0" fontId="34" fillId="0" borderId="187" xfId="0" applyFont="1" applyBorder="1" applyAlignment="1">
      <alignment horizontal="center" wrapText="1"/>
    </xf>
    <xf numFmtId="164" fontId="5" fillId="0" borderId="0" xfId="0" applyNumberFormat="1" applyFont="1"/>
    <xf numFmtId="1" fontId="31" fillId="8" borderId="165" xfId="0" applyNumberFormat="1" applyFont="1" applyFill="1" applyBorder="1" applyAlignment="1" applyProtection="1">
      <alignment horizontal="center"/>
      <protection locked="0"/>
    </xf>
    <xf numFmtId="0" fontId="3" fillId="5" borderId="0" xfId="0" applyFont="1" applyFill="1"/>
    <xf numFmtId="0" fontId="64" fillId="5" borderId="0" xfId="0" applyFont="1" applyFill="1" applyAlignment="1">
      <alignment horizontal="left" vertical="center" wrapText="1"/>
    </xf>
    <xf numFmtId="0" fontId="65" fillId="5" borderId="0" xfId="0" applyFont="1" applyFill="1"/>
    <xf numFmtId="0" fontId="49" fillId="5" borderId="188" xfId="0" applyFont="1" applyFill="1" applyBorder="1" applyAlignment="1">
      <alignment horizontal="center" vertical="center" wrapText="1"/>
    </xf>
    <xf numFmtId="0" fontId="49" fillId="5" borderId="189" xfId="0" applyFont="1" applyFill="1" applyBorder="1" applyAlignment="1">
      <alignment horizontal="center" vertical="center" wrapText="1"/>
    </xf>
    <xf numFmtId="0" fontId="64" fillId="5" borderId="3" xfId="0" applyFont="1" applyFill="1" applyBorder="1" applyAlignment="1">
      <alignment vertical="top" wrapText="1"/>
    </xf>
    <xf numFmtId="0" fontId="64" fillId="5" borderId="0" xfId="0" applyFont="1" applyFill="1" applyAlignment="1">
      <alignment vertical="top" wrapText="1"/>
    </xf>
    <xf numFmtId="0" fontId="52" fillId="43" borderId="100" xfId="0" applyFont="1" applyFill="1" applyBorder="1" applyAlignment="1">
      <alignment horizontal="center" vertical="center"/>
    </xf>
    <xf numFmtId="0" fontId="52" fillId="43" borderId="85" xfId="0" applyFont="1" applyFill="1" applyBorder="1" applyAlignment="1">
      <alignment horizontal="center" vertical="center"/>
    </xf>
    <xf numFmtId="0" fontId="52" fillId="44" borderId="100" xfId="0" applyFont="1" applyFill="1" applyBorder="1" applyAlignment="1">
      <alignment horizontal="center" vertical="center"/>
    </xf>
    <xf numFmtId="0" fontId="52" fillId="44" borderId="85" xfId="0" applyFont="1" applyFill="1" applyBorder="1" applyAlignment="1">
      <alignment horizontal="center" vertical="center"/>
    </xf>
    <xf numFmtId="0" fontId="52" fillId="17" borderId="100" xfId="0" applyFont="1" applyFill="1" applyBorder="1" applyAlignment="1">
      <alignment horizontal="center" vertical="center"/>
    </xf>
    <xf numFmtId="0" fontId="52" fillId="17" borderId="85" xfId="0" applyFont="1" applyFill="1" applyBorder="1" applyAlignment="1">
      <alignment horizontal="center" vertical="center"/>
    </xf>
    <xf numFmtId="49" fontId="28" fillId="0" borderId="0" xfId="0" applyNumberFormat="1" applyFont="1"/>
    <xf numFmtId="0" fontId="36" fillId="0" borderId="3" xfId="0" applyFont="1" applyBorder="1" applyAlignment="1">
      <alignment horizontal="center" vertical="center" wrapText="1"/>
    </xf>
    <xf numFmtId="0" fontId="36" fillId="0" borderId="0" xfId="0" applyFont="1" applyAlignment="1">
      <alignment horizontal="center" vertical="center" wrapText="1"/>
    </xf>
    <xf numFmtId="0" fontId="36" fillId="0" borderId="190" xfId="0" applyFont="1" applyBorder="1" applyAlignment="1">
      <alignment horizontal="center" vertical="center" wrapText="1"/>
    </xf>
    <xf numFmtId="0" fontId="67" fillId="0" borderId="107" xfId="0" applyFont="1" applyBorder="1" applyAlignment="1">
      <alignment horizontal="left" vertical="center" wrapText="1"/>
    </xf>
    <xf numFmtId="0" fontId="67" fillId="0" borderId="106" xfId="0" applyFont="1" applyBorder="1" applyAlignment="1">
      <alignment horizontal="left" vertical="center" wrapText="1"/>
    </xf>
    <xf numFmtId="0" fontId="20" fillId="0" borderId="14" xfId="0" applyFont="1" applyBorder="1" applyAlignment="1">
      <alignment horizontal="center" vertical="center" wrapText="1"/>
    </xf>
    <xf numFmtId="0" fontId="20" fillId="0" borderId="129" xfId="0" applyFont="1" applyBorder="1" applyAlignment="1" applyProtection="1">
      <alignment horizontal="center" vertical="center" wrapText="1"/>
      <protection locked="0"/>
    </xf>
    <xf numFmtId="0" fontId="20" fillId="0" borderId="19" xfId="0" applyFont="1" applyBorder="1" applyAlignment="1" applyProtection="1">
      <alignment horizontal="center" vertical="center" wrapText="1"/>
      <protection locked="0"/>
    </xf>
    <xf numFmtId="0" fontId="20" fillId="0" borderId="191" xfId="0" applyFont="1" applyBorder="1" applyAlignment="1">
      <alignment horizontal="center" vertical="center" wrapText="1"/>
    </xf>
    <xf numFmtId="0" fontId="20" fillId="0" borderId="3" xfId="0" applyFont="1" applyBorder="1" applyAlignment="1">
      <alignment horizontal="center" vertical="center" wrapText="1"/>
    </xf>
    <xf numFmtId="0" fontId="26" fillId="0" borderId="107" xfId="0" applyFont="1" applyBorder="1" applyAlignment="1">
      <alignment horizontal="center" vertical="center" wrapText="1"/>
    </xf>
    <xf numFmtId="0" fontId="36" fillId="0" borderId="105" xfId="0" applyFont="1" applyBorder="1" applyAlignment="1">
      <alignment horizontal="center" vertical="center" wrapText="1"/>
    </xf>
    <xf numFmtId="0" fontId="36" fillId="0" borderId="129"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182" xfId="0" applyFont="1" applyBorder="1" applyAlignment="1">
      <alignment horizontal="center" vertical="center" wrapText="1"/>
    </xf>
    <xf numFmtId="0" fontId="54" fillId="0" borderId="3" xfId="0" applyFont="1" applyBorder="1" applyAlignment="1">
      <alignment horizontal="center" vertical="center" wrapText="1"/>
    </xf>
    <xf numFmtId="0" fontId="36" fillId="0" borderId="107" xfId="0" applyFont="1" applyBorder="1" applyAlignment="1">
      <alignment horizontal="center" vertical="center"/>
    </xf>
    <xf numFmtId="0" fontId="20" fillId="0" borderId="182" xfId="0" applyFont="1" applyBorder="1" applyAlignment="1" applyProtection="1">
      <alignment horizontal="center" vertical="center" wrapText="1"/>
      <protection locked="0"/>
    </xf>
    <xf numFmtId="0" fontId="26" fillId="0" borderId="14" xfId="0" applyFont="1" applyBorder="1" applyAlignment="1">
      <alignment horizontal="center" vertical="center" wrapText="1"/>
    </xf>
    <xf numFmtId="0" fontId="67" fillId="0" borderId="106" xfId="0" applyFont="1" applyBorder="1" applyAlignment="1" applyProtection="1">
      <alignment horizontal="left" vertical="center" wrapText="1"/>
      <protection locked="0"/>
    </xf>
    <xf numFmtId="0" fontId="26" fillId="0" borderId="191" xfId="0" applyFont="1" applyBorder="1" applyAlignment="1">
      <alignment horizontal="center" vertical="center" wrapText="1"/>
    </xf>
    <xf numFmtId="0" fontId="26" fillId="0" borderId="3" xfId="0" applyFont="1" applyBorder="1" applyAlignment="1">
      <alignment horizontal="center" vertical="center" wrapText="1"/>
    </xf>
    <xf numFmtId="0" fontId="21" fillId="6" borderId="7" xfId="0" applyFont="1" applyFill="1" applyBorder="1" applyAlignment="1" applyProtection="1">
      <alignment horizontal="center" vertical="center"/>
      <protection locked="0"/>
    </xf>
    <xf numFmtId="172" fontId="21" fillId="6" borderId="21" xfId="0" applyNumberFormat="1" applyFont="1" applyFill="1" applyBorder="1" applyAlignment="1" applyProtection="1">
      <alignment horizontal="center" vertical="center"/>
      <protection locked="0"/>
    </xf>
    <xf numFmtId="14" fontId="21" fillId="6" borderId="85" xfId="0" applyNumberFormat="1" applyFont="1" applyFill="1" applyBorder="1" applyAlignment="1" applyProtection="1">
      <alignment horizontal="left" vertical="center" wrapText="1" indent="1"/>
      <protection locked="0"/>
    </xf>
    <xf numFmtId="0" fontId="21" fillId="6" borderId="100" xfId="0" applyFont="1" applyFill="1" applyBorder="1" applyAlignment="1" applyProtection="1">
      <alignment horizontal="left" vertical="center" wrapText="1" indent="1"/>
      <protection locked="0"/>
    </xf>
    <xf numFmtId="165" fontId="46" fillId="6" borderId="85" xfId="0" applyNumberFormat="1" applyFont="1" applyFill="1" applyBorder="1" applyAlignment="1" applyProtection="1">
      <alignment vertical="center"/>
      <protection locked="0"/>
    </xf>
    <xf numFmtId="165" fontId="46" fillId="33" borderId="10" xfId="0" applyNumberFormat="1" applyFont="1" applyFill="1" applyBorder="1" applyAlignment="1">
      <alignment vertical="center"/>
    </xf>
    <xf numFmtId="165" fontId="46" fillId="33" borderId="100" xfId="0" applyNumberFormat="1" applyFont="1" applyFill="1" applyBorder="1" applyAlignment="1" applyProtection="1">
      <alignment vertical="center"/>
      <protection locked="0"/>
    </xf>
    <xf numFmtId="165" fontId="46" fillId="33" borderId="7" xfId="0" applyNumberFormat="1" applyFont="1" applyFill="1" applyBorder="1" applyAlignment="1" applyProtection="1">
      <alignment vertical="center"/>
      <protection locked="0"/>
    </xf>
    <xf numFmtId="165" fontId="46" fillId="33" borderId="113" xfId="0" applyNumberFormat="1" applyFont="1" applyFill="1" applyBorder="1" applyAlignment="1">
      <alignment vertical="center"/>
    </xf>
    <xf numFmtId="172" fontId="46" fillId="33" borderId="10" xfId="0" applyNumberFormat="1" applyFont="1" applyFill="1" applyBorder="1" applyAlignment="1" applyProtection="1">
      <alignment horizontal="center" vertical="center"/>
      <protection locked="0"/>
    </xf>
    <xf numFmtId="165" fontId="46" fillId="6" borderId="100" xfId="0" applyNumberFormat="1" applyFont="1" applyFill="1" applyBorder="1" applyAlignment="1" applyProtection="1">
      <alignment vertical="center"/>
      <protection locked="0"/>
    </xf>
    <xf numFmtId="14" fontId="21" fillId="6" borderId="21" xfId="0" applyNumberFormat="1" applyFont="1" applyFill="1" applyBorder="1" applyAlignment="1" applyProtection="1">
      <alignment horizontal="center" vertical="center"/>
      <protection locked="0"/>
    </xf>
    <xf numFmtId="165" fontId="21" fillId="6" borderId="100" xfId="0" applyNumberFormat="1" applyFont="1" applyFill="1" applyBorder="1" applyAlignment="1" applyProtection="1">
      <alignment vertical="center"/>
      <protection locked="0"/>
    </xf>
    <xf numFmtId="165" fontId="21" fillId="6" borderId="21" xfId="0" applyNumberFormat="1" applyFont="1" applyFill="1" applyBorder="1" applyAlignment="1" applyProtection="1">
      <alignment vertical="center"/>
      <protection locked="0"/>
    </xf>
    <xf numFmtId="165" fontId="21" fillId="6" borderId="85" xfId="0" applyNumberFormat="1" applyFont="1" applyFill="1" applyBorder="1" applyAlignment="1" applyProtection="1">
      <alignment vertical="center"/>
      <protection locked="0"/>
    </xf>
    <xf numFmtId="165" fontId="21" fillId="8" borderId="10" xfId="0" applyNumberFormat="1" applyFont="1" applyFill="1" applyBorder="1" applyAlignment="1" applyProtection="1">
      <alignment horizontal="center" vertical="center"/>
      <protection locked="0"/>
    </xf>
    <xf numFmtId="49" fontId="21" fillId="6" borderId="100" xfId="0" applyNumberFormat="1" applyFont="1" applyFill="1" applyBorder="1" applyAlignment="1" applyProtection="1">
      <alignment horizontal="left" vertical="center" wrapText="1" indent="1"/>
      <protection locked="0"/>
    </xf>
    <xf numFmtId="0" fontId="3" fillId="0" borderId="0" xfId="0" applyFont="1" applyAlignment="1">
      <alignment vertical="top" wrapText="1"/>
    </xf>
    <xf numFmtId="165" fontId="21" fillId="5" borderId="100" xfId="0" applyNumberFormat="1" applyFont="1" applyFill="1" applyBorder="1" applyAlignment="1" applyProtection="1">
      <alignment vertical="center"/>
      <protection locked="0"/>
    </xf>
    <xf numFmtId="0" fontId="15" fillId="0" borderId="0" xfId="0" applyFont="1"/>
    <xf numFmtId="14" fontId="21" fillId="6" borderId="106" xfId="0" applyNumberFormat="1" applyFont="1" applyFill="1" applyBorder="1" applyAlignment="1" applyProtection="1">
      <alignment horizontal="left" vertical="center" wrapText="1" indent="1"/>
      <protection locked="0"/>
    </xf>
    <xf numFmtId="14" fontId="21" fillId="6" borderId="180" xfId="0" applyNumberFormat="1" applyFont="1" applyFill="1" applyBorder="1" applyAlignment="1" applyProtection="1">
      <alignment horizontal="left" vertical="center" wrapText="1" indent="1"/>
      <protection locked="0"/>
    </xf>
    <xf numFmtId="14" fontId="46" fillId="17" borderId="88" xfId="0" applyNumberFormat="1" applyFont="1" applyFill="1" applyBorder="1" applyAlignment="1">
      <alignment vertical="center"/>
    </xf>
    <xf numFmtId="14" fontId="46" fillId="17" borderId="86" xfId="0" applyNumberFormat="1" applyFont="1" applyFill="1" applyBorder="1" applyAlignment="1">
      <alignment horizontal="right" vertical="center" indent="1"/>
    </xf>
    <xf numFmtId="14" fontId="46" fillId="16" borderId="192" xfId="0" applyNumberFormat="1" applyFont="1" applyFill="1" applyBorder="1" applyAlignment="1">
      <alignment horizontal="right" vertical="center"/>
    </xf>
    <xf numFmtId="0" fontId="46" fillId="16" borderId="193" xfId="0" applyFont="1" applyFill="1" applyBorder="1" applyAlignment="1">
      <alignment vertical="center"/>
    </xf>
    <xf numFmtId="165" fontId="46" fillId="17" borderId="178" xfId="0" applyNumberFormat="1" applyFont="1" applyFill="1" applyBorder="1" applyAlignment="1">
      <alignment vertical="center"/>
    </xf>
    <xf numFmtId="165" fontId="46" fillId="17" borderId="88" xfId="0" applyNumberFormat="1" applyFont="1" applyFill="1" applyBorder="1" applyAlignment="1">
      <alignment vertical="center"/>
    </xf>
    <xf numFmtId="165" fontId="46" fillId="17" borderId="193" xfId="0" applyNumberFormat="1" applyFont="1" applyFill="1" applyBorder="1" applyAlignment="1">
      <alignment vertical="center"/>
    </xf>
    <xf numFmtId="165" fontId="46" fillId="17" borderId="82" xfId="0" applyNumberFormat="1" applyFont="1" applyFill="1" applyBorder="1" applyAlignment="1">
      <alignment vertical="center"/>
    </xf>
    <xf numFmtId="165" fontId="46" fillId="16" borderId="192" xfId="0" applyNumberFormat="1" applyFont="1" applyFill="1" applyBorder="1" applyAlignment="1">
      <alignment vertical="center"/>
    </xf>
    <xf numFmtId="165" fontId="27" fillId="16" borderId="88" xfId="0" applyNumberFormat="1" applyFont="1" applyFill="1" applyBorder="1" applyAlignment="1">
      <alignment horizontal="center" vertical="center"/>
    </xf>
    <xf numFmtId="165" fontId="46" fillId="17" borderId="193" xfId="0" applyNumberFormat="1" applyFont="1" applyFill="1" applyBorder="1" applyAlignment="1">
      <alignment horizontal="center" vertical="center"/>
    </xf>
    <xf numFmtId="1" fontId="46" fillId="17" borderId="194" xfId="0" applyNumberFormat="1" applyFont="1" applyFill="1" applyBorder="1" applyAlignment="1">
      <alignment horizontal="center" vertical="center"/>
    </xf>
    <xf numFmtId="49" fontId="27" fillId="16" borderId="193" xfId="0" applyNumberFormat="1" applyFont="1" applyFill="1" applyBorder="1" applyAlignment="1">
      <alignment vertical="center"/>
    </xf>
    <xf numFmtId="0" fontId="2" fillId="0" borderId="0" xfId="16"/>
    <xf numFmtId="0" fontId="12" fillId="0" borderId="0" xfId="0" applyFont="1"/>
    <xf numFmtId="0" fontId="6" fillId="0" borderId="0" xfId="0" applyFont="1"/>
    <xf numFmtId="0" fontId="64" fillId="5" borderId="0" xfId="0" applyFont="1" applyFill="1" applyAlignment="1">
      <alignment horizontal="right" vertical="center" wrapText="1"/>
    </xf>
    <xf numFmtId="0" fontId="64" fillId="0" borderId="45" xfId="0" applyFont="1" applyBorder="1" applyAlignment="1">
      <alignment vertical="center" wrapText="1"/>
    </xf>
    <xf numFmtId="0" fontId="68" fillId="0" borderId="0" xfId="16" applyFont="1" applyAlignment="1">
      <alignment horizontal="center"/>
    </xf>
    <xf numFmtId="0" fontId="69" fillId="0" borderId="0" xfId="16" applyFont="1" applyAlignment="1">
      <alignment horizontal="center"/>
    </xf>
    <xf numFmtId="0" fontId="9" fillId="0" borderId="193" xfId="16" applyFont="1" applyBorder="1" applyAlignment="1">
      <alignment horizontal="center" vertical="center"/>
    </xf>
    <xf numFmtId="0" fontId="9" fillId="0" borderId="178" xfId="16" applyFont="1" applyBorder="1" applyAlignment="1">
      <alignment horizontal="center" vertical="center"/>
    </xf>
    <xf numFmtId="0" fontId="9" fillId="0" borderId="82" xfId="16" applyFont="1" applyBorder="1" applyAlignment="1">
      <alignment horizontal="center" vertical="center"/>
    </xf>
    <xf numFmtId="0" fontId="9" fillId="0" borderId="88" xfId="16" applyFont="1" applyBorder="1" applyAlignment="1">
      <alignment horizontal="center" vertical="center"/>
    </xf>
    <xf numFmtId="0" fontId="9" fillId="0" borderId="194" xfId="16" applyFont="1" applyBorder="1" applyAlignment="1">
      <alignment horizontal="center" vertical="center" wrapText="1"/>
    </xf>
    <xf numFmtId="0" fontId="9" fillId="0" borderId="0" xfId="16" applyFont="1" applyAlignment="1">
      <alignment horizontal="center" vertical="center"/>
    </xf>
    <xf numFmtId="0" fontId="70" fillId="0" borderId="0" xfId="0" applyFont="1" applyAlignment="1">
      <alignment horizontal="center"/>
    </xf>
    <xf numFmtId="0" fontId="71" fillId="0" borderId="0" xfId="16" applyFont="1" applyAlignment="1">
      <alignment horizontal="center"/>
    </xf>
    <xf numFmtId="0" fontId="72" fillId="0" borderId="100" xfId="16" applyFont="1" applyBorder="1" applyAlignment="1">
      <alignment horizontal="center" vertical="center"/>
    </xf>
    <xf numFmtId="0" fontId="73" fillId="0" borderId="21" xfId="16" applyFont="1" applyBorder="1" applyAlignment="1" applyProtection="1">
      <alignment horizontal="left" vertical="center" indent="1"/>
      <protection locked="0"/>
    </xf>
    <xf numFmtId="2" fontId="73" fillId="6" borderId="100" xfId="16" applyNumberFormat="1" applyFont="1" applyFill="1" applyBorder="1" applyAlignment="1" applyProtection="1">
      <alignment horizontal="center" vertical="center"/>
      <protection locked="0"/>
    </xf>
    <xf numFmtId="2" fontId="73" fillId="6" borderId="7" xfId="16" applyNumberFormat="1" applyFont="1" applyFill="1" applyBorder="1" applyAlignment="1" applyProtection="1">
      <alignment horizontal="center" vertical="center"/>
      <protection locked="0"/>
    </xf>
    <xf numFmtId="2" fontId="73" fillId="6" borderId="7" xfId="16" applyNumberFormat="1" applyFont="1" applyFill="1" applyBorder="1" applyAlignment="1" applyProtection="1">
      <alignment horizontal="center" vertical="center" wrapText="1"/>
      <protection locked="0"/>
    </xf>
    <xf numFmtId="2" fontId="73" fillId="6" borderId="85" xfId="16" applyNumberFormat="1" applyFont="1" applyFill="1" applyBorder="1" applyAlignment="1" applyProtection="1">
      <alignment horizontal="center" vertical="center" wrapText="1"/>
      <protection locked="0"/>
    </xf>
    <xf numFmtId="2" fontId="72" fillId="0" borderId="113" xfId="16" applyNumberFormat="1" applyFont="1" applyBorder="1" applyAlignment="1">
      <alignment horizontal="center" vertical="center" wrapText="1"/>
    </xf>
    <xf numFmtId="0" fontId="74" fillId="0" borderId="0" xfId="16" applyFont="1" applyAlignment="1">
      <alignment horizontal="center" vertical="top" wrapText="1"/>
    </xf>
    <xf numFmtId="0" fontId="73" fillId="0" borderId="0" xfId="16" applyFont="1" applyAlignment="1">
      <alignment horizontal="center" vertical="top" wrapText="1"/>
    </xf>
    <xf numFmtId="0" fontId="75" fillId="0" borderId="0" xfId="16" applyFont="1" applyAlignment="1">
      <alignment vertical="top" wrapText="1"/>
    </xf>
    <xf numFmtId="0" fontId="76" fillId="0" borderId="0" xfId="16" applyFont="1" applyAlignment="1">
      <alignment vertical="center"/>
    </xf>
    <xf numFmtId="0" fontId="70" fillId="0" borderId="0" xfId="16" applyFont="1" applyAlignment="1">
      <alignment vertical="center"/>
    </xf>
    <xf numFmtId="0" fontId="75" fillId="0" borderId="0" xfId="16" applyFont="1" applyAlignment="1">
      <alignment vertical="center"/>
    </xf>
    <xf numFmtId="0" fontId="77" fillId="0" borderId="0" xfId="16" applyFont="1"/>
    <xf numFmtId="2" fontId="73" fillId="6" borderId="85" xfId="16" applyNumberFormat="1" applyFont="1" applyFill="1" applyBorder="1" applyAlignment="1" applyProtection="1">
      <alignment horizontal="center" vertical="center"/>
      <protection locked="0"/>
    </xf>
    <xf numFmtId="0" fontId="78" fillId="0" borderId="0" xfId="16" applyFont="1" applyAlignment="1">
      <alignment horizontal="center" vertical="center"/>
    </xf>
    <xf numFmtId="0" fontId="79" fillId="0" borderId="0" xfId="16" applyFont="1" applyAlignment="1">
      <alignment vertical="center"/>
    </xf>
    <xf numFmtId="0" fontId="80" fillId="0" borderId="0" xfId="16" applyFont="1"/>
    <xf numFmtId="2" fontId="73" fillId="6" borderId="7" xfId="7" applyNumberFormat="1" applyFont="1" applyFill="1" applyBorder="1" applyAlignment="1" applyProtection="1">
      <alignment horizontal="center" vertical="center"/>
      <protection locked="0"/>
    </xf>
    <xf numFmtId="2" fontId="81" fillId="6" borderId="7" xfId="7" applyNumberFormat="1" applyFont="1" applyFill="1" applyBorder="1" applyAlignment="1" applyProtection="1">
      <alignment horizontal="center" vertical="center"/>
      <protection locked="0"/>
    </xf>
    <xf numFmtId="2" fontId="81" fillId="6" borderId="85" xfId="7" applyNumberFormat="1" applyFont="1" applyFill="1" applyBorder="1" applyAlignment="1" applyProtection="1">
      <alignment horizontal="center" vertical="center"/>
      <protection locked="0"/>
    </xf>
    <xf numFmtId="49" fontId="81" fillId="0" borderId="0" xfId="7" applyNumberFormat="1" applyFont="1" applyBorder="1" applyAlignment="1" applyProtection="1">
      <alignment horizontal="center"/>
    </xf>
    <xf numFmtId="49" fontId="82" fillId="0" borderId="0" xfId="7" applyNumberFormat="1" applyFont="1" applyBorder="1" applyProtection="1"/>
    <xf numFmtId="0" fontId="70" fillId="0" borderId="0" xfId="16" applyFont="1"/>
    <xf numFmtId="0" fontId="80" fillId="0" borderId="0" xfId="16" applyFont="1" applyAlignment="1">
      <alignment vertical="center"/>
    </xf>
    <xf numFmtId="0" fontId="69" fillId="0" borderId="0" xfId="16" applyFont="1"/>
    <xf numFmtId="0" fontId="15" fillId="0" borderId="21" xfId="16" applyFont="1" applyBorder="1" applyAlignment="1" applyProtection="1">
      <alignment horizontal="left" indent="1"/>
      <protection locked="0"/>
    </xf>
    <xf numFmtId="0" fontId="83" fillId="0" borderId="0" xfId="16" applyFont="1" applyAlignment="1">
      <alignment horizontal="center"/>
    </xf>
    <xf numFmtId="0" fontId="83" fillId="0" borderId="0" xfId="16" applyFont="1"/>
    <xf numFmtId="0" fontId="15" fillId="0" borderId="0" xfId="16" applyFont="1"/>
    <xf numFmtId="175" fontId="83" fillId="0" borderId="0" xfId="16" applyNumberFormat="1" applyFont="1"/>
    <xf numFmtId="0" fontId="72" fillId="0" borderId="100" xfId="16" applyFont="1" applyBorder="1" applyAlignment="1">
      <alignment horizontal="center"/>
    </xf>
    <xf numFmtId="0" fontId="73" fillId="0" borderId="21" xfId="16" applyFont="1" applyBorder="1" applyAlignment="1" applyProtection="1">
      <alignment horizontal="left" indent="1"/>
      <protection locked="0"/>
    </xf>
    <xf numFmtId="0" fontId="15" fillId="0" borderId="0" xfId="16" applyFont="1" applyAlignment="1">
      <alignment horizontal="center" vertical="top"/>
    </xf>
    <xf numFmtId="0" fontId="48" fillId="0" borderId="0" xfId="16" applyFont="1" applyAlignment="1">
      <alignment vertical="top"/>
    </xf>
    <xf numFmtId="183" fontId="83" fillId="0" borderId="0" xfId="16" applyNumberFormat="1" applyFont="1"/>
    <xf numFmtId="0" fontId="73" fillId="0" borderId="0" xfId="16" applyFont="1" applyAlignment="1">
      <alignment horizontal="center" vertical="center"/>
    </xf>
    <xf numFmtId="184" fontId="73" fillId="0" borderId="0" xfId="16" applyNumberFormat="1" applyFont="1" applyAlignment="1">
      <alignment horizontal="center" vertical="center"/>
    </xf>
    <xf numFmtId="184" fontId="84" fillId="0" borderId="0" xfId="16" applyNumberFormat="1" applyFont="1" applyAlignment="1">
      <alignment vertical="center"/>
    </xf>
    <xf numFmtId="49" fontId="15" fillId="0" borderId="0" xfId="16" applyNumberFormat="1" applyFont="1" applyAlignment="1">
      <alignment vertical="center"/>
    </xf>
    <xf numFmtId="0" fontId="15" fillId="0" borderId="0" xfId="16" applyFont="1" applyAlignment="1">
      <alignment vertical="center"/>
    </xf>
    <xf numFmtId="0" fontId="71" fillId="0" borderId="0" xfId="16" applyFont="1"/>
    <xf numFmtId="0" fontId="85" fillId="0" borderId="0" xfId="16" applyFont="1" applyAlignment="1">
      <alignment vertical="center"/>
    </xf>
    <xf numFmtId="0" fontId="86" fillId="0" borderId="0" xfId="16" applyFont="1" applyAlignment="1">
      <alignment vertical="center"/>
    </xf>
    <xf numFmtId="0" fontId="15" fillId="0" borderId="21" xfId="16" applyFont="1" applyBorder="1" applyAlignment="1" applyProtection="1">
      <alignment horizontal="left" vertical="center" indent="1"/>
      <protection locked="0"/>
    </xf>
    <xf numFmtId="0" fontId="87" fillId="0" borderId="0" xfId="16" applyFont="1" applyAlignment="1">
      <alignment horizontal="center" vertical="center"/>
    </xf>
    <xf numFmtId="0" fontId="88" fillId="0" borderId="0" xfId="16" applyFont="1" applyAlignment="1">
      <alignment vertical="center"/>
    </xf>
    <xf numFmtId="0" fontId="89" fillId="0" borderId="100" xfId="16" applyFont="1" applyBorder="1" applyAlignment="1">
      <alignment horizontal="center" vertical="center"/>
    </xf>
    <xf numFmtId="0" fontId="89" fillId="0" borderId="21" xfId="16" applyFont="1" applyBorder="1" applyAlignment="1" applyProtection="1">
      <alignment horizontal="left" vertical="center" indent="1"/>
      <protection locked="0"/>
    </xf>
    <xf numFmtId="0" fontId="90" fillId="0" borderId="0" xfId="16" applyFont="1" applyAlignment="1">
      <alignment vertical="center"/>
    </xf>
    <xf numFmtId="0" fontId="72" fillId="0" borderId="195" xfId="16" applyFont="1" applyBorder="1" applyAlignment="1">
      <alignment horizontal="center" vertical="center"/>
    </xf>
    <xf numFmtId="0" fontId="73" fillId="0" borderId="179" xfId="16" applyFont="1" applyBorder="1" applyAlignment="1" applyProtection="1">
      <alignment horizontal="left" vertical="center" indent="1"/>
      <protection locked="0"/>
    </xf>
    <xf numFmtId="2" fontId="73" fillId="6" borderId="195" xfId="16" applyNumberFormat="1" applyFont="1" applyFill="1" applyBorder="1" applyAlignment="1" applyProtection="1">
      <alignment horizontal="center" vertical="center"/>
      <protection locked="0"/>
    </xf>
    <xf numFmtId="2" fontId="73" fillId="6" borderId="44" xfId="16" applyNumberFormat="1" applyFont="1" applyFill="1" applyBorder="1" applyAlignment="1" applyProtection="1">
      <alignment horizontal="center" vertical="center"/>
      <protection locked="0"/>
    </xf>
    <xf numFmtId="2" fontId="73" fillId="6" borderId="180" xfId="16" applyNumberFormat="1" applyFont="1" applyFill="1" applyBorder="1" applyAlignment="1" applyProtection="1">
      <alignment horizontal="center" vertical="center"/>
      <protection locked="0"/>
    </xf>
    <xf numFmtId="2" fontId="72" fillId="0" borderId="196" xfId="16" applyNumberFormat="1" applyFont="1" applyBorder="1" applyAlignment="1">
      <alignment horizontal="center" vertical="center" wrapText="1"/>
    </xf>
    <xf numFmtId="0" fontId="72" fillId="0" borderId="175" xfId="16" applyFont="1" applyBorder="1" applyAlignment="1">
      <alignment horizontal="center" vertical="center"/>
    </xf>
    <xf numFmtId="0" fontId="75" fillId="0" borderId="197" xfId="16" applyFont="1" applyBorder="1" applyAlignment="1">
      <alignment horizontal="right" vertical="center" indent="2"/>
    </xf>
    <xf numFmtId="2" fontId="72" fillId="0" borderId="175" xfId="16" applyNumberFormat="1" applyFont="1" applyBorder="1" applyAlignment="1">
      <alignment horizontal="center" vertical="center"/>
    </xf>
    <xf numFmtId="2" fontId="72" fillId="0" borderId="176" xfId="16" applyNumberFormat="1" applyFont="1" applyBorder="1" applyAlignment="1">
      <alignment horizontal="center" vertical="center"/>
    </xf>
    <xf numFmtId="2" fontId="72" fillId="0" borderId="198" xfId="16" applyNumberFormat="1" applyFont="1" applyBorder="1" applyAlignment="1">
      <alignment horizontal="center" vertical="center"/>
    </xf>
    <xf numFmtId="2" fontId="72" fillId="0" borderId="1" xfId="16" applyNumberFormat="1" applyFont="1" applyBorder="1" applyAlignment="1">
      <alignment horizontal="center" vertical="center"/>
    </xf>
    <xf numFmtId="2" fontId="73" fillId="0" borderId="37" xfId="16" applyNumberFormat="1" applyFont="1" applyBorder="1" applyAlignment="1">
      <alignment horizontal="center" vertical="center"/>
    </xf>
    <xf numFmtId="0" fontId="75" fillId="0" borderId="1" xfId="16" applyFont="1" applyBorder="1" applyAlignment="1">
      <alignment horizontal="right" vertical="center" indent="2"/>
    </xf>
    <xf numFmtId="2" fontId="73" fillId="0" borderId="0" xfId="16" applyNumberFormat="1" applyFont="1" applyAlignment="1">
      <alignment horizontal="center" vertical="center"/>
    </xf>
    <xf numFmtId="0" fontId="12" fillId="0" borderId="0" xfId="16" applyFont="1" applyAlignment="1">
      <alignment vertical="center"/>
    </xf>
    <xf numFmtId="49" fontId="76" fillId="0" borderId="0" xfId="16" applyNumberFormat="1" applyFont="1" applyAlignment="1">
      <alignment vertical="center"/>
    </xf>
    <xf numFmtId="167" fontId="83" fillId="0" borderId="0" xfId="16" applyNumberFormat="1" applyFont="1"/>
    <xf numFmtId="0" fontId="23" fillId="0" borderId="0" xfId="16" applyFont="1" applyAlignment="1">
      <alignment vertical="center"/>
    </xf>
    <xf numFmtId="164" fontId="91" fillId="0" borderId="0" xfId="16" applyNumberFormat="1" applyFont="1" applyAlignment="1">
      <alignment vertical="center"/>
    </xf>
    <xf numFmtId="164" fontId="84" fillId="0" borderId="0" xfId="16" applyNumberFormat="1" applyFont="1" applyAlignment="1">
      <alignment vertical="center"/>
    </xf>
    <xf numFmtId="0" fontId="70" fillId="0" borderId="0" xfId="16" applyFont="1" applyAlignment="1">
      <alignment horizontal="right" vertical="center"/>
    </xf>
    <xf numFmtId="0" fontId="70" fillId="0" borderId="0" xfId="16" applyFont="1" applyAlignment="1">
      <alignment horizontal="right"/>
    </xf>
    <xf numFmtId="0" fontId="92" fillId="0" borderId="0" xfId="16" applyFont="1" applyAlignment="1">
      <alignment vertical="center"/>
    </xf>
    <xf numFmtId="0" fontId="92" fillId="0" borderId="0" xfId="16" applyFont="1"/>
    <xf numFmtId="183" fontId="70" fillId="0" borderId="0" xfId="16" applyNumberFormat="1" applyFont="1"/>
    <xf numFmtId="0" fontId="83" fillId="0" borderId="0" xfId="16" applyFont="1" applyAlignment="1">
      <alignment vertical="center"/>
    </xf>
    <xf numFmtId="0" fontId="28" fillId="0" borderId="0" xfId="0" applyFont="1" applyAlignment="1">
      <alignment horizontal="center"/>
    </xf>
    <xf numFmtId="0" fontId="19" fillId="0" borderId="3" xfId="0" applyFont="1" applyBorder="1" applyAlignment="1">
      <alignment vertical="center" wrapText="1"/>
    </xf>
    <xf numFmtId="0" fontId="62" fillId="0" borderId="0" xfId="0" applyFont="1" applyAlignment="1">
      <alignment vertical="center"/>
    </xf>
    <xf numFmtId="0" fontId="62" fillId="0" borderId="0" xfId="0" applyFont="1" applyAlignment="1">
      <alignment horizontal="center" vertical="center"/>
    </xf>
    <xf numFmtId="0" fontId="0" fillId="0" borderId="0" xfId="0" applyAlignment="1">
      <alignment horizontal="left" vertical="center"/>
    </xf>
    <xf numFmtId="1" fontId="13" fillId="6" borderId="22" xfId="0" applyNumberFormat="1" applyFont="1" applyFill="1" applyBorder="1" applyAlignment="1">
      <alignment horizontal="center" vertical="center"/>
    </xf>
    <xf numFmtId="0" fontId="99" fillId="0" borderId="21" xfId="0" applyFont="1" applyBorder="1" applyAlignment="1">
      <alignment horizontal="center" vertical="center" wrapText="1"/>
    </xf>
    <xf numFmtId="0" fontId="48" fillId="0" borderId="0" xfId="0" applyFont="1" applyAlignment="1">
      <alignment vertical="center"/>
    </xf>
    <xf numFmtId="0" fontId="99" fillId="0" borderId="7" xfId="0" applyFont="1" applyBorder="1" applyAlignment="1">
      <alignment horizontal="right" vertical="center" wrapText="1" indent="1"/>
    </xf>
    <xf numFmtId="0" fontId="19" fillId="6" borderId="7" xfId="0" applyFont="1" applyFill="1" applyBorder="1" applyAlignment="1">
      <alignment horizontal="center" vertical="center"/>
    </xf>
    <xf numFmtId="0" fontId="102" fillId="0" borderId="0" xfId="0" applyFont="1" applyAlignment="1">
      <alignment horizontal="right" vertical="center"/>
    </xf>
    <xf numFmtId="0" fontId="46" fillId="6" borderId="10" xfId="0" applyFont="1" applyFill="1" applyBorder="1" applyAlignment="1">
      <alignment horizontal="center" vertical="center"/>
    </xf>
    <xf numFmtId="0" fontId="13" fillId="6" borderId="22" xfId="0" applyFont="1" applyFill="1" applyBorder="1" applyAlignment="1">
      <alignment horizontal="left" vertical="center"/>
    </xf>
    <xf numFmtId="186" fontId="0" fillId="0" borderId="0" xfId="0" applyNumberFormat="1" applyAlignment="1">
      <alignment vertical="center"/>
    </xf>
    <xf numFmtId="187" fontId="13" fillId="6" borderId="22" xfId="0" applyNumberFormat="1" applyFont="1" applyFill="1" applyBorder="1" applyAlignment="1">
      <alignment horizontal="left" vertical="center"/>
    </xf>
    <xf numFmtId="0" fontId="103" fillId="0" borderId="0" xfId="0" applyFont="1" applyAlignment="1">
      <alignment vertical="center"/>
    </xf>
    <xf numFmtId="188" fontId="104" fillId="0" borderId="7" xfId="0" applyNumberFormat="1" applyFont="1" applyBorder="1" applyAlignment="1">
      <alignment vertical="center"/>
    </xf>
    <xf numFmtId="0" fontId="0" fillId="5" borderId="0" xfId="0" applyFill="1" applyAlignment="1">
      <alignment horizontal="right" vertical="center"/>
    </xf>
    <xf numFmtId="174" fontId="13" fillId="0" borderId="0" xfId="2" applyFont="1" applyBorder="1" applyAlignment="1" applyProtection="1">
      <alignment horizontal="right" vertical="center"/>
    </xf>
    <xf numFmtId="0" fontId="99" fillId="0" borderId="7" xfId="0" applyFont="1" applyBorder="1" applyAlignment="1">
      <alignment horizontal="center" vertical="center" wrapText="1"/>
    </xf>
    <xf numFmtId="0" fontId="19" fillId="0" borderId="7" xfId="0" applyFont="1" applyBorder="1" applyAlignment="1">
      <alignment horizontal="center" vertical="center"/>
    </xf>
    <xf numFmtId="0" fontId="0" fillId="0" borderId="50" xfId="0" applyBorder="1" applyAlignment="1">
      <alignment vertical="center"/>
    </xf>
    <xf numFmtId="0" fontId="19" fillId="0" borderId="10" xfId="0" applyFont="1" applyBorder="1" applyAlignment="1">
      <alignment horizontal="center" vertical="center"/>
    </xf>
    <xf numFmtId="0" fontId="19" fillId="0" borderId="14" xfId="0" applyFont="1"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horizontal="center" vertical="center"/>
    </xf>
    <xf numFmtId="0" fontId="65" fillId="0" borderId="0" xfId="0" applyFont="1" applyAlignment="1">
      <alignment vertical="center"/>
    </xf>
    <xf numFmtId="0" fontId="49" fillId="0" borderId="0" xfId="0" applyFont="1" applyAlignment="1">
      <alignment vertical="center"/>
    </xf>
    <xf numFmtId="49" fontId="0" fillId="0" borderId="0" xfId="0" applyNumberFormat="1" applyAlignment="1">
      <alignment vertical="center"/>
    </xf>
    <xf numFmtId="1" fontId="13" fillId="0" borderId="0" xfId="0" applyNumberFormat="1" applyFont="1" applyAlignment="1">
      <alignment horizontal="center" vertical="center"/>
    </xf>
    <xf numFmtId="0" fontId="100" fillId="0" borderId="0" xfId="0" applyFont="1" applyAlignment="1">
      <alignment horizontal="right" vertical="center"/>
    </xf>
    <xf numFmtId="0" fontId="105" fillId="0" borderId="0" xfId="0" applyFont="1" applyAlignment="1">
      <alignment horizontal="center" vertical="center"/>
    </xf>
    <xf numFmtId="0" fontId="19" fillId="0" borderId="3" xfId="0" applyFont="1" applyBorder="1" applyAlignment="1">
      <alignment vertical="center"/>
    </xf>
    <xf numFmtId="0" fontId="105" fillId="0" borderId="3" xfId="0" applyFont="1" applyBorder="1" applyAlignment="1">
      <alignment horizontal="center" vertical="center"/>
    </xf>
    <xf numFmtId="14" fontId="0" fillId="0" borderId="0" xfId="0" applyNumberFormat="1" applyAlignment="1">
      <alignment horizontal="left" vertical="center"/>
    </xf>
    <xf numFmtId="0" fontId="48" fillId="0" borderId="7" xfId="0" applyFont="1" applyBorder="1" applyAlignment="1">
      <alignment horizontal="center" vertical="center"/>
    </xf>
    <xf numFmtId="0" fontId="20" fillId="0" borderId="19" xfId="0" applyFont="1" applyBorder="1" applyAlignment="1">
      <alignment horizontal="center" vertical="center"/>
    </xf>
    <xf numFmtId="189" fontId="48" fillId="0" borderId="19" xfId="2" applyNumberFormat="1" applyFont="1" applyBorder="1" applyAlignment="1" applyProtection="1">
      <alignment vertical="center"/>
    </xf>
    <xf numFmtId="0" fontId="55" fillId="0" borderId="0" xfId="0" applyFont="1" applyAlignment="1">
      <alignment horizontal="center" vertical="center"/>
    </xf>
    <xf numFmtId="0" fontId="48" fillId="0" borderId="19" xfId="0" applyFont="1" applyBorder="1" applyAlignment="1">
      <alignment horizontal="center" vertical="center"/>
    </xf>
    <xf numFmtId="0" fontId="20" fillId="0" borderId="7" xfId="0" applyFont="1" applyBorder="1" applyAlignment="1">
      <alignment horizontal="center" vertical="center"/>
    </xf>
    <xf numFmtId="189" fontId="48" fillId="0" borderId="7" xfId="1" applyNumberFormat="1" applyFont="1" applyBorder="1" applyAlignment="1" applyProtection="1">
      <alignment vertical="center"/>
    </xf>
    <xf numFmtId="0" fontId="56" fillId="0" borderId="0" xfId="0" applyFont="1" applyAlignment="1">
      <alignment vertical="center"/>
    </xf>
    <xf numFmtId="0" fontId="48" fillId="0" borderId="200" xfId="0" applyFont="1" applyBorder="1" applyAlignment="1">
      <alignment horizontal="center" vertical="center"/>
    </xf>
    <xf numFmtId="0" fontId="22" fillId="0" borderId="3" xfId="0" applyFont="1" applyBorder="1" applyAlignment="1">
      <alignment vertical="center"/>
    </xf>
    <xf numFmtId="0" fontId="55" fillId="0" borderId="130" xfId="0" applyFont="1" applyBorder="1" applyAlignment="1">
      <alignment horizontal="center" vertical="center"/>
    </xf>
    <xf numFmtId="0" fontId="30" fillId="45" borderId="7" xfId="0" applyFont="1" applyFill="1" applyBorder="1" applyAlignment="1">
      <alignment horizontal="center" vertical="center"/>
    </xf>
    <xf numFmtId="189" fontId="30" fillId="45" borderId="7" xfId="2" applyNumberFormat="1" applyFont="1" applyFill="1" applyBorder="1" applyAlignment="1" applyProtection="1">
      <alignment vertical="center"/>
    </xf>
    <xf numFmtId="189" fontId="48" fillId="0" borderId="21" xfId="2" applyNumberFormat="1" applyFont="1" applyBorder="1" applyAlignment="1" applyProtection="1">
      <alignment vertical="center"/>
    </xf>
    <xf numFmtId="0" fontId="55" fillId="0" borderId="0" xfId="0" applyFont="1" applyAlignment="1">
      <alignment vertical="center"/>
    </xf>
    <xf numFmtId="189" fontId="48" fillId="0" borderId="21" xfId="1" applyNumberFormat="1" applyFont="1" applyBorder="1" applyAlignment="1" applyProtection="1">
      <alignment vertical="center"/>
    </xf>
    <xf numFmtId="0" fontId="30" fillId="16" borderId="7" xfId="0" applyFont="1" applyFill="1" applyBorder="1" applyAlignment="1">
      <alignment horizontal="center" vertical="center"/>
    </xf>
    <xf numFmtId="189" fontId="30" fillId="16" borderId="7" xfId="2" applyNumberFormat="1" applyFont="1" applyFill="1" applyBorder="1" applyAlignment="1" applyProtection="1">
      <alignment vertical="center"/>
    </xf>
    <xf numFmtId="189" fontId="48" fillId="0" borderId="35" xfId="2" applyNumberFormat="1" applyFont="1" applyBorder="1" applyAlignment="1" applyProtection="1">
      <alignment vertical="center"/>
    </xf>
    <xf numFmtId="0" fontId="22" fillId="5" borderId="0" xfId="0" applyFont="1" applyFill="1" applyAlignment="1">
      <alignment vertical="center"/>
    </xf>
    <xf numFmtId="0" fontId="55" fillId="0" borderId="130" xfId="0" applyFont="1" applyBorder="1" applyAlignment="1">
      <alignment horizontal="left" vertical="center"/>
    </xf>
    <xf numFmtId="0" fontId="22" fillId="0" borderId="14" xfId="0" applyFont="1" applyBorder="1" applyAlignment="1">
      <alignment vertical="center"/>
    </xf>
    <xf numFmtId="174" fontId="20" fillId="0" borderId="14" xfId="2" applyFont="1" applyBorder="1" applyAlignment="1" applyProtection="1">
      <alignment horizontal="right" vertical="center"/>
    </xf>
    <xf numFmtId="189" fontId="48" fillId="0" borderId="7" xfId="2" applyNumberFormat="1" applyFont="1" applyBorder="1" applyAlignment="1" applyProtection="1">
      <alignment vertical="center"/>
    </xf>
    <xf numFmtId="0" fontId="22" fillId="0" borderId="0" xfId="0" applyFont="1" applyAlignment="1">
      <alignment horizontal="left" vertical="center"/>
    </xf>
    <xf numFmtId="0" fontId="106" fillId="0" borderId="0" xfId="0" applyFont="1" applyAlignment="1">
      <alignment horizontal="left" vertical="center"/>
    </xf>
    <xf numFmtId="0" fontId="19" fillId="0" borderId="6" xfId="0" applyFont="1" applyBorder="1" applyAlignment="1">
      <alignment vertical="center"/>
    </xf>
    <xf numFmtId="0" fontId="13" fillId="17" borderId="7" xfId="0" applyFont="1" applyFill="1" applyBorder="1" applyAlignment="1">
      <alignment horizontal="center" vertical="center"/>
    </xf>
    <xf numFmtId="189" fontId="13" fillId="17" borderId="7" xfId="2" applyNumberFormat="1" applyFont="1" applyFill="1" applyBorder="1" applyAlignment="1" applyProtection="1">
      <alignment vertical="center"/>
    </xf>
    <xf numFmtId="190" fontId="0" fillId="0" borderId="0" xfId="0" applyNumberFormat="1" applyAlignment="1">
      <alignment vertical="center"/>
    </xf>
    <xf numFmtId="174" fontId="20" fillId="0" borderId="0" xfId="2" applyFont="1" applyBorder="1" applyAlignment="1" applyProtection="1">
      <alignment horizontal="right" vertical="center"/>
    </xf>
    <xf numFmtId="0" fontId="108" fillId="0" borderId="0" xfId="0" applyFont="1" applyAlignment="1">
      <alignment horizontal="left" vertical="center"/>
    </xf>
    <xf numFmtId="0" fontId="109" fillId="0" borderId="0" xfId="0" applyFont="1" applyAlignment="1">
      <alignment horizontal="left" vertical="center"/>
    </xf>
    <xf numFmtId="0" fontId="0" fillId="0" borderId="109" xfId="0" applyBorder="1" applyAlignment="1">
      <alignment vertical="center"/>
    </xf>
    <xf numFmtId="0" fontId="48" fillId="0" borderId="98" xfId="0" applyFont="1" applyBorder="1" applyAlignment="1">
      <alignment horizontal="center" vertical="center"/>
    </xf>
    <xf numFmtId="0" fontId="48" fillId="0" borderId="153" xfId="0" applyFont="1" applyBorder="1" applyAlignment="1">
      <alignment horizontal="center" vertical="center"/>
    </xf>
    <xf numFmtId="0" fontId="62" fillId="0" borderId="35" xfId="0" applyFont="1" applyBorder="1" applyAlignment="1">
      <alignment vertical="center"/>
    </xf>
    <xf numFmtId="0" fontId="56" fillId="0" borderId="130" xfId="0" applyFont="1" applyBorder="1" applyAlignment="1">
      <alignment horizontal="center" vertical="center"/>
    </xf>
    <xf numFmtId="189" fontId="30" fillId="16" borderId="22" xfId="2" applyNumberFormat="1" applyFont="1" applyFill="1" applyBorder="1" applyAlignment="1" applyProtection="1">
      <alignment vertical="center"/>
    </xf>
    <xf numFmtId="0" fontId="0" fillId="0" borderId="138" xfId="0" applyBorder="1" applyAlignment="1">
      <alignment vertical="center"/>
    </xf>
    <xf numFmtId="0" fontId="13" fillId="5" borderId="110" xfId="0" applyFont="1" applyFill="1" applyBorder="1" applyAlignment="1">
      <alignment horizontal="left" vertical="center" indent="1"/>
    </xf>
    <xf numFmtId="189" fontId="48" fillId="0" borderId="98" xfId="1" applyNumberFormat="1" applyFont="1" applyBorder="1" applyAlignment="1" applyProtection="1">
      <alignment vertical="center"/>
    </xf>
    <xf numFmtId="0" fontId="62" fillId="0" borderId="3" xfId="0" applyFont="1" applyBorder="1" applyAlignment="1">
      <alignment vertical="center"/>
    </xf>
    <xf numFmtId="0" fontId="19" fillId="0" borderId="130" xfId="0" applyFont="1" applyBorder="1" applyAlignment="1">
      <alignment horizontal="center" vertical="center"/>
    </xf>
    <xf numFmtId="0" fontId="20" fillId="0" borderId="0" xfId="0" applyFont="1" applyAlignment="1">
      <alignment horizontal="right" vertical="center"/>
    </xf>
    <xf numFmtId="0" fontId="19" fillId="0" borderId="130" xfId="0" applyFont="1" applyBorder="1" applyAlignment="1">
      <alignment vertical="center"/>
    </xf>
    <xf numFmtId="0" fontId="30" fillId="16" borderId="98" xfId="0" applyFont="1" applyFill="1" applyBorder="1" applyAlignment="1">
      <alignment horizontal="center" vertical="center"/>
    </xf>
    <xf numFmtId="189" fontId="30" fillId="16" borderId="104" xfId="2" applyNumberFormat="1" applyFont="1" applyFill="1" applyBorder="1" applyAlignment="1" applyProtection="1">
      <alignment vertical="center"/>
    </xf>
    <xf numFmtId="0" fontId="30" fillId="0" borderId="3" xfId="0" applyFont="1" applyBorder="1" applyAlignment="1">
      <alignment horizontal="center" vertical="center"/>
    </xf>
    <xf numFmtId="0" fontId="30" fillId="0" borderId="3" xfId="0" applyFont="1" applyBorder="1" applyAlignment="1">
      <alignment horizontal="right" vertical="center" indent="1"/>
    </xf>
    <xf numFmtId="189" fontId="30" fillId="0" borderId="3" xfId="2" applyNumberFormat="1" applyFont="1" applyBorder="1" applyAlignment="1" applyProtection="1">
      <alignment vertical="center"/>
    </xf>
    <xf numFmtId="189" fontId="110" fillId="0" borderId="7" xfId="1" applyNumberFormat="1" applyFont="1" applyBorder="1" applyAlignment="1" applyProtection="1">
      <alignment vertical="center"/>
    </xf>
    <xf numFmtId="189" fontId="48" fillId="0" borderId="7" xfId="0" applyNumberFormat="1" applyFont="1" applyBorder="1" applyAlignment="1">
      <alignment vertical="center"/>
    </xf>
    <xf numFmtId="0" fontId="19" fillId="0" borderId="35" xfId="0" applyFont="1" applyBorder="1" applyAlignment="1">
      <alignment horizontal="center" vertical="center"/>
    </xf>
    <xf numFmtId="0" fontId="19" fillId="0" borderId="3" xfId="0" applyFont="1" applyBorder="1" applyAlignment="1">
      <alignment horizontal="center" vertical="center"/>
    </xf>
    <xf numFmtId="0" fontId="19" fillId="0" borderId="130" xfId="0" applyFont="1" applyBorder="1" applyAlignment="1">
      <alignment horizontal="left" vertical="center"/>
    </xf>
    <xf numFmtId="0" fontId="13" fillId="17" borderId="22" xfId="0" applyFont="1" applyFill="1" applyBorder="1" applyAlignment="1">
      <alignment horizontal="center" vertical="center"/>
    </xf>
    <xf numFmtId="190" fontId="34" fillId="0" borderId="0" xfId="0" applyNumberFormat="1" applyFont="1" applyAlignment="1">
      <alignment vertical="center"/>
    </xf>
    <xf numFmtId="192" fontId="0" fillId="0" borderId="0" xfId="0" applyNumberFormat="1" applyAlignment="1">
      <alignment vertical="center"/>
    </xf>
    <xf numFmtId="0" fontId="17" fillId="0" borderId="0" xfId="0" applyFont="1" applyAlignment="1">
      <alignment horizontal="left" vertical="center"/>
    </xf>
    <xf numFmtId="0" fontId="20" fillId="0" borderId="0" xfId="0" applyFont="1" applyAlignment="1">
      <alignment horizontal="right" vertical="center" indent="1"/>
    </xf>
    <xf numFmtId="0" fontId="13" fillId="0" borderId="0" xfId="0" applyFont="1" applyAlignment="1">
      <alignment horizontal="left" vertical="center"/>
    </xf>
    <xf numFmtId="0" fontId="14" fillId="0" borderId="105" xfId="0" applyFont="1" applyBorder="1" applyAlignment="1">
      <alignment vertical="center"/>
    </xf>
    <xf numFmtId="0" fontId="111" fillId="0" borderId="98" xfId="0" applyFont="1" applyBorder="1" applyAlignment="1">
      <alignment vertical="center" wrapText="1"/>
    </xf>
    <xf numFmtId="0" fontId="3" fillId="0" borderId="98" xfId="0" applyFont="1" applyBorder="1" applyAlignment="1">
      <alignment horizontal="left" vertical="center"/>
    </xf>
    <xf numFmtId="0" fontId="56" fillId="0" borderId="7" xfId="0" applyFont="1" applyBorder="1" applyAlignment="1">
      <alignment horizontal="center" vertical="center"/>
    </xf>
    <xf numFmtId="189" fontId="112" fillId="0" borderId="7" xfId="0" applyNumberFormat="1" applyFont="1" applyBorder="1" applyAlignment="1">
      <alignment horizontal="left" vertical="center" indent="2"/>
    </xf>
    <xf numFmtId="189" fontId="48" fillId="0" borderId="7" xfId="2" applyNumberFormat="1" applyFont="1" applyBorder="1" applyAlignment="1" applyProtection="1">
      <alignment horizontal="left" vertical="center" indent="2"/>
    </xf>
    <xf numFmtId="0" fontId="113" fillId="0" borderId="49" xfId="0" applyFont="1" applyBorder="1" applyAlignment="1">
      <alignment vertical="center" wrapText="1"/>
    </xf>
    <xf numFmtId="0" fontId="3" fillId="0" borderId="49" xfId="0" applyFont="1" applyBorder="1" applyAlignment="1">
      <alignment horizontal="left" vertical="center"/>
    </xf>
    <xf numFmtId="189" fontId="112" fillId="0" borderId="7" xfId="2" applyNumberFormat="1" applyFont="1" applyBorder="1" applyAlignment="1" applyProtection="1">
      <alignment horizontal="left" vertical="center" indent="2"/>
    </xf>
    <xf numFmtId="191" fontId="39" fillId="0" borderId="0" xfId="0" applyNumberFormat="1" applyFont="1" applyAlignment="1">
      <alignment vertical="center"/>
    </xf>
    <xf numFmtId="0" fontId="39" fillId="0" borderId="0" xfId="0" applyFont="1" applyAlignment="1">
      <alignment vertical="center"/>
    </xf>
    <xf numFmtId="0" fontId="34" fillId="0" borderId="0" xfId="0" applyFont="1" applyAlignment="1">
      <alignment vertical="center"/>
    </xf>
    <xf numFmtId="166" fontId="19" fillId="0" borderId="0" xfId="0" applyNumberFormat="1" applyFont="1" applyAlignment="1">
      <alignment vertical="center"/>
    </xf>
    <xf numFmtId="0" fontId="3" fillId="0" borderId="49" xfId="0" applyFont="1" applyBorder="1" applyAlignment="1">
      <alignment vertical="center"/>
    </xf>
    <xf numFmtId="166" fontId="3" fillId="0" borderId="0" xfId="1" applyFont="1" applyBorder="1" applyAlignment="1" applyProtection="1">
      <alignment horizontal="left" vertical="center"/>
    </xf>
    <xf numFmtId="0" fontId="15" fillId="0" borderId="14" xfId="0" applyFont="1" applyBorder="1" applyAlignment="1">
      <alignment horizontal="left" vertical="center"/>
    </xf>
    <xf numFmtId="0" fontId="22" fillId="0" borderId="104" xfId="0" applyFont="1" applyBorder="1" applyAlignment="1">
      <alignment horizontal="center" vertical="center"/>
    </xf>
    <xf numFmtId="0" fontId="13" fillId="33" borderId="7" xfId="0" applyFont="1" applyFill="1" applyBorder="1" applyAlignment="1">
      <alignment horizontal="center" vertical="center"/>
    </xf>
    <xf numFmtId="189" fontId="114" fillId="33" borderId="7" xfId="0" applyNumberFormat="1" applyFont="1" applyFill="1" applyBorder="1" applyAlignment="1">
      <alignment horizontal="left" vertical="center"/>
    </xf>
    <xf numFmtId="193" fontId="13" fillId="39" borderId="22" xfId="0" applyNumberFormat="1" applyFont="1" applyFill="1" applyBorder="1" applyAlignment="1">
      <alignment horizontal="left" vertical="center"/>
    </xf>
    <xf numFmtId="189" fontId="13" fillId="33" borderId="7" xfId="2" applyNumberFormat="1" applyFont="1" applyFill="1" applyBorder="1" applyAlignment="1" applyProtection="1">
      <alignment vertical="center"/>
    </xf>
    <xf numFmtId="0" fontId="3" fillId="0" borderId="98" xfId="0" applyFont="1" applyBorder="1" applyAlignment="1">
      <alignment vertical="center"/>
    </xf>
    <xf numFmtId="0" fontId="48" fillId="0" borderId="21" xfId="0" applyFont="1" applyBorder="1" applyAlignment="1">
      <alignment horizontal="center" vertical="center"/>
    </xf>
    <xf numFmtId="166" fontId="19" fillId="0" borderId="0" xfId="0" applyNumberFormat="1" applyFont="1" applyAlignment="1">
      <alignment horizontal="center" vertical="center"/>
    </xf>
    <xf numFmtId="0" fontId="19" fillId="0" borderId="49" xfId="0" applyFont="1" applyBorder="1" applyAlignment="1">
      <alignment vertical="center"/>
    </xf>
    <xf numFmtId="194" fontId="3" fillId="0" borderId="0" xfId="0" applyNumberFormat="1" applyFont="1" applyAlignment="1">
      <alignment vertical="center"/>
    </xf>
    <xf numFmtId="164" fontId="19" fillId="0" borderId="0" xfId="1" applyNumberFormat="1" applyFont="1" applyBorder="1" applyAlignment="1" applyProtection="1">
      <alignment horizontal="left" vertical="center"/>
    </xf>
    <xf numFmtId="0" fontId="15" fillId="0" borderId="0" xfId="0" applyFont="1" applyAlignment="1">
      <alignment horizontal="left" vertical="center"/>
    </xf>
    <xf numFmtId="174" fontId="13" fillId="0" borderId="0" xfId="2" applyFont="1" applyBorder="1" applyAlignment="1" applyProtection="1">
      <alignment vertical="center"/>
    </xf>
    <xf numFmtId="191" fontId="3" fillId="0" borderId="0" xfId="1" applyNumberFormat="1" applyFont="1" applyBorder="1" applyAlignment="1" applyProtection="1">
      <alignment horizontal="left" vertical="center"/>
    </xf>
    <xf numFmtId="0" fontId="15" fillId="0" borderId="98" xfId="0" applyFont="1" applyBorder="1" applyAlignment="1">
      <alignment vertical="center"/>
    </xf>
    <xf numFmtId="0" fontId="15" fillId="0" borderId="19" xfId="0" applyFont="1" applyBorder="1" applyAlignment="1">
      <alignment vertical="center"/>
    </xf>
    <xf numFmtId="0" fontId="36" fillId="16" borderId="19" xfId="0" applyFont="1" applyFill="1" applyBorder="1" applyAlignment="1">
      <alignment horizontal="center" vertical="center"/>
    </xf>
    <xf numFmtId="0" fontId="55" fillId="0" borderId="98" xfId="0" applyFont="1" applyBorder="1" applyAlignment="1">
      <alignment horizontal="center" vertical="center"/>
    </xf>
    <xf numFmtId="0" fontId="34" fillId="0" borderId="0" xfId="0" applyFont="1" applyAlignment="1">
      <alignment horizontal="center" vertical="center" wrapText="1"/>
    </xf>
    <xf numFmtId="0" fontId="55" fillId="0" borderId="49" xfId="0" applyFont="1" applyBorder="1" applyAlignment="1">
      <alignment horizontal="center" vertical="center"/>
    </xf>
    <xf numFmtId="195" fontId="3" fillId="0" borderId="0" xfId="0" applyNumberFormat="1" applyFont="1" applyAlignment="1">
      <alignment vertical="center"/>
    </xf>
    <xf numFmtId="0" fontId="55" fillId="0" borderId="19" xfId="0" applyFont="1" applyBorder="1" applyAlignment="1">
      <alignment horizontal="center" vertical="center"/>
    </xf>
    <xf numFmtId="189" fontId="114" fillId="27" borderId="7" xfId="0" applyNumberFormat="1" applyFont="1" applyFill="1" applyBorder="1" applyAlignment="1">
      <alignment horizontal="left" vertical="center" indent="2"/>
    </xf>
    <xf numFmtId="0" fontId="3" fillId="16" borderId="0" xfId="0" applyFont="1" applyFill="1" applyAlignment="1">
      <alignment horizontal="left" vertical="center" indent="2"/>
    </xf>
    <xf numFmtId="0" fontId="13" fillId="33" borderId="7" xfId="0" applyFont="1" applyFill="1" applyBorder="1" applyAlignment="1">
      <alignment horizontal="center"/>
    </xf>
    <xf numFmtId="189" fontId="30" fillId="22" borderId="21" xfId="2" applyNumberFormat="1" applyFont="1" applyFill="1" applyBorder="1" applyAlignment="1" applyProtection="1">
      <alignment vertical="center"/>
    </xf>
    <xf numFmtId="0" fontId="15" fillId="0" borderId="50" xfId="0" applyFont="1" applyBorder="1" applyAlignment="1">
      <alignment vertical="center"/>
    </xf>
    <xf numFmtId="165" fontId="30" fillId="13" borderId="202" xfId="0" applyNumberFormat="1" applyFont="1" applyFill="1" applyBorder="1" applyAlignment="1">
      <alignment vertical="center"/>
    </xf>
    <xf numFmtId="190" fontId="15" fillId="0" borderId="0" xfId="0" applyNumberFormat="1" applyFont="1" applyAlignment="1">
      <alignment vertical="center"/>
    </xf>
    <xf numFmtId="0" fontId="23" fillId="0" borderId="0" xfId="0" applyFont="1" applyAlignment="1">
      <alignment vertical="center"/>
    </xf>
    <xf numFmtId="0" fontId="19" fillId="0" borderId="98" xfId="0" applyFont="1" applyBorder="1" applyAlignment="1">
      <alignment horizontal="left" vertical="center"/>
    </xf>
    <xf numFmtId="189" fontId="112" fillId="0" borderId="98" xfId="2" applyNumberFormat="1" applyFont="1" applyBorder="1" applyAlignment="1" applyProtection="1">
      <alignment horizontal="left" vertical="center" indent="2"/>
    </xf>
    <xf numFmtId="189" fontId="48" fillId="0" borderId="98" xfId="2" applyNumberFormat="1" applyFont="1" applyBorder="1" applyAlignment="1" applyProtection="1">
      <alignment horizontal="left" vertical="center" indent="2"/>
    </xf>
    <xf numFmtId="0" fontId="19" fillId="0" borderId="19" xfId="0" applyFont="1" applyBorder="1" applyAlignment="1">
      <alignment horizontal="left" vertical="center"/>
    </xf>
    <xf numFmtId="189" fontId="17" fillId="47" borderId="7" xfId="2" applyNumberFormat="1" applyFont="1" applyFill="1" applyBorder="1" applyAlignment="1" applyProtection="1">
      <alignment horizontal="right" vertical="center"/>
      <protection locked="0"/>
    </xf>
    <xf numFmtId="0" fontId="3" fillId="0" borderId="10" xfId="0" applyFont="1" applyBorder="1" applyAlignment="1">
      <alignment horizontal="left" vertical="center"/>
    </xf>
    <xf numFmtId="0" fontId="3" fillId="0" borderId="22" xfId="0" applyFont="1" applyBorder="1" applyAlignment="1">
      <alignment vertical="center"/>
    </xf>
    <xf numFmtId="0" fontId="20" fillId="0" borderId="98" xfId="0" applyFont="1" applyBorder="1" applyAlignment="1">
      <alignment horizontal="center" vertical="center"/>
    </xf>
    <xf numFmtId="0" fontId="13" fillId="33" borderId="98" xfId="0" applyFont="1" applyFill="1" applyBorder="1" applyAlignment="1">
      <alignment horizontal="center" vertical="center"/>
    </xf>
    <xf numFmtId="0" fontId="3" fillId="0" borderId="7" xfId="0" applyFont="1" applyBorder="1" applyAlignment="1">
      <alignment horizontal="left" vertical="center"/>
    </xf>
    <xf numFmtId="0" fontId="0" fillId="0" borderId="98" xfId="0" applyBorder="1" applyAlignment="1">
      <alignment vertical="center"/>
    </xf>
    <xf numFmtId="0" fontId="48" fillId="0" borderId="3" xfId="0" applyFont="1" applyBorder="1" applyAlignment="1">
      <alignment horizontal="center" vertical="center"/>
    </xf>
    <xf numFmtId="189" fontId="48" fillId="0" borderId="22" xfId="2" applyNumberFormat="1" applyFont="1" applyBorder="1" applyAlignment="1" applyProtection="1">
      <alignment horizontal="left" vertical="center" indent="2"/>
    </xf>
    <xf numFmtId="0" fontId="48" fillId="0" borderId="10" xfId="0" applyFont="1" applyBorder="1" applyAlignment="1">
      <alignment horizontal="center" vertical="center"/>
    </xf>
    <xf numFmtId="0" fontId="13" fillId="0" borderId="0" xfId="0" applyFont="1" applyAlignment="1">
      <alignment horizontal="left" vertical="center" indent="1"/>
    </xf>
    <xf numFmtId="190" fontId="19" fillId="0" borderId="0" xfId="2" applyNumberFormat="1" applyFont="1" applyBorder="1" applyAlignment="1" applyProtection="1">
      <alignment vertical="center"/>
    </xf>
    <xf numFmtId="0" fontId="15" fillId="0" borderId="7" xfId="0" applyFont="1" applyBorder="1" applyAlignment="1">
      <alignment horizontal="left" vertical="center"/>
    </xf>
    <xf numFmtId="0" fontId="15" fillId="0" borderId="98" xfId="0" applyFont="1" applyBorder="1" applyAlignment="1">
      <alignment horizontal="left" vertical="center"/>
    </xf>
    <xf numFmtId="165" fontId="116" fillId="0" borderId="22" xfId="2" applyNumberFormat="1" applyFont="1" applyBorder="1" applyAlignment="1" applyProtection="1">
      <alignment horizontal="left" vertical="center"/>
    </xf>
    <xf numFmtId="165" fontId="20" fillId="0" borderId="22" xfId="2" applyNumberFormat="1" applyFont="1" applyBorder="1" applyAlignment="1" applyProtection="1">
      <alignment horizontal="left" vertical="center"/>
    </xf>
    <xf numFmtId="0" fontId="13" fillId="0" borderId="50" xfId="0" applyFont="1" applyBorder="1" applyAlignment="1">
      <alignment vertical="center"/>
    </xf>
    <xf numFmtId="0" fontId="15" fillId="0" borderId="49" xfId="0" applyFont="1" applyBorder="1" applyAlignment="1">
      <alignment horizontal="left" vertical="center"/>
    </xf>
    <xf numFmtId="165" fontId="116" fillId="0" borderId="7" xfId="2" applyNumberFormat="1" applyFont="1" applyBorder="1" applyAlignment="1" applyProtection="1">
      <alignment horizontal="left" vertical="center"/>
    </xf>
    <xf numFmtId="0" fontId="15" fillId="0" borderId="19" xfId="0" applyFont="1" applyBorder="1" applyAlignment="1">
      <alignment horizontal="left" vertical="center"/>
    </xf>
    <xf numFmtId="165" fontId="116" fillId="0" borderId="49" xfId="2" applyNumberFormat="1" applyFont="1" applyBorder="1" applyAlignment="1" applyProtection="1">
      <alignment horizontal="left" vertical="center"/>
    </xf>
    <xf numFmtId="165" fontId="20" fillId="8" borderId="22" xfId="1" applyNumberFormat="1" applyFont="1" applyFill="1" applyBorder="1" applyAlignment="1" applyProtection="1">
      <alignment horizontal="left" vertical="center"/>
      <protection locked="0"/>
    </xf>
    <xf numFmtId="165" fontId="114" fillId="33" borderId="7" xfId="2" applyNumberFormat="1" applyFont="1" applyFill="1" applyBorder="1" applyAlignment="1" applyProtection="1">
      <alignment horizontal="left" vertical="center"/>
    </xf>
    <xf numFmtId="165" fontId="13" fillId="33" borderId="7" xfId="2" applyNumberFormat="1" applyFont="1" applyFill="1" applyBorder="1" applyAlignment="1" applyProtection="1">
      <alignment horizontal="left" vertical="center"/>
    </xf>
    <xf numFmtId="0" fontId="15" fillId="5" borderId="0" xfId="0" applyFont="1" applyFill="1" applyAlignment="1">
      <alignment vertical="center"/>
    </xf>
    <xf numFmtId="0" fontId="15" fillId="0" borderId="0" xfId="0" applyFont="1" applyAlignment="1">
      <alignment vertical="center" wrapText="1"/>
    </xf>
    <xf numFmtId="0" fontId="56" fillId="0" borderId="0" xfId="0" applyFont="1" applyAlignment="1">
      <alignment horizontal="left" vertical="center" wrapText="1"/>
    </xf>
    <xf numFmtId="0" fontId="117" fillId="0" borderId="0" xfId="0" applyFont="1" applyAlignment="1">
      <alignment horizontal="center" vertical="center" wrapText="1"/>
    </xf>
    <xf numFmtId="0" fontId="20" fillId="0" borderId="0" xfId="0" applyFont="1" applyAlignment="1">
      <alignment horizontal="right"/>
    </xf>
    <xf numFmtId="0" fontId="118" fillId="0" borderId="0" xfId="0" applyFont="1" applyAlignment="1">
      <alignment vertical="top"/>
    </xf>
    <xf numFmtId="0" fontId="20" fillId="0" borderId="0" xfId="0" applyFont="1" applyAlignment="1">
      <alignment horizontal="center" vertical="center"/>
    </xf>
    <xf numFmtId="0" fontId="20" fillId="27" borderId="7" xfId="0" applyFont="1" applyFill="1" applyBorder="1" applyAlignment="1">
      <alignment horizontal="center" vertical="center" wrapText="1"/>
    </xf>
    <xf numFmtId="0" fontId="0" fillId="0" borderId="2" xfId="0" applyBorder="1" applyAlignment="1">
      <alignment vertical="center" wrapText="1"/>
    </xf>
    <xf numFmtId="0" fontId="9" fillId="5" borderId="4" xfId="0" applyFont="1" applyFill="1" applyBorder="1" applyAlignment="1">
      <alignment horizontal="right" vertical="center"/>
    </xf>
    <xf numFmtId="0" fontId="15" fillId="0" borderId="103" xfId="0" applyFont="1" applyBorder="1" applyAlignment="1">
      <alignment horizontal="left" vertical="center" indent="1"/>
    </xf>
    <xf numFmtId="0" fontId="15" fillId="5" borderId="7" xfId="0" applyFont="1" applyFill="1" applyBorder="1" applyAlignment="1" applyProtection="1">
      <alignment horizontal="left" vertical="center" indent="1"/>
      <protection locked="0"/>
    </xf>
    <xf numFmtId="189" fontId="15" fillId="5" borderId="102" xfId="0" applyNumberFormat="1" applyFont="1" applyFill="1" applyBorder="1" applyAlignment="1" applyProtection="1">
      <alignment vertical="center"/>
      <protection locked="0"/>
    </xf>
    <xf numFmtId="0" fontId="15" fillId="5" borderId="7" xfId="0" applyFont="1" applyFill="1" applyBorder="1" applyAlignment="1">
      <alignment horizontal="left" vertical="center" indent="1"/>
    </xf>
    <xf numFmtId="0" fontId="15" fillId="0" borderId="110" xfId="0" applyFont="1" applyBorder="1" applyAlignment="1">
      <alignment horizontal="left" vertical="center" indent="1"/>
    </xf>
    <xf numFmtId="0" fontId="19" fillId="0" borderId="205" xfId="0" applyFont="1" applyBorder="1" applyAlignment="1">
      <alignment vertical="center"/>
    </xf>
    <xf numFmtId="189" fontId="13" fillId="33" borderId="172" xfId="0" applyNumberFormat="1" applyFont="1" applyFill="1" applyBorder="1" applyAlignment="1">
      <alignment vertical="center"/>
    </xf>
    <xf numFmtId="189" fontId="13" fillId="33" borderId="167" xfId="0" applyNumberFormat="1" applyFont="1" applyFill="1" applyBorder="1" applyAlignment="1">
      <alignment vertical="center"/>
    </xf>
    <xf numFmtId="0" fontId="19" fillId="0" borderId="2" xfId="0" applyFont="1" applyBorder="1" applyAlignment="1">
      <alignment vertical="center"/>
    </xf>
    <xf numFmtId="0" fontId="0" fillId="0" borderId="208" xfId="0" applyBorder="1" applyAlignment="1">
      <alignment vertical="center"/>
    </xf>
    <xf numFmtId="0" fontId="19" fillId="0" borderId="205" xfId="0" applyFont="1" applyBorder="1" applyAlignment="1">
      <alignment horizontal="center" vertical="center"/>
    </xf>
    <xf numFmtId="0" fontId="15" fillId="0" borderId="209" xfId="0" applyFont="1" applyBorder="1" applyAlignment="1">
      <alignment horizontal="left" vertical="center" indent="1"/>
    </xf>
    <xf numFmtId="0" fontId="15" fillId="0" borderId="210" xfId="0" applyFont="1" applyBorder="1" applyAlignment="1">
      <alignment horizontal="left" vertical="center" indent="1"/>
    </xf>
    <xf numFmtId="0" fontId="19" fillId="0" borderId="205" xfId="0" applyFont="1" applyBorder="1" applyAlignment="1">
      <alignment horizontal="right" vertical="center"/>
    </xf>
    <xf numFmtId="0" fontId="20" fillId="0" borderId="205" xfId="0" applyFont="1" applyBorder="1" applyAlignment="1">
      <alignment horizontal="right" vertical="center"/>
    </xf>
    <xf numFmtId="0" fontId="0" fillId="0" borderId="205" xfId="0" applyBorder="1" applyAlignment="1">
      <alignment vertical="center"/>
    </xf>
    <xf numFmtId="0" fontId="19" fillId="0" borderId="2" xfId="0" applyFont="1" applyBorder="1" applyAlignment="1">
      <alignment horizontal="left" vertical="center"/>
    </xf>
    <xf numFmtId="190" fontId="0" fillId="0" borderId="6" xfId="0" applyNumberFormat="1" applyBorder="1" applyAlignment="1">
      <alignment vertical="center"/>
    </xf>
    <xf numFmtId="0" fontId="15" fillId="5" borderId="7" xfId="0" applyFont="1" applyFill="1" applyBorder="1" applyAlignment="1" applyProtection="1">
      <alignment horizontal="left" vertical="center" wrapText="1" indent="1"/>
      <protection locked="0"/>
    </xf>
    <xf numFmtId="189" fontId="30" fillId="16" borderId="171" xfId="0" applyNumberFormat="1" applyFont="1" applyFill="1" applyBorder="1" applyAlignment="1">
      <alignment vertical="center"/>
    </xf>
    <xf numFmtId="0" fontId="17" fillId="0" borderId="0" xfId="0" applyFont="1" applyAlignment="1">
      <alignment vertical="center" wrapText="1"/>
    </xf>
    <xf numFmtId="0" fontId="0" fillId="0" borderId="0" xfId="0" applyAlignment="1">
      <alignment horizontal="center"/>
    </xf>
    <xf numFmtId="164" fontId="0" fillId="0" borderId="0" xfId="0" applyNumberFormat="1"/>
    <xf numFmtId="0" fontId="36" fillId="2" borderId="7" xfId="0" applyFont="1" applyFill="1" applyBorder="1" applyAlignment="1">
      <alignment horizontal="center" vertical="center"/>
    </xf>
    <xf numFmtId="0" fontId="36" fillId="2" borderId="7" xfId="0" applyFont="1" applyFill="1" applyBorder="1" applyAlignment="1">
      <alignment horizontal="center" vertical="center" wrapText="1"/>
    </xf>
    <xf numFmtId="164" fontId="36" fillId="2" borderId="7" xfId="0" applyNumberFormat="1" applyFont="1" applyFill="1" applyBorder="1" applyAlignment="1">
      <alignment horizontal="center" vertical="center"/>
    </xf>
    <xf numFmtId="0" fontId="19" fillId="0" borderId="0" xfId="0" applyFont="1" applyAlignment="1">
      <alignment vertical="top"/>
    </xf>
    <xf numFmtId="0" fontId="58" fillId="2" borderId="21" xfId="0" applyFont="1" applyFill="1" applyBorder="1" applyAlignment="1">
      <alignment horizontal="left" vertical="center" indent="1"/>
    </xf>
    <xf numFmtId="0" fontId="21" fillId="0" borderId="7" xfId="0" applyFont="1" applyBorder="1" applyAlignment="1">
      <alignment horizontal="left" vertical="center" wrapText="1" indent="1"/>
    </xf>
    <xf numFmtId="0" fontId="37" fillId="0" borderId="7" xfId="0" applyFont="1" applyBorder="1" applyAlignment="1">
      <alignment horizontal="center" vertical="center" wrapText="1"/>
    </xf>
    <xf numFmtId="0" fontId="3" fillId="0" borderId="7" xfId="0" applyFont="1" applyBorder="1" applyAlignment="1">
      <alignment horizontal="center" vertical="center"/>
    </xf>
    <xf numFmtId="0" fontId="21" fillId="16" borderId="7" xfId="0" applyFont="1" applyFill="1" applyBorder="1" applyAlignment="1">
      <alignment horizontal="center" vertical="center" wrapText="1"/>
    </xf>
    <xf numFmtId="164" fontId="21" fillId="0" borderId="7" xfId="0" applyNumberFormat="1" applyFont="1" applyBorder="1" applyAlignment="1">
      <alignment horizontal="center" vertical="center"/>
    </xf>
    <xf numFmtId="0" fontId="3" fillId="0" borderId="21" xfId="0" applyFont="1" applyBorder="1" applyAlignment="1">
      <alignment horizontal="center" vertical="center" wrapText="1"/>
    </xf>
    <xf numFmtId="0" fontId="15" fillId="0" borderId="0" xfId="0" applyFont="1" applyAlignment="1">
      <alignment vertical="top" wrapText="1"/>
    </xf>
    <xf numFmtId="0" fontId="46" fillId="48" borderId="7" xfId="0" applyFont="1" applyFill="1" applyBorder="1" applyAlignment="1">
      <alignment horizontal="right" vertical="center" indent="1"/>
    </xf>
    <xf numFmtId="0" fontId="52" fillId="48" borderId="7" xfId="0" applyFont="1" applyFill="1" applyBorder="1" applyAlignment="1">
      <alignment horizontal="center" vertical="center" wrapText="1"/>
    </xf>
    <xf numFmtId="0" fontId="46" fillId="16" borderId="7" xfId="0" applyFont="1" applyFill="1" applyBorder="1" applyAlignment="1">
      <alignment horizontal="center" vertical="center" wrapText="1"/>
    </xf>
    <xf numFmtId="164" fontId="46" fillId="48" borderId="7" xfId="0" applyNumberFormat="1" applyFont="1" applyFill="1" applyBorder="1" applyAlignment="1">
      <alignment horizontal="center" vertical="center"/>
    </xf>
    <xf numFmtId="0" fontId="15" fillId="0" borderId="21" xfId="0" applyFont="1" applyBorder="1" applyAlignment="1">
      <alignment horizontal="left" vertical="center" wrapText="1" indent="1"/>
    </xf>
    <xf numFmtId="165" fontId="21" fillId="0" borderId="7" xfId="0" applyNumberFormat="1" applyFont="1" applyBorder="1" applyAlignment="1">
      <alignment horizontal="center" vertical="center"/>
    </xf>
    <xf numFmtId="164" fontId="21" fillId="16" borderId="7" xfId="0" applyNumberFormat="1" applyFont="1" applyFill="1" applyBorder="1" applyAlignment="1">
      <alignment horizontal="center" vertical="center"/>
    </xf>
    <xf numFmtId="0" fontId="46" fillId="48" borderId="7" xfId="0" applyFont="1" applyFill="1" applyBorder="1" applyAlignment="1">
      <alignment horizontal="right" vertical="center" wrapText="1" indent="1"/>
    </xf>
    <xf numFmtId="0" fontId="0" fillId="0" borderId="22" xfId="0" applyBorder="1" applyAlignment="1">
      <alignment horizontal="center" vertical="center" wrapText="1"/>
    </xf>
    <xf numFmtId="165" fontId="15" fillId="16" borderId="7" xfId="0" applyNumberFormat="1" applyFont="1" applyFill="1" applyBorder="1" applyAlignment="1">
      <alignment vertical="center"/>
    </xf>
    <xf numFmtId="0" fontId="3" fillId="0" borderId="21" xfId="0" applyFont="1" applyBorder="1" applyAlignment="1">
      <alignment horizontal="center" vertical="center"/>
    </xf>
    <xf numFmtId="0" fontId="13" fillId="48" borderId="21" xfId="0" applyFont="1" applyFill="1" applyBorder="1" applyAlignment="1">
      <alignment horizontal="right" vertical="center" indent="1"/>
    </xf>
    <xf numFmtId="0" fontId="19" fillId="48" borderId="21" xfId="0" applyFont="1" applyFill="1" applyBorder="1" applyAlignment="1">
      <alignment horizontal="center" vertical="center"/>
    </xf>
    <xf numFmtId="0" fontId="3" fillId="48" borderId="7" xfId="0" applyFont="1" applyFill="1" applyBorder="1" applyAlignment="1">
      <alignment horizontal="center" vertical="center"/>
    </xf>
    <xf numFmtId="0" fontId="13" fillId="48" borderId="22" xfId="0" applyFont="1" applyFill="1" applyBorder="1" applyAlignment="1">
      <alignment horizontal="center" vertical="center"/>
    </xf>
    <xf numFmtId="165" fontId="13" fillId="16" borderId="7" xfId="0" applyNumberFormat="1" applyFont="1" applyFill="1" applyBorder="1" applyAlignment="1">
      <alignment vertical="center"/>
    </xf>
    <xf numFmtId="165" fontId="13" fillId="48" borderId="7" xfId="0" applyNumberFormat="1" applyFont="1" applyFill="1" applyBorder="1" applyAlignment="1">
      <alignment vertical="center"/>
    </xf>
    <xf numFmtId="0" fontId="0" fillId="0" borderId="22" xfId="0" applyBorder="1" applyAlignment="1">
      <alignment horizontal="center" vertical="center"/>
    </xf>
    <xf numFmtId="165" fontId="15" fillId="16" borderId="7" xfId="0" applyNumberFormat="1" applyFont="1" applyFill="1" applyBorder="1" applyAlignment="1">
      <alignment vertical="center" wrapText="1"/>
    </xf>
    <xf numFmtId="165" fontId="15" fillId="0" borderId="7" xfId="0" applyNumberFormat="1" applyFont="1" applyBorder="1" applyAlignment="1">
      <alignment vertical="center" wrapText="1"/>
    </xf>
    <xf numFmtId="0" fontId="19" fillId="0" borderId="22" xfId="0" applyFont="1" applyBorder="1" applyAlignment="1">
      <alignment horizontal="center" vertical="center" wrapText="1"/>
    </xf>
    <xf numFmtId="0" fontId="19" fillId="16" borderId="22" xfId="0" applyFont="1" applyFill="1" applyBorder="1" applyAlignment="1">
      <alignment horizontal="center" vertical="center" wrapText="1"/>
    </xf>
    <xf numFmtId="0" fontId="0" fillId="16" borderId="22" xfId="0" applyFill="1" applyBorder="1" applyAlignment="1">
      <alignment horizontal="center" vertical="center" wrapText="1"/>
    </xf>
    <xf numFmtId="0" fontId="3" fillId="5" borderId="7" xfId="0" applyFont="1" applyFill="1" applyBorder="1" applyAlignment="1">
      <alignment horizontal="center" vertical="center" wrapText="1"/>
    </xf>
    <xf numFmtId="165" fontId="13" fillId="0" borderId="7" xfId="0" applyNumberFormat="1" applyFont="1" applyBorder="1" applyAlignment="1">
      <alignment vertical="center"/>
    </xf>
    <xf numFmtId="0" fontId="3" fillId="48" borderId="7" xfId="0" applyFont="1" applyFill="1" applyBorder="1" applyAlignment="1">
      <alignment horizontal="center" vertical="center" wrapText="1"/>
    </xf>
    <xf numFmtId="0" fontId="13" fillId="16" borderId="22" xfId="0" applyFont="1" applyFill="1" applyBorder="1" applyAlignment="1">
      <alignment horizontal="center" vertical="center"/>
    </xf>
    <xf numFmtId="164" fontId="13" fillId="48" borderId="7" xfId="0" applyNumberFormat="1" applyFont="1" applyFill="1" applyBorder="1" applyAlignment="1">
      <alignment vertical="center"/>
    </xf>
    <xf numFmtId="0" fontId="23" fillId="35" borderId="21" xfId="0" applyFont="1" applyFill="1" applyBorder="1" applyAlignment="1">
      <alignment vertical="center"/>
    </xf>
    <xf numFmtId="0" fontId="23" fillId="35" borderId="10" xfId="0" applyFont="1" applyFill="1" applyBorder="1" applyAlignment="1">
      <alignment vertical="center"/>
    </xf>
    <xf numFmtId="0" fontId="23" fillId="35" borderId="22" xfId="0" applyFont="1" applyFill="1" applyBorder="1" applyAlignment="1">
      <alignment vertical="center"/>
    </xf>
    <xf numFmtId="0" fontId="3" fillId="5" borderId="7" xfId="0" applyFont="1" applyFill="1" applyBorder="1" applyAlignment="1">
      <alignment horizontal="center" vertical="center"/>
    </xf>
    <xf numFmtId="0" fontId="0" fillId="16" borderId="22" xfId="0" applyFill="1" applyBorder="1" applyAlignment="1">
      <alignment horizontal="center" vertical="center"/>
    </xf>
    <xf numFmtId="0" fontId="3" fillId="0" borderId="22" xfId="0" applyFont="1" applyBorder="1" applyAlignment="1">
      <alignment horizontal="center" vertical="center" wrapText="1"/>
    </xf>
    <xf numFmtId="0" fontId="3" fillId="16" borderId="22" xfId="0" applyFont="1" applyFill="1" applyBorder="1" applyAlignment="1">
      <alignment horizontal="center" vertical="center" wrapText="1"/>
    </xf>
    <xf numFmtId="0" fontId="3" fillId="0" borderId="105" xfId="0" applyFont="1" applyBorder="1" applyAlignment="1">
      <alignment horizontal="center" vertical="center" wrapText="1"/>
    </xf>
    <xf numFmtId="0" fontId="19" fillId="0" borderId="104" xfId="0" applyFont="1" applyBorder="1" applyAlignment="1">
      <alignment horizontal="center" vertical="center" wrapText="1"/>
    </xf>
    <xf numFmtId="0" fontId="19" fillId="16" borderId="104" xfId="0" applyFont="1" applyFill="1" applyBorder="1" applyAlignment="1">
      <alignment horizontal="center" vertical="center" wrapText="1"/>
    </xf>
    <xf numFmtId="0" fontId="13" fillId="48" borderId="21" xfId="0" applyFont="1" applyFill="1" applyBorder="1" applyAlignment="1">
      <alignment horizontal="right" vertical="center" wrapText="1" indent="1"/>
    </xf>
    <xf numFmtId="0" fontId="19" fillId="48" borderId="21" xfId="0" applyFont="1" applyFill="1" applyBorder="1" applyAlignment="1">
      <alignment horizontal="center" vertical="center" wrapText="1"/>
    </xf>
    <xf numFmtId="0" fontId="13" fillId="48" borderId="22" xfId="0" applyFont="1" applyFill="1" applyBorder="1" applyAlignment="1">
      <alignment horizontal="center" vertical="center" wrapText="1"/>
    </xf>
    <xf numFmtId="0" fontId="13" fillId="16" borderId="22" xfId="0" applyFont="1" applyFill="1" applyBorder="1" applyAlignment="1">
      <alignment horizontal="center" vertical="center" wrapText="1"/>
    </xf>
    <xf numFmtId="165" fontId="0" fillId="0" borderId="0" xfId="0" applyNumberFormat="1" applyAlignment="1">
      <alignment vertical="center" wrapText="1"/>
    </xf>
    <xf numFmtId="0" fontId="36" fillId="2" borderId="21" xfId="0" applyFont="1" applyFill="1" applyBorder="1" applyAlignment="1">
      <alignment horizontal="center" vertical="center"/>
    </xf>
    <xf numFmtId="0" fontId="15" fillId="5" borderId="21" xfId="0" applyFont="1" applyFill="1" applyBorder="1" applyAlignment="1">
      <alignment horizontal="left" vertical="center" wrapText="1" indent="1"/>
    </xf>
    <xf numFmtId="0" fontId="9" fillId="0" borderId="0" xfId="0" applyFont="1" applyAlignment="1">
      <alignment horizontal="center" vertical="top"/>
    </xf>
    <xf numFmtId="0" fontId="15" fillId="5" borderId="21" xfId="0" applyFont="1" applyFill="1" applyBorder="1" applyAlignment="1">
      <alignment horizontal="left" vertical="center" wrapText="1" indent="6"/>
    </xf>
    <xf numFmtId="0" fontId="15" fillId="0" borderId="0" xfId="0" applyFont="1" applyAlignment="1">
      <alignment horizontal="left" vertical="top" wrapText="1" indent="1"/>
    </xf>
    <xf numFmtId="0" fontId="15" fillId="5" borderId="21" xfId="0" applyFont="1" applyFill="1" applyBorder="1" applyAlignment="1">
      <alignment horizontal="left" vertical="center" indent="1"/>
    </xf>
    <xf numFmtId="0" fontId="3" fillId="0" borderId="22" xfId="0" applyFont="1" applyBorder="1" applyAlignment="1">
      <alignment horizontal="center" vertical="center"/>
    </xf>
    <xf numFmtId="0" fontId="3" fillId="0" borderId="104" xfId="0" applyFont="1" applyBorder="1" applyAlignment="1">
      <alignment horizontal="center" vertical="center" wrapText="1"/>
    </xf>
    <xf numFmtId="0" fontId="13" fillId="33" borderId="21" xfId="0" applyFont="1" applyFill="1" applyBorder="1" applyAlignment="1">
      <alignment horizontal="right" vertical="center" wrapText="1" indent="1"/>
    </xf>
    <xf numFmtId="0" fontId="3" fillId="33" borderId="7" xfId="0" applyFont="1" applyFill="1" applyBorder="1" applyAlignment="1">
      <alignment horizontal="center" vertical="center" wrapText="1"/>
    </xf>
    <xf numFmtId="0" fontId="13" fillId="33" borderId="22"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3" fillId="5" borderId="22" xfId="0" applyFont="1" applyFill="1" applyBorder="1" applyAlignment="1">
      <alignment horizontal="center" vertical="center" wrapText="1"/>
    </xf>
    <xf numFmtId="165" fontId="15" fillId="5" borderId="7" xfId="0" applyNumberFormat="1" applyFont="1" applyFill="1" applyBorder="1" applyAlignment="1">
      <alignment vertical="center" wrapText="1"/>
    </xf>
    <xf numFmtId="0" fontId="15" fillId="0" borderId="21" xfId="0" applyFont="1" applyBorder="1" applyAlignment="1">
      <alignment horizontal="left" vertical="center" wrapText="1" indent="6"/>
    </xf>
    <xf numFmtId="0" fontId="15" fillId="5" borderId="21" xfId="0" applyFont="1" applyFill="1" applyBorder="1" applyAlignment="1">
      <alignment horizontal="left" vertical="top" wrapText="1" indent="1"/>
    </xf>
    <xf numFmtId="3" fontId="3" fillId="0" borderId="21" xfId="0" applyNumberFormat="1" applyFont="1" applyBorder="1" applyAlignment="1">
      <alignment horizontal="center" vertical="center"/>
    </xf>
    <xf numFmtId="49" fontId="0" fillId="0" borderId="0" xfId="0" applyNumberFormat="1" applyAlignment="1">
      <alignment horizontal="center" vertical="center"/>
    </xf>
    <xf numFmtId="0" fontId="23" fillId="0" borderId="0" xfId="0" applyFont="1" applyAlignment="1">
      <alignment horizontal="center"/>
    </xf>
    <xf numFmtId="0" fontId="23" fillId="0" borderId="0" xfId="0" applyFont="1" applyAlignment="1">
      <alignment horizontal="left" indent="2"/>
    </xf>
    <xf numFmtId="0" fontId="3" fillId="0" borderId="0" xfId="0" applyFont="1" applyAlignment="1">
      <alignment horizontal="left" indent="1"/>
    </xf>
    <xf numFmtId="0" fontId="119" fillId="0" borderId="0" xfId="0" applyFont="1" applyAlignment="1">
      <alignment horizontal="left" vertical="top" wrapText="1" indent="1"/>
    </xf>
    <xf numFmtId="0" fontId="63" fillId="29" borderId="7" xfId="0" applyFont="1" applyFill="1" applyBorder="1" applyAlignment="1">
      <alignment horizontal="center" vertical="center" wrapText="1"/>
    </xf>
    <xf numFmtId="0" fontId="20" fillId="29" borderId="7" xfId="0" applyFont="1" applyFill="1" applyBorder="1" applyAlignment="1">
      <alignment horizontal="center" vertical="center" wrapText="1"/>
    </xf>
    <xf numFmtId="0" fontId="0" fillId="2" borderId="59" xfId="0" applyFill="1" applyBorder="1"/>
    <xf numFmtId="0" fontId="0" fillId="2" borderId="0" xfId="0" applyFill="1"/>
    <xf numFmtId="164" fontId="0" fillId="2" borderId="0" xfId="0" applyNumberFormat="1" applyFill="1"/>
    <xf numFmtId="164" fontId="0" fillId="2" borderId="30" xfId="0" applyNumberFormat="1" applyFill="1" applyBorder="1"/>
    <xf numFmtId="0" fontId="0" fillId="0" borderId="0" xfId="0" applyAlignment="1">
      <alignment wrapText="1"/>
    </xf>
    <xf numFmtId="0" fontId="15" fillId="0" borderId="7" xfId="0" applyFont="1" applyBorder="1" applyAlignment="1">
      <alignment horizontal="right" vertical="center"/>
    </xf>
    <xf numFmtId="168" fontId="15" fillId="0" borderId="7" xfId="0" applyNumberFormat="1" applyFont="1" applyBorder="1" applyAlignment="1">
      <alignment vertical="center"/>
    </xf>
    <xf numFmtId="164" fontId="15" fillId="16" borderId="7" xfId="0" applyNumberFormat="1" applyFont="1" applyFill="1" applyBorder="1" applyAlignment="1">
      <alignment vertical="center"/>
    </xf>
    <xf numFmtId="0" fontId="15" fillId="2" borderId="7" xfId="0" applyFont="1" applyFill="1" applyBorder="1" applyAlignment="1">
      <alignment horizontal="right" vertical="center"/>
    </xf>
    <xf numFmtId="165" fontId="15" fillId="2" borderId="7" xfId="0" applyNumberFormat="1" applyFont="1" applyFill="1" applyBorder="1" applyAlignment="1">
      <alignment vertical="center"/>
    </xf>
    <xf numFmtId="164" fontId="15" fillId="2" borderId="7" xfId="0" applyNumberFormat="1" applyFont="1" applyFill="1" applyBorder="1" applyAlignment="1">
      <alignment vertical="center"/>
    </xf>
    <xf numFmtId="9" fontId="0" fillId="0" borderId="0" xfId="0" applyNumberFormat="1" applyAlignment="1">
      <alignment horizontal="center" vertical="center"/>
    </xf>
    <xf numFmtId="168" fontId="15" fillId="2" borderId="7" xfId="0" applyNumberFormat="1" applyFont="1" applyFill="1" applyBorder="1" applyAlignment="1">
      <alignment vertical="center"/>
    </xf>
    <xf numFmtId="0" fontId="15" fillId="2" borderId="7" xfId="0" applyFont="1" applyFill="1" applyBorder="1" applyAlignment="1">
      <alignment vertical="center"/>
    </xf>
    <xf numFmtId="0" fontId="0" fillId="2" borderId="211" xfId="0" applyFill="1" applyBorder="1"/>
    <xf numFmtId="0" fontId="0" fillId="2" borderId="45" xfId="0" applyFill="1" applyBorder="1"/>
    <xf numFmtId="0" fontId="0" fillId="2" borderId="212" xfId="0" applyFill="1" applyBorder="1"/>
    <xf numFmtId="0" fontId="20" fillId="29" borderId="7" xfId="0" applyFont="1" applyFill="1" applyBorder="1" applyAlignment="1">
      <alignment horizontal="right" vertical="center" wrapText="1" indent="1"/>
    </xf>
    <xf numFmtId="0" fontId="0" fillId="2" borderId="7" xfId="0" applyFill="1" applyBorder="1"/>
    <xf numFmtId="9" fontId="15" fillId="0" borderId="7" xfId="0" applyNumberFormat="1" applyFont="1" applyBorder="1" applyAlignment="1">
      <alignment horizontal="center" vertical="center"/>
    </xf>
    <xf numFmtId="0" fontId="15" fillId="2" borderId="7" xfId="0" applyFont="1" applyFill="1" applyBorder="1" applyAlignment="1">
      <alignment horizontal="center" vertical="center"/>
    </xf>
    <xf numFmtId="165" fontId="15" fillId="2" borderId="7" xfId="0" applyNumberFormat="1" applyFont="1" applyFill="1" applyBorder="1" applyAlignment="1">
      <alignment horizontal="right" vertical="center"/>
    </xf>
    <xf numFmtId="165" fontId="0" fillId="2" borderId="7" xfId="0" applyNumberFormat="1" applyFill="1" applyBorder="1"/>
    <xf numFmtId="164" fontId="23" fillId="0" borderId="7" xfId="0" applyNumberFormat="1" applyFont="1" applyBorder="1" applyAlignment="1">
      <alignment horizontal="center"/>
    </xf>
    <xf numFmtId="165" fontId="23" fillId="0" borderId="7" xfId="0" applyNumberFormat="1" applyFont="1" applyBorder="1"/>
    <xf numFmtId="0" fontId="63" fillId="35" borderId="7" xfId="0" applyFont="1" applyFill="1" applyBorder="1" applyAlignment="1">
      <alignment horizontal="center" vertical="center" wrapText="1"/>
    </xf>
    <xf numFmtId="0" fontId="20" fillId="35" borderId="7" xfId="0" applyFont="1" applyFill="1" applyBorder="1" applyAlignment="1">
      <alignment horizontal="center" vertical="center" wrapText="1"/>
    </xf>
    <xf numFmtId="164" fontId="0" fillId="2" borderId="7" xfId="0" applyNumberFormat="1" applyFill="1" applyBorder="1"/>
    <xf numFmtId="168" fontId="0" fillId="0" borderId="0" xfId="0" applyNumberFormat="1" applyAlignment="1">
      <alignment horizontal="center" vertical="center"/>
    </xf>
    <xf numFmtId="9" fontId="19" fillId="0" borderId="0" xfId="0" applyNumberFormat="1" applyFont="1" applyAlignment="1">
      <alignment horizontal="center" vertical="center"/>
    </xf>
    <xf numFmtId="0" fontId="20" fillId="35" borderId="7" xfId="0" applyFont="1" applyFill="1" applyBorder="1" applyAlignment="1">
      <alignment horizontal="right" vertical="center" wrapText="1" indent="1"/>
    </xf>
    <xf numFmtId="164" fontId="15" fillId="2" borderId="7" xfId="0" applyNumberFormat="1" applyFont="1" applyFill="1" applyBorder="1" applyAlignment="1">
      <alignment horizontal="right" vertical="center"/>
    </xf>
    <xf numFmtId="0" fontId="120" fillId="0" borderId="0" xfId="0" applyFont="1"/>
    <xf numFmtId="0" fontId="63" fillId="12" borderId="7" xfId="0" applyFont="1" applyFill="1" applyBorder="1" applyAlignment="1">
      <alignment horizontal="center" vertical="center" wrapText="1"/>
    </xf>
    <xf numFmtId="0" fontId="20" fillId="12" borderId="7" xfId="0" applyFont="1" applyFill="1" applyBorder="1" applyAlignment="1">
      <alignment horizontal="center" vertical="center" wrapText="1"/>
    </xf>
    <xf numFmtId="0" fontId="20" fillId="12" borderId="7" xfId="0" applyFont="1" applyFill="1" applyBorder="1" applyAlignment="1">
      <alignment horizontal="right" vertical="center" wrapText="1" indent="1"/>
    </xf>
    <xf numFmtId="0" fontId="63" fillId="23" borderId="7" xfId="0" applyFont="1" applyFill="1" applyBorder="1" applyAlignment="1">
      <alignment horizontal="center" vertical="center" wrapText="1"/>
    </xf>
    <xf numFmtId="0" fontId="20" fillId="23" borderId="7" xfId="0" applyFont="1" applyFill="1" applyBorder="1" applyAlignment="1">
      <alignment horizontal="center" vertical="center" wrapText="1"/>
    </xf>
    <xf numFmtId="0" fontId="20" fillId="23" borderId="7" xfId="0" applyFont="1" applyFill="1" applyBorder="1" applyAlignment="1">
      <alignment horizontal="right" vertical="center" wrapText="1" indent="1"/>
    </xf>
    <xf numFmtId="0" fontId="63" fillId="49" borderId="7" xfId="0" applyFont="1" applyFill="1" applyBorder="1" applyAlignment="1">
      <alignment horizontal="center" vertical="center" wrapText="1"/>
    </xf>
    <xf numFmtId="0" fontId="20" fillId="49" borderId="7" xfId="0" applyFont="1" applyFill="1" applyBorder="1" applyAlignment="1">
      <alignment horizontal="center" vertical="center" wrapText="1"/>
    </xf>
    <xf numFmtId="0" fontId="20" fillId="49" borderId="7" xfId="0" applyFont="1" applyFill="1" applyBorder="1" applyAlignment="1">
      <alignment horizontal="right" vertical="center" wrapText="1" indent="1"/>
    </xf>
    <xf numFmtId="0" fontId="19" fillId="14" borderId="129" xfId="0" applyFont="1" applyFill="1" applyBorder="1" applyAlignment="1">
      <alignment horizontal="right" vertical="center" indent="1"/>
    </xf>
    <xf numFmtId="9" fontId="0" fillId="6" borderId="35" xfId="0" applyNumberFormat="1" applyFill="1" applyBorder="1" applyAlignment="1" applyProtection="1">
      <alignment horizontal="left" vertical="center" indent="1"/>
      <protection locked="0"/>
    </xf>
    <xf numFmtId="0" fontId="19" fillId="14" borderId="213" xfId="0" applyFont="1" applyFill="1" applyBorder="1" applyAlignment="1">
      <alignment horizontal="right" vertical="center" indent="1"/>
    </xf>
    <xf numFmtId="9" fontId="0" fillId="6" borderId="182" xfId="0" applyNumberFormat="1" applyFill="1" applyBorder="1" applyAlignment="1" applyProtection="1">
      <alignment horizontal="left" vertical="center" indent="1"/>
      <protection locked="0"/>
    </xf>
    <xf numFmtId="0" fontId="19" fillId="14" borderId="100" xfId="0" applyFont="1" applyFill="1" applyBorder="1" applyAlignment="1">
      <alignment horizontal="right" vertical="center" indent="1"/>
    </xf>
    <xf numFmtId="9" fontId="0" fillId="6" borderId="21" xfId="0" applyNumberFormat="1" applyFill="1" applyBorder="1" applyAlignment="1" applyProtection="1">
      <alignment horizontal="left" vertical="center" indent="1"/>
      <protection locked="0"/>
    </xf>
    <xf numFmtId="0" fontId="19" fillId="14" borderId="214" xfId="0" applyFont="1" applyFill="1" applyBorder="1" applyAlignment="1">
      <alignment horizontal="right" vertical="center" indent="1"/>
    </xf>
    <xf numFmtId="9" fontId="3" fillId="6" borderId="85" xfId="0" applyNumberFormat="1" applyFont="1" applyFill="1" applyBorder="1" applyAlignment="1" applyProtection="1">
      <alignment horizontal="left" vertical="center" indent="1"/>
      <protection locked="0"/>
    </xf>
    <xf numFmtId="9" fontId="0" fillId="6" borderId="85" xfId="0" applyNumberFormat="1" applyFill="1" applyBorder="1" applyAlignment="1" applyProtection="1">
      <alignment horizontal="left" vertical="center" indent="1"/>
      <protection locked="0"/>
    </xf>
    <xf numFmtId="168" fontId="0" fillId="6" borderId="85" xfId="0" applyNumberFormat="1" applyFill="1" applyBorder="1" applyAlignment="1" applyProtection="1">
      <alignment horizontal="left" vertical="center" indent="1"/>
      <protection locked="0"/>
    </xf>
    <xf numFmtId="0" fontId="19" fillId="14" borderId="195" xfId="0" applyFont="1" applyFill="1" applyBorder="1" applyAlignment="1">
      <alignment horizontal="right" vertical="center" indent="1"/>
    </xf>
    <xf numFmtId="9" fontId="0" fillId="6" borderId="179" xfId="0" applyNumberFormat="1" applyFill="1" applyBorder="1" applyAlignment="1" applyProtection="1">
      <alignment horizontal="left" vertical="center" indent="1"/>
      <protection locked="0"/>
    </xf>
    <xf numFmtId="0" fontId="19" fillId="14" borderId="215" xfId="0" applyFont="1" applyFill="1" applyBorder="1" applyAlignment="1">
      <alignment horizontal="right" indent="1"/>
    </xf>
    <xf numFmtId="9" fontId="0" fillId="6" borderId="180" xfId="0" applyNumberFormat="1" applyFill="1" applyBorder="1" applyAlignment="1" applyProtection="1">
      <alignment horizontal="left" indent="1"/>
      <protection locked="0"/>
    </xf>
    <xf numFmtId="0" fontId="65" fillId="0" borderId="0" xfId="0" applyFont="1" applyAlignment="1">
      <alignment horizontal="center" vertical="center" wrapText="1"/>
    </xf>
    <xf numFmtId="0" fontId="28" fillId="0" borderId="0" xfId="0" applyFont="1" applyAlignment="1">
      <alignment horizontal="center" vertical="center" wrapText="1"/>
    </xf>
    <xf numFmtId="49" fontId="5" fillId="3" borderId="0" xfId="0" applyNumberFormat="1" applyFont="1" applyFill="1" applyAlignment="1">
      <alignment vertical="center" wrapText="1"/>
    </xf>
    <xf numFmtId="0" fontId="50" fillId="5" borderId="0" xfId="0" applyFont="1" applyFill="1" applyAlignment="1">
      <alignment vertical="center" wrapText="1"/>
    </xf>
    <xf numFmtId="0" fontId="50" fillId="5" borderId="0" xfId="0" applyFont="1" applyFill="1" applyAlignment="1">
      <alignment horizontal="center" vertical="center" wrapText="1"/>
    </xf>
    <xf numFmtId="0" fontId="122" fillId="0" borderId="0" xfId="0" applyFont="1" applyAlignment="1">
      <alignment vertical="center" wrapText="1"/>
    </xf>
    <xf numFmtId="0" fontId="50" fillId="0" borderId="0" xfId="0" applyFont="1" applyAlignment="1">
      <alignment horizontal="center" vertical="center" wrapText="1"/>
    </xf>
    <xf numFmtId="49" fontId="28" fillId="0" borderId="0" xfId="0" applyNumberFormat="1" applyFont="1" applyAlignment="1">
      <alignment vertical="center" wrapText="1"/>
    </xf>
    <xf numFmtId="0" fontId="28" fillId="0" borderId="0" xfId="0" applyFont="1" applyAlignment="1">
      <alignment vertical="center" wrapText="1"/>
    </xf>
    <xf numFmtId="49" fontId="28" fillId="0" borderId="0" xfId="0" applyNumberFormat="1" applyFont="1" applyAlignment="1">
      <alignment horizontal="center" vertical="center" wrapText="1"/>
    </xf>
    <xf numFmtId="165" fontId="16" fillId="50" borderId="7" xfId="0" applyNumberFormat="1" applyFont="1" applyFill="1" applyBorder="1" applyAlignment="1">
      <alignment vertical="center"/>
    </xf>
    <xf numFmtId="1" fontId="16" fillId="50" borderId="7" xfId="0" applyNumberFormat="1" applyFont="1" applyFill="1" applyBorder="1" applyAlignment="1">
      <alignment horizontal="center" vertical="center"/>
    </xf>
    <xf numFmtId="0" fontId="16" fillId="0" borderId="0" xfId="0" applyFont="1" applyAlignment="1">
      <alignment horizontal="center" vertical="center"/>
    </xf>
    <xf numFmtId="0" fontId="50" fillId="0" borderId="0" xfId="0" applyFont="1" applyAlignment="1">
      <alignment vertical="center"/>
    </xf>
    <xf numFmtId="0" fontId="123" fillId="0" borderId="0" xfId="0" applyFont="1" applyAlignment="1">
      <alignment horizontal="center" vertical="center"/>
    </xf>
    <xf numFmtId="0" fontId="123" fillId="0" borderId="0" xfId="0" applyFont="1" applyAlignment="1">
      <alignment horizontal="right" vertical="center" indent="1"/>
    </xf>
    <xf numFmtId="164" fontId="16" fillId="0" borderId="10" xfId="0" applyNumberFormat="1" applyFont="1" applyBorder="1" applyAlignment="1">
      <alignment vertical="center"/>
    </xf>
    <xf numFmtId="165" fontId="16" fillId="50" borderId="7" xfId="0" applyNumberFormat="1" applyFont="1" applyFill="1" applyBorder="1" applyAlignment="1">
      <alignment horizontal="left" vertical="center"/>
    </xf>
    <xf numFmtId="0" fontId="30" fillId="0" borderId="0" xfId="0" applyFont="1" applyAlignment="1">
      <alignment horizontal="center" vertical="center" wrapText="1"/>
    </xf>
    <xf numFmtId="164" fontId="0" fillId="0" borderId="0" xfId="2" applyNumberFormat="1" applyFont="1" applyBorder="1" applyAlignment="1" applyProtection="1">
      <alignment vertical="center"/>
    </xf>
    <xf numFmtId="37" fontId="16" fillId="0" borderId="0" xfId="0" applyNumberFormat="1" applyFont="1" applyAlignment="1">
      <alignment vertical="center"/>
    </xf>
    <xf numFmtId="0" fontId="32" fillId="0" borderId="0" xfId="0" applyFont="1" applyAlignment="1">
      <alignment horizontal="center" vertical="center"/>
    </xf>
    <xf numFmtId="0" fontId="32" fillId="0" borderId="0" xfId="0" applyFont="1" applyAlignment="1">
      <alignment vertical="center"/>
    </xf>
    <xf numFmtId="165" fontId="46" fillId="0" borderId="0" xfId="0" applyNumberFormat="1" applyFont="1" applyAlignment="1">
      <alignment vertical="center" wrapText="1"/>
    </xf>
    <xf numFmtId="0" fontId="30" fillId="0" borderId="0" xfId="0" applyFont="1" applyAlignment="1">
      <alignment vertical="center" wrapText="1"/>
    </xf>
    <xf numFmtId="197" fontId="0" fillId="0" borderId="0" xfId="0" applyNumberFormat="1" applyAlignment="1">
      <alignment vertical="center"/>
    </xf>
    <xf numFmtId="164" fontId="22" fillId="7" borderId="0" xfId="0" applyNumberFormat="1" applyFont="1" applyFill="1" applyAlignment="1">
      <alignment vertical="center"/>
    </xf>
    <xf numFmtId="189" fontId="30" fillId="2" borderId="0" xfId="0" applyNumberFormat="1" applyFont="1" applyFill="1" applyAlignment="1">
      <alignment horizontal="left" vertical="center" indent="3"/>
    </xf>
    <xf numFmtId="164" fontId="3" fillId="0" borderId="0" xfId="0" applyNumberFormat="1" applyFont="1" applyAlignment="1">
      <alignment horizontal="left" vertical="center"/>
    </xf>
    <xf numFmtId="0" fontId="36" fillId="16" borderId="127" xfId="0" applyFont="1" applyFill="1" applyBorder="1" applyAlignment="1">
      <alignment horizontal="center" vertical="center" wrapText="1"/>
    </xf>
    <xf numFmtId="164" fontId="36" fillId="16" borderId="127" xfId="0" applyNumberFormat="1" applyFont="1" applyFill="1" applyBorder="1" applyAlignment="1">
      <alignment horizontal="center" vertical="center" wrapText="1"/>
    </xf>
    <xf numFmtId="164" fontId="36" fillId="16" borderId="132" xfId="0" applyNumberFormat="1" applyFont="1" applyFill="1" applyBorder="1" applyAlignment="1">
      <alignment horizontal="center" vertical="center" wrapText="1"/>
    </xf>
    <xf numFmtId="164" fontId="36" fillId="16" borderId="49" xfId="0" applyNumberFormat="1" applyFont="1" applyFill="1" applyBorder="1" applyAlignment="1">
      <alignment horizontal="center" vertical="center" wrapText="1"/>
    </xf>
    <xf numFmtId="164" fontId="36" fillId="16" borderId="138" xfId="0" applyNumberFormat="1" applyFont="1" applyFill="1" applyBorder="1" applyAlignment="1">
      <alignment horizontal="center" vertical="center" wrapText="1"/>
    </xf>
    <xf numFmtId="190" fontId="30" fillId="13" borderId="0" xfId="0" applyNumberFormat="1" applyFont="1" applyFill="1" applyAlignment="1">
      <alignment vertical="center"/>
    </xf>
    <xf numFmtId="173" fontId="30" fillId="13" borderId="0" xfId="0" applyNumberFormat="1" applyFont="1" applyFill="1" applyAlignment="1">
      <alignment vertical="center"/>
    </xf>
    <xf numFmtId="189" fontId="15" fillId="5" borderId="82" xfId="0" applyNumberFormat="1" applyFont="1" applyFill="1" applyBorder="1" applyAlignment="1">
      <alignment vertical="center"/>
    </xf>
    <xf numFmtId="49" fontId="15" fillId="6" borderId="82" xfId="0" applyNumberFormat="1" applyFont="1" applyFill="1" applyBorder="1" applyAlignment="1" applyProtection="1">
      <alignment horizontal="left" vertical="center" wrapText="1" indent="1"/>
      <protection locked="0"/>
    </xf>
    <xf numFmtId="189" fontId="15" fillId="6" borderId="178" xfId="0" applyNumberFormat="1" applyFont="1" applyFill="1" applyBorder="1" applyAlignment="1" applyProtection="1">
      <alignment vertical="center"/>
      <protection locked="0"/>
    </xf>
    <xf numFmtId="189" fontId="15" fillId="5" borderId="98" xfId="0" applyNumberFormat="1" applyFont="1" applyFill="1" applyBorder="1" applyAlignment="1">
      <alignment vertical="center"/>
    </xf>
    <xf numFmtId="49" fontId="15" fillId="6" borderId="98" xfId="0" applyNumberFormat="1" applyFont="1" applyFill="1" applyBorder="1" applyAlignment="1" applyProtection="1">
      <alignment horizontal="left" vertical="center" wrapText="1" indent="1"/>
      <protection locked="0"/>
    </xf>
    <xf numFmtId="189" fontId="15" fillId="6" borderId="106" xfId="0" applyNumberFormat="1" applyFont="1" applyFill="1" applyBorder="1" applyAlignment="1" applyProtection="1">
      <alignment vertical="center"/>
      <protection locked="0"/>
    </xf>
    <xf numFmtId="0" fontId="15" fillId="0" borderId="82" xfId="0" applyFont="1" applyBorder="1" applyAlignment="1">
      <alignment vertical="center" wrapText="1"/>
    </xf>
    <xf numFmtId="189" fontId="15" fillId="20" borderId="82" xfId="0" applyNumberFormat="1" applyFont="1" applyFill="1" applyBorder="1" applyAlignment="1">
      <alignment vertical="center"/>
    </xf>
    <xf numFmtId="49" fontId="15" fillId="20" borderId="82" xfId="0" applyNumberFormat="1" applyFont="1" applyFill="1" applyBorder="1" applyAlignment="1">
      <alignment horizontal="left" vertical="center" indent="1"/>
    </xf>
    <xf numFmtId="189" fontId="15" fillId="20" borderId="178" xfId="0" applyNumberFormat="1" applyFont="1" applyFill="1" applyBorder="1" applyAlignment="1">
      <alignment vertical="center"/>
    </xf>
    <xf numFmtId="0" fontId="15" fillId="26" borderId="7" xfId="0" applyFont="1" applyFill="1" applyBorder="1" applyAlignment="1">
      <alignment horizontal="center" vertical="center" wrapText="1"/>
    </xf>
    <xf numFmtId="0" fontId="15" fillId="26" borderId="7" xfId="0" applyFont="1" applyFill="1" applyBorder="1" applyAlignment="1">
      <alignment horizontal="left" vertical="center" wrapText="1" indent="1"/>
    </xf>
    <xf numFmtId="0" fontId="3" fillId="26" borderId="7" xfId="0" applyFont="1" applyFill="1" applyBorder="1" applyAlignment="1">
      <alignment horizontal="left" vertical="center" wrapText="1" indent="1"/>
    </xf>
    <xf numFmtId="189" fontId="15" fillId="26" borderId="7" xfId="0" applyNumberFormat="1" applyFont="1" applyFill="1" applyBorder="1" applyAlignment="1">
      <alignment vertical="center"/>
    </xf>
    <xf numFmtId="49" fontId="15" fillId="6" borderId="7" xfId="0" applyNumberFormat="1" applyFont="1" applyFill="1" applyBorder="1" applyAlignment="1" applyProtection="1">
      <alignment horizontal="left" vertical="center" wrapText="1" indent="1"/>
      <protection locked="0"/>
    </xf>
    <xf numFmtId="189" fontId="15" fillId="6" borderId="85" xfId="0" applyNumberFormat="1" applyFont="1" applyFill="1" applyBorder="1" applyAlignment="1" applyProtection="1">
      <alignment vertical="center"/>
      <protection locked="0"/>
    </xf>
    <xf numFmtId="0" fontId="15" fillId="26" borderId="44" xfId="0" applyFont="1" applyFill="1" applyBorder="1" applyAlignment="1">
      <alignment horizontal="center" vertical="center" wrapText="1"/>
    </xf>
    <xf numFmtId="0" fontId="15" fillId="26" borderId="44" xfId="0" applyFont="1" applyFill="1" applyBorder="1" applyAlignment="1">
      <alignment horizontal="left" vertical="center" wrapText="1" indent="1"/>
    </xf>
    <xf numFmtId="0" fontId="3" fillId="26" borderId="44" xfId="0" applyFont="1" applyFill="1" applyBorder="1" applyAlignment="1">
      <alignment horizontal="left" vertical="center" wrapText="1" indent="1"/>
    </xf>
    <xf numFmtId="189" fontId="15" fillId="26" borderId="44" xfId="0" applyNumberFormat="1" applyFont="1" applyFill="1" applyBorder="1" applyAlignment="1">
      <alignment vertical="center"/>
    </xf>
    <xf numFmtId="49" fontId="15" fillId="6" borderId="44" xfId="0" applyNumberFormat="1" applyFont="1" applyFill="1" applyBorder="1" applyAlignment="1" applyProtection="1">
      <alignment horizontal="left" vertical="center" wrapText="1" indent="1"/>
      <protection locked="0"/>
    </xf>
    <xf numFmtId="189" fontId="15" fillId="6" borderId="180" xfId="0" applyNumberFormat="1" applyFont="1" applyFill="1" applyBorder="1" applyAlignment="1" applyProtection="1">
      <alignment vertical="center"/>
      <protection locked="0"/>
    </xf>
    <xf numFmtId="189" fontId="15" fillId="5" borderId="19" xfId="0" applyNumberFormat="1" applyFont="1" applyFill="1" applyBorder="1" applyAlignment="1">
      <alignment vertical="center"/>
    </xf>
    <xf numFmtId="49" fontId="15" fillId="6" borderId="19" xfId="0" applyNumberFormat="1" applyFont="1" applyFill="1" applyBorder="1" applyAlignment="1" applyProtection="1">
      <alignment horizontal="left" vertical="center" wrapText="1" indent="1"/>
      <protection locked="0"/>
    </xf>
    <xf numFmtId="189" fontId="15" fillId="6" borderId="182" xfId="0" applyNumberFormat="1" applyFont="1" applyFill="1" applyBorder="1" applyAlignment="1" applyProtection="1">
      <alignment vertical="center"/>
      <protection locked="0"/>
    </xf>
    <xf numFmtId="189" fontId="15" fillId="5" borderId="7" xfId="0" applyNumberFormat="1" applyFont="1" applyFill="1" applyBorder="1" applyAlignment="1">
      <alignment vertical="center"/>
    </xf>
    <xf numFmtId="189" fontId="15" fillId="5" borderId="44" xfId="0" applyNumberFormat="1" applyFont="1" applyFill="1" applyBorder="1" applyAlignment="1">
      <alignment vertical="center"/>
    </xf>
    <xf numFmtId="189" fontId="3" fillId="0" borderId="0" xfId="0" applyNumberFormat="1" applyFont="1" applyAlignment="1">
      <alignment vertical="center"/>
    </xf>
    <xf numFmtId="189" fontId="5" fillId="16" borderId="7" xfId="0" applyNumberFormat="1" applyFont="1" applyFill="1" applyBorder="1" applyAlignment="1">
      <alignment vertical="center"/>
    </xf>
    <xf numFmtId="0" fontId="19" fillId="0" borderId="14" xfId="0" applyFont="1" applyBorder="1" applyAlignment="1">
      <alignment horizontal="right" vertical="center" wrapText="1" indent="1"/>
    </xf>
    <xf numFmtId="189" fontId="19" fillId="0" borderId="14" xfId="0" applyNumberFormat="1" applyFont="1" applyBorder="1" applyAlignment="1">
      <alignment horizontal="left" vertical="center"/>
    </xf>
    <xf numFmtId="0" fontId="15" fillId="0" borderId="19" xfId="0" applyFont="1" applyBorder="1" applyAlignment="1">
      <alignment vertical="center" wrapText="1"/>
    </xf>
    <xf numFmtId="0" fontId="15" fillId="0" borderId="49" xfId="0" applyFont="1" applyBorder="1" applyAlignment="1">
      <alignment vertical="center" wrapText="1"/>
    </xf>
    <xf numFmtId="0" fontId="15" fillId="0" borderId="7" xfId="0" applyFont="1" applyBorder="1" applyAlignment="1">
      <alignment vertical="center" wrapText="1"/>
    </xf>
    <xf numFmtId="0" fontId="15" fillId="0" borderId="98" xfId="0" applyFont="1" applyBorder="1" applyAlignment="1">
      <alignment vertical="center" wrapText="1"/>
    </xf>
    <xf numFmtId="0" fontId="15" fillId="0" borderId="177" xfId="0" applyFont="1" applyBorder="1" applyAlignment="1">
      <alignment vertical="center" wrapText="1"/>
    </xf>
    <xf numFmtId="49" fontId="15" fillId="20" borderId="82" xfId="0" applyNumberFormat="1" applyFont="1" applyFill="1" applyBorder="1" applyAlignment="1">
      <alignment horizontal="left" vertical="center" wrapText="1" indent="1"/>
    </xf>
    <xf numFmtId="0" fontId="13" fillId="0" borderId="7" xfId="0" applyFont="1" applyBorder="1" applyAlignment="1">
      <alignment horizontal="right" vertical="center" wrapText="1" indent="1"/>
    </xf>
    <xf numFmtId="189" fontId="15" fillId="0" borderId="7" xfId="0" applyNumberFormat="1" applyFont="1" applyBorder="1" applyAlignment="1">
      <alignment vertical="center"/>
    </xf>
    <xf numFmtId="0" fontId="15" fillId="5" borderId="44" xfId="0" applyFont="1" applyFill="1" applyBorder="1" applyAlignment="1">
      <alignment horizontal="left" vertical="center" wrapText="1" indent="1"/>
    </xf>
    <xf numFmtId="189" fontId="15" fillId="0" borderId="44" xfId="0" applyNumberFormat="1" applyFont="1" applyBorder="1" applyAlignment="1">
      <alignment vertical="center"/>
    </xf>
    <xf numFmtId="0" fontId="15" fillId="0" borderId="49" xfId="0" applyFont="1" applyBorder="1" applyAlignment="1">
      <alignment horizontal="center" vertical="center" wrapText="1"/>
    </xf>
    <xf numFmtId="0" fontId="15" fillId="5" borderId="82" xfId="0" applyFont="1" applyFill="1" applyBorder="1" applyAlignment="1">
      <alignment horizontal="left" vertical="center" wrapText="1" indent="1"/>
    </xf>
    <xf numFmtId="189" fontId="15" fillId="0" borderId="82" xfId="0" applyNumberFormat="1" applyFont="1" applyBorder="1" applyAlignment="1">
      <alignment vertical="center"/>
    </xf>
    <xf numFmtId="190" fontId="3" fillId="0" borderId="0" xfId="0" applyNumberFormat="1" applyFont="1" applyAlignment="1">
      <alignment horizontal="left" vertical="center"/>
    </xf>
    <xf numFmtId="190" fontId="3" fillId="0" borderId="0" xfId="0" applyNumberFormat="1" applyFont="1" applyAlignment="1">
      <alignment vertical="center"/>
    </xf>
    <xf numFmtId="0" fontId="124" fillId="0" borderId="14" xfId="0" applyFont="1" applyBorder="1" applyAlignment="1">
      <alignment vertical="center"/>
    </xf>
    <xf numFmtId="0" fontId="125" fillId="0" borderId="0" xfId="0" applyFont="1" applyAlignment="1">
      <alignment vertical="center"/>
    </xf>
    <xf numFmtId="0" fontId="126" fillId="0" borderId="0" xfId="0" applyFont="1" applyAlignment="1">
      <alignment vertical="center" wrapText="1"/>
    </xf>
    <xf numFmtId="0" fontId="127" fillId="0" borderId="0" xfId="0" applyFont="1" applyAlignment="1">
      <alignment vertical="center"/>
    </xf>
    <xf numFmtId="195" fontId="127" fillId="0" borderId="0" xfId="0" applyNumberFormat="1" applyFont="1" applyAlignment="1">
      <alignment vertical="center"/>
    </xf>
    <xf numFmtId="0" fontId="29" fillId="51" borderId="0" xfId="0" applyFont="1" applyFill="1" applyAlignment="1">
      <alignment vertical="center"/>
    </xf>
    <xf numFmtId="195" fontId="128" fillId="51" borderId="0" xfId="0" applyNumberFormat="1" applyFont="1" applyFill="1" applyAlignment="1">
      <alignment vertical="center"/>
    </xf>
    <xf numFmtId="164" fontId="29" fillId="51" borderId="0" xfId="0" applyNumberFormat="1" applyFont="1" applyFill="1" applyAlignment="1">
      <alignment vertical="center"/>
    </xf>
    <xf numFmtId="174" fontId="125" fillId="0" borderId="0" xfId="0" applyNumberFormat="1" applyFont="1" applyAlignment="1">
      <alignment vertical="center"/>
    </xf>
    <xf numFmtId="49" fontId="3" fillId="0" borderId="0" xfId="0" applyNumberFormat="1" applyFont="1"/>
    <xf numFmtId="0" fontId="19" fillId="52" borderId="49" xfId="0" applyFont="1" applyFill="1" applyBorder="1" applyAlignment="1">
      <alignment horizontal="center" vertical="center"/>
    </xf>
    <xf numFmtId="0" fontId="19" fillId="52" borderId="50" xfId="0" applyFont="1" applyFill="1" applyBorder="1" applyAlignment="1">
      <alignment horizontal="center" vertical="center"/>
    </xf>
    <xf numFmtId="0" fontId="19" fillId="52" borderId="51" xfId="0" applyFont="1" applyFill="1" applyBorder="1" applyAlignment="1">
      <alignment horizontal="center" vertical="center"/>
    </xf>
    <xf numFmtId="0" fontId="19" fillId="52" borderId="52" xfId="0" applyFont="1" applyFill="1" applyBorder="1" applyAlignment="1">
      <alignment horizontal="center" vertical="center"/>
    </xf>
    <xf numFmtId="0" fontId="19" fillId="52" borderId="53" xfId="0" applyFont="1" applyFill="1" applyBorder="1" applyAlignment="1">
      <alignment horizontal="center" vertical="center"/>
    </xf>
    <xf numFmtId="0" fontId="19" fillId="52" borderId="55" xfId="0" applyFont="1" applyFill="1" applyBorder="1" applyAlignment="1">
      <alignment horizontal="center" vertical="center"/>
    </xf>
    <xf numFmtId="0" fontId="19" fillId="52" borderId="58" xfId="0" applyFont="1" applyFill="1" applyBorder="1" applyAlignment="1">
      <alignment horizontal="center" vertical="center"/>
    </xf>
    <xf numFmtId="0" fontId="19" fillId="52" borderId="127" xfId="0" applyFont="1" applyFill="1" applyBorder="1" applyAlignment="1">
      <alignment horizontal="center" vertical="center"/>
    </xf>
    <xf numFmtId="0" fontId="19" fillId="52" borderId="128" xfId="0" applyFont="1" applyFill="1" applyBorder="1" applyAlignment="1">
      <alignment horizontal="center" vertical="center"/>
    </xf>
    <xf numFmtId="0" fontId="19" fillId="52" borderId="130" xfId="0" applyFont="1" applyFill="1" applyBorder="1" applyAlignment="1">
      <alignment horizontal="center" vertical="center"/>
    </xf>
    <xf numFmtId="0" fontId="19" fillId="52" borderId="19" xfId="0" applyFont="1" applyFill="1" applyBorder="1" applyAlignment="1">
      <alignment horizontal="center" vertical="center"/>
    </xf>
    <xf numFmtId="0" fontId="19" fillId="52" borderId="131" xfId="0" applyFont="1" applyFill="1" applyBorder="1" applyAlignment="1">
      <alignment horizontal="center" vertical="center"/>
    </xf>
    <xf numFmtId="0" fontId="19" fillId="52" borderId="126" xfId="0" applyFont="1" applyFill="1" applyBorder="1" applyAlignment="1">
      <alignment horizontal="center" vertical="center"/>
    </xf>
    <xf numFmtId="195" fontId="30" fillId="2" borderId="0" xfId="0" applyNumberFormat="1" applyFont="1" applyFill="1" applyAlignment="1">
      <alignment vertical="center" wrapText="1"/>
    </xf>
    <xf numFmtId="6" fontId="30" fillId="5" borderId="0" xfId="0" applyNumberFormat="1" applyFont="1" applyFill="1" applyAlignment="1">
      <alignment vertical="center"/>
    </xf>
    <xf numFmtId="165" fontId="16" fillId="54" borderId="7" xfId="0" applyNumberFormat="1" applyFont="1" applyFill="1" applyBorder="1" applyAlignment="1">
      <alignment vertical="center"/>
    </xf>
    <xf numFmtId="0" fontId="4" fillId="2" borderId="0" xfId="0" applyFont="1" applyFill="1" applyAlignment="1">
      <alignment horizontal="center"/>
    </xf>
    <xf numFmtId="0" fontId="5" fillId="3" borderId="0" xfId="0" applyFont="1" applyFill="1" applyAlignment="1">
      <alignment horizontal="center" vertical="center"/>
    </xf>
    <xf numFmtId="0" fontId="6" fillId="0" borderId="0" xfId="0" applyFont="1" applyAlignment="1">
      <alignment horizontal="center" vertical="center"/>
    </xf>
    <xf numFmtId="0" fontId="7" fillId="0" borderId="0" xfId="0" applyFont="1" applyAlignment="1">
      <alignment horizontal="left" vertical="top" wrapText="1"/>
    </xf>
    <xf numFmtId="0" fontId="5" fillId="0" borderId="0" xfId="0" applyFont="1" applyAlignment="1">
      <alignment horizontal="center" vertical="center" wrapText="1"/>
    </xf>
    <xf numFmtId="0" fontId="11" fillId="0" borderId="0" xfId="0" applyFont="1" applyAlignment="1">
      <alignment horizontal="center" vertical="center"/>
    </xf>
    <xf numFmtId="1" fontId="5" fillId="4" borderId="1" xfId="0" applyNumberFormat="1" applyFont="1" applyFill="1" applyBorder="1" applyAlignment="1">
      <alignment horizontal="center" vertical="center"/>
    </xf>
    <xf numFmtId="0" fontId="3" fillId="6" borderId="5" xfId="0" applyFont="1" applyFill="1" applyBorder="1" applyAlignment="1" applyProtection="1">
      <alignment horizontal="left" vertical="center" wrapText="1" indent="1"/>
      <protection locked="0"/>
    </xf>
    <xf numFmtId="0" fontId="3" fillId="6" borderId="9" xfId="0" applyFont="1" applyFill="1" applyBorder="1" applyAlignment="1" applyProtection="1">
      <alignment horizontal="left" vertical="center" wrapText="1" indent="1"/>
      <protection locked="0"/>
    </xf>
    <xf numFmtId="49" fontId="15" fillId="6" borderId="7" xfId="0" applyNumberFormat="1" applyFont="1" applyFill="1" applyBorder="1" applyAlignment="1" applyProtection="1">
      <alignment horizontal="left" vertical="center" indent="1"/>
      <protection locked="0"/>
    </xf>
    <xf numFmtId="49" fontId="3" fillId="6" borderId="9" xfId="0" applyNumberFormat="1" applyFont="1" applyFill="1" applyBorder="1" applyAlignment="1" applyProtection="1">
      <alignment horizontal="left" vertical="center" wrapText="1" indent="1"/>
      <protection locked="0"/>
    </xf>
    <xf numFmtId="49" fontId="18" fillId="6" borderId="13" xfId="4" applyNumberFormat="1" applyFill="1" applyBorder="1" applyAlignment="1" applyProtection="1">
      <alignment horizontal="left" vertical="center" wrapText="1" indent="1"/>
      <protection locked="0"/>
    </xf>
    <xf numFmtId="0" fontId="20" fillId="8" borderId="16" xfId="0" applyFont="1" applyFill="1" applyBorder="1" applyAlignment="1" applyProtection="1">
      <alignment horizontal="center" vertical="center"/>
      <protection locked="0"/>
    </xf>
    <xf numFmtId="0" fontId="5" fillId="4" borderId="1" xfId="0" applyFont="1" applyFill="1" applyBorder="1" applyAlignment="1">
      <alignment horizontal="left" vertical="center" indent="1"/>
    </xf>
    <xf numFmtId="0" fontId="3" fillId="6" borderId="18" xfId="0" applyFont="1" applyFill="1" applyBorder="1" applyAlignment="1" applyProtection="1">
      <alignment horizontal="left" vertical="center" indent="1"/>
      <protection locked="0"/>
    </xf>
    <xf numFmtId="0" fontId="13" fillId="9" borderId="19" xfId="0" applyFont="1" applyFill="1" applyBorder="1" applyAlignment="1">
      <alignment horizontal="center" vertical="center"/>
    </xf>
    <xf numFmtId="0" fontId="3" fillId="6" borderId="11" xfId="0" applyFont="1" applyFill="1" applyBorder="1" applyAlignment="1" applyProtection="1">
      <alignment horizontal="left" vertical="center" indent="1"/>
      <protection locked="0"/>
    </xf>
    <xf numFmtId="0" fontId="20" fillId="8" borderId="1" xfId="0" applyFont="1" applyFill="1"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49" fontId="3" fillId="6" borderId="24" xfId="0" applyNumberFormat="1" applyFont="1" applyFill="1" applyBorder="1" applyAlignment="1" applyProtection="1">
      <alignment horizontal="left" vertical="center" wrapText="1" indent="1"/>
      <protection locked="0"/>
    </xf>
    <xf numFmtId="0" fontId="3" fillId="6" borderId="13" xfId="0" applyFont="1" applyFill="1" applyBorder="1" applyAlignment="1" applyProtection="1">
      <alignment horizontal="left" vertical="center" wrapText="1" indent="1"/>
      <protection locked="0"/>
    </xf>
    <xf numFmtId="167" fontId="0" fillId="6" borderId="25" xfId="0" applyNumberFormat="1" applyFill="1" applyBorder="1" applyAlignment="1" applyProtection="1">
      <alignment horizontal="left" vertical="center" indent="1"/>
      <protection locked="0"/>
    </xf>
    <xf numFmtId="0" fontId="20" fillId="8" borderId="26" xfId="0" applyFont="1" applyFill="1" applyBorder="1" applyAlignment="1" applyProtection="1">
      <alignment horizontal="center" vertical="center"/>
      <protection locked="0"/>
    </xf>
    <xf numFmtId="0" fontId="9" fillId="0" borderId="27" xfId="0" applyFont="1" applyBorder="1" applyAlignment="1">
      <alignment horizontal="center" vertical="center"/>
    </xf>
    <xf numFmtId="167" fontId="3" fillId="6" borderId="25" xfId="0" applyNumberFormat="1" applyFont="1" applyFill="1" applyBorder="1" applyAlignment="1" applyProtection="1">
      <alignment horizontal="left" vertical="center" indent="1"/>
      <protection locked="0"/>
    </xf>
    <xf numFmtId="0" fontId="13" fillId="11" borderId="7" xfId="0" applyFont="1" applyFill="1" applyBorder="1" applyAlignment="1">
      <alignment horizontal="center" vertical="center"/>
    </xf>
    <xf numFmtId="0" fontId="18" fillId="6" borderId="25" xfId="4" applyFill="1" applyBorder="1" applyAlignment="1" applyProtection="1">
      <alignment horizontal="left" vertical="center" wrapText="1" indent="1"/>
      <protection locked="0"/>
    </xf>
    <xf numFmtId="0" fontId="13" fillId="0" borderId="6" xfId="0" applyFont="1" applyBorder="1" applyAlignment="1">
      <alignment horizontal="center" vertical="center"/>
    </xf>
    <xf numFmtId="0" fontId="3" fillId="6" borderId="29" xfId="0" applyFont="1" applyFill="1" applyBorder="1" applyAlignment="1" applyProtection="1">
      <alignment horizontal="left" vertical="center" wrapText="1" indent="1"/>
      <protection locked="0"/>
    </xf>
    <xf numFmtId="0" fontId="15" fillId="0" borderId="0" xfId="0" applyFont="1" applyAlignment="1">
      <alignment horizontal="right" wrapText="1"/>
    </xf>
    <xf numFmtId="0" fontId="15" fillId="0" borderId="0" xfId="0" applyFont="1" applyAlignment="1">
      <alignment horizontal="right" vertical="top"/>
    </xf>
    <xf numFmtId="0" fontId="15" fillId="0" borderId="34" xfId="0" applyFont="1" applyBorder="1" applyAlignment="1">
      <alignment horizontal="right" vertical="center" indent="1"/>
    </xf>
    <xf numFmtId="0" fontId="15" fillId="0" borderId="6" xfId="0" applyFont="1" applyBorder="1" applyAlignment="1">
      <alignment horizontal="right" vertical="center" wrapText="1" indent="1"/>
    </xf>
    <xf numFmtId="0" fontId="5" fillId="13" borderId="1" xfId="0" applyFont="1" applyFill="1" applyBorder="1" applyAlignment="1">
      <alignment horizontal="center" vertical="center" wrapText="1"/>
    </xf>
    <xf numFmtId="0" fontId="15" fillId="0" borderId="6" xfId="0" applyFont="1" applyBorder="1" applyAlignment="1">
      <alignment horizontal="right" vertical="center" indent="1"/>
    </xf>
    <xf numFmtId="0" fontId="16" fillId="0" borderId="6" xfId="0" applyFont="1" applyBorder="1" applyAlignment="1">
      <alignment horizontal="right" vertical="center" wrapText="1" indent="1"/>
    </xf>
    <xf numFmtId="0" fontId="25" fillId="5" borderId="36" xfId="0" applyFont="1" applyFill="1" applyBorder="1" applyAlignment="1">
      <alignment horizontal="center" vertical="center" wrapText="1"/>
    </xf>
    <xf numFmtId="0" fontId="16" fillId="0" borderId="6" xfId="0" applyFont="1" applyBorder="1" applyAlignment="1">
      <alignment horizontal="right" vertical="center" indent="1"/>
    </xf>
    <xf numFmtId="0" fontId="16" fillId="0" borderId="0" xfId="0" applyFont="1" applyAlignment="1">
      <alignment horizontal="right" vertical="center" indent="1"/>
    </xf>
    <xf numFmtId="0" fontId="26" fillId="16" borderId="41" xfId="0" applyFont="1" applyFill="1" applyBorder="1" applyAlignment="1">
      <alignment horizontal="center" vertical="center"/>
    </xf>
    <xf numFmtId="169" fontId="26" fillId="16" borderId="43" xfId="0" applyNumberFormat="1" applyFont="1" applyFill="1" applyBorder="1" applyAlignment="1">
      <alignment horizontal="center" vertical="center"/>
    </xf>
    <xf numFmtId="0" fontId="15" fillId="6" borderId="7" xfId="0" applyFont="1" applyFill="1" applyBorder="1" applyAlignment="1" applyProtection="1">
      <alignment horizontal="left" vertical="center" wrapText="1" indent="1"/>
      <protection locked="0"/>
    </xf>
    <xf numFmtId="0" fontId="25" fillId="0" borderId="6" xfId="0" applyFont="1" applyBorder="1" applyAlignment="1">
      <alignment horizontal="right" vertical="center" wrapText="1" indent="1"/>
    </xf>
    <xf numFmtId="0" fontId="30" fillId="4" borderId="44" xfId="0" applyFont="1" applyFill="1" applyBorder="1" applyAlignment="1">
      <alignment horizontal="center" vertical="center" wrapText="1"/>
    </xf>
    <xf numFmtId="0" fontId="30" fillId="5" borderId="45" xfId="0" applyFont="1" applyFill="1" applyBorder="1" applyAlignment="1">
      <alignment horizontal="center" vertical="center" wrapText="1"/>
    </xf>
    <xf numFmtId="164" fontId="31" fillId="0" borderId="0" xfId="0" applyNumberFormat="1" applyFont="1" applyAlignment="1">
      <alignment horizontal="center" vertical="center"/>
    </xf>
    <xf numFmtId="0" fontId="32" fillId="0" borderId="1" xfId="0" applyFont="1" applyBorder="1" applyAlignment="1">
      <alignment horizontal="center" vertical="center" wrapText="1"/>
    </xf>
    <xf numFmtId="0" fontId="26" fillId="18" borderId="46" xfId="0" applyFont="1" applyFill="1" applyBorder="1" applyAlignment="1">
      <alignment horizontal="left" vertical="center" wrapText="1"/>
    </xf>
    <xf numFmtId="0" fontId="26" fillId="18" borderId="46" xfId="0" applyFont="1" applyFill="1" applyBorder="1" applyAlignment="1">
      <alignment horizontal="center" vertical="center" wrapText="1"/>
    </xf>
    <xf numFmtId="0" fontId="19" fillId="8" borderId="16" xfId="0" applyFont="1" applyFill="1" applyBorder="1" applyAlignment="1">
      <alignment horizontal="center" vertical="center"/>
    </xf>
    <xf numFmtId="0" fontId="19" fillId="8" borderId="47" xfId="0" applyFont="1" applyFill="1" applyBorder="1" applyAlignment="1">
      <alignment horizontal="center" vertical="top"/>
    </xf>
    <xf numFmtId="0" fontId="3" fillId="0" borderId="0" xfId="0" applyFont="1" applyAlignment="1">
      <alignment horizontal="center" wrapText="1"/>
    </xf>
    <xf numFmtId="0" fontId="13" fillId="0" borderId="0" xfId="0" applyFont="1" applyAlignment="1">
      <alignment horizontal="right" vertical="center" indent="1"/>
    </xf>
    <xf numFmtId="0" fontId="19" fillId="10" borderId="116" xfId="0" applyFont="1" applyFill="1" applyBorder="1" applyAlignment="1">
      <alignment horizontal="right" vertical="center"/>
    </xf>
    <xf numFmtId="0" fontId="3" fillId="0" borderId="0" xfId="0" applyFont="1" applyAlignment="1">
      <alignment horizontal="left" vertical="center"/>
    </xf>
    <xf numFmtId="0" fontId="13" fillId="17" borderId="7" xfId="0" applyFont="1" applyFill="1" applyBorder="1" applyAlignment="1">
      <alignment horizontal="center" vertical="center"/>
    </xf>
    <xf numFmtId="173" fontId="19" fillId="17" borderId="7" xfId="0" applyNumberFormat="1" applyFont="1" applyFill="1" applyBorder="1" applyAlignment="1">
      <alignment horizontal="center" vertical="center" wrapText="1"/>
    </xf>
    <xf numFmtId="0" fontId="30" fillId="16" borderId="3" xfId="0" applyFont="1" applyFill="1" applyBorder="1" applyAlignment="1">
      <alignment horizontal="center" vertical="center"/>
    </xf>
    <xf numFmtId="0" fontId="13" fillId="17" borderId="7" xfId="0" applyFont="1" applyFill="1" applyBorder="1" applyAlignment="1">
      <alignment horizontal="right" vertical="center" indent="1"/>
    </xf>
    <xf numFmtId="0" fontId="3" fillId="0" borderId="124" xfId="0" applyFont="1" applyBorder="1" applyAlignment="1">
      <alignment horizontal="left" vertical="center" indent="1"/>
    </xf>
    <xf numFmtId="0" fontId="3" fillId="0" borderId="80" xfId="0" applyFont="1" applyBorder="1" applyAlignment="1">
      <alignment horizontal="left" vertical="center" indent="1"/>
    </xf>
    <xf numFmtId="0" fontId="3" fillId="0" borderId="125" xfId="0" applyFont="1" applyBorder="1" applyAlignment="1">
      <alignment horizontal="left" vertical="center" indent="1"/>
    </xf>
    <xf numFmtId="49" fontId="5" fillId="3" borderId="0" xfId="0" applyNumberFormat="1" applyFont="1" applyFill="1" applyAlignment="1">
      <alignment horizontal="center" vertical="center" wrapText="1"/>
    </xf>
    <xf numFmtId="0" fontId="3" fillId="0" borderId="0" xfId="0" applyFont="1" applyAlignment="1">
      <alignment horizontal="center" vertical="center" wrapText="1"/>
    </xf>
    <xf numFmtId="0" fontId="19" fillId="0" borderId="0" xfId="0" applyFont="1" applyAlignment="1">
      <alignment vertical="center" wrapText="1"/>
    </xf>
    <xf numFmtId="0" fontId="19" fillId="17" borderId="7" xfId="0" applyFont="1" applyFill="1" applyBorder="1" applyAlignment="1">
      <alignment horizontal="center" vertical="center" wrapText="1"/>
    </xf>
    <xf numFmtId="0" fontId="30" fillId="16" borderId="7" xfId="0" applyFont="1" applyFill="1" applyBorder="1" applyAlignment="1">
      <alignment horizontal="center" vertical="center"/>
    </xf>
    <xf numFmtId="0" fontId="6" fillId="0" borderId="0" xfId="0" applyFont="1" applyAlignment="1">
      <alignment horizontal="right" vertical="center"/>
    </xf>
    <xf numFmtId="14" fontId="6" fillId="27" borderId="156" xfId="0" applyNumberFormat="1" applyFont="1" applyFill="1" applyBorder="1" applyAlignment="1" applyProtection="1">
      <alignment horizontal="center" vertical="center" wrapText="1"/>
      <protection locked="0"/>
    </xf>
    <xf numFmtId="0" fontId="38" fillId="13" borderId="157" xfId="0" applyFont="1" applyFill="1" applyBorder="1" applyAlignment="1">
      <alignment horizontal="center" vertical="center" wrapText="1"/>
    </xf>
    <xf numFmtId="0" fontId="36" fillId="13" borderId="3" xfId="0" applyFont="1" applyFill="1" applyBorder="1" applyAlignment="1">
      <alignment horizontal="center" vertical="center" wrapText="1"/>
    </xf>
    <xf numFmtId="0" fontId="15" fillId="0" borderId="7" xfId="0" applyFont="1" applyBorder="1" applyAlignment="1">
      <alignment horizontal="left" vertical="center" wrapText="1" indent="1"/>
    </xf>
    <xf numFmtId="0" fontId="30" fillId="2" borderId="0" xfId="0" applyFont="1" applyFill="1" applyAlignment="1">
      <alignment horizontal="right" vertical="center" wrapText="1"/>
    </xf>
    <xf numFmtId="0" fontId="16" fillId="0" borderId="1" xfId="0" applyFont="1" applyBorder="1" applyAlignment="1" applyProtection="1">
      <alignment horizontal="left" vertical="top" indent="1"/>
      <protection locked="0"/>
    </xf>
    <xf numFmtId="178" fontId="44" fillId="0" borderId="0" xfId="0" applyNumberFormat="1" applyFont="1" applyAlignment="1">
      <alignment horizontal="center" vertical="top"/>
    </xf>
    <xf numFmtId="178" fontId="45" fillId="0" borderId="0" xfId="0" applyNumberFormat="1" applyFont="1" applyAlignment="1">
      <alignment horizontal="center" vertical="center"/>
    </xf>
    <xf numFmtId="0" fontId="25" fillId="0" borderId="0" xfId="0" applyFont="1" applyAlignment="1">
      <alignment horizontal="center" vertical="center" wrapText="1"/>
    </xf>
    <xf numFmtId="0" fontId="9" fillId="17" borderId="7" xfId="0" applyFont="1" applyFill="1" applyBorder="1" applyAlignment="1">
      <alignment horizontal="center" vertical="center"/>
    </xf>
    <xf numFmtId="0" fontId="9" fillId="10" borderId="7" xfId="0" applyFont="1" applyFill="1" applyBorder="1" applyAlignment="1">
      <alignment horizontal="left" vertical="center" indent="1"/>
    </xf>
    <xf numFmtId="0" fontId="0" fillId="10" borderId="98" xfId="0" applyFill="1" applyBorder="1" applyAlignment="1">
      <alignment horizontal="center" vertical="center"/>
    </xf>
    <xf numFmtId="0" fontId="13" fillId="0" borderId="21" xfId="0" applyFont="1" applyBorder="1" applyAlignment="1">
      <alignment horizontal="right" vertical="center"/>
    </xf>
    <xf numFmtId="0" fontId="46" fillId="0" borderId="21" xfId="0" applyFont="1" applyBorder="1" applyAlignment="1">
      <alignment horizontal="right" vertical="center" indent="1"/>
    </xf>
    <xf numFmtId="0" fontId="7" fillId="30" borderId="0" xfId="0" applyFont="1" applyFill="1" applyAlignment="1">
      <alignment horizontal="left" vertical="center" wrapText="1" indent="1"/>
    </xf>
    <xf numFmtId="0" fontId="13" fillId="0" borderId="7" xfId="0" applyFont="1" applyBorder="1" applyAlignment="1">
      <alignment horizontal="right" vertical="center" indent="1"/>
    </xf>
    <xf numFmtId="0" fontId="19" fillId="0" borderId="10" xfId="0" applyFont="1" applyBorder="1" applyAlignment="1">
      <alignment horizontal="center" vertical="center"/>
    </xf>
    <xf numFmtId="0" fontId="13" fillId="10" borderId="105" xfId="0" applyFont="1" applyFill="1" applyBorder="1" applyAlignment="1">
      <alignment horizontal="right" vertical="center" indent="1"/>
    </xf>
    <xf numFmtId="0" fontId="13" fillId="10" borderId="166" xfId="0" applyFont="1" applyFill="1" applyBorder="1" applyAlignment="1">
      <alignment horizontal="right" vertical="center" indent="1"/>
    </xf>
    <xf numFmtId="0" fontId="19" fillId="0" borderId="0" xfId="0" applyFont="1" applyAlignment="1">
      <alignment horizontal="right" vertical="center" wrapText="1"/>
    </xf>
    <xf numFmtId="0" fontId="30" fillId="32" borderId="169" xfId="0" applyFont="1" applyFill="1" applyBorder="1" applyAlignment="1">
      <alignment horizontal="left" vertical="center" wrapText="1" indent="1"/>
    </xf>
    <xf numFmtId="0" fontId="44" fillId="22" borderId="0" xfId="0" applyFont="1" applyFill="1" applyAlignment="1">
      <alignment horizontal="center" vertical="top"/>
    </xf>
    <xf numFmtId="0" fontId="9" fillId="10" borderId="7" xfId="0" applyFont="1" applyFill="1" applyBorder="1" applyAlignment="1">
      <alignment horizontal="right" vertical="center" indent="1"/>
    </xf>
    <xf numFmtId="0" fontId="46" fillId="0" borderId="170" xfId="0" applyFont="1" applyBorder="1" applyAlignment="1">
      <alignment horizontal="right" vertical="center"/>
    </xf>
    <xf numFmtId="0" fontId="0" fillId="10" borderId="49" xfId="0" applyFill="1" applyBorder="1" applyAlignment="1">
      <alignment horizontal="center" vertical="center"/>
    </xf>
    <xf numFmtId="1" fontId="13" fillId="5" borderId="102" xfId="0" applyNumberFormat="1" applyFont="1" applyFill="1" applyBorder="1" applyAlignment="1">
      <alignment horizontal="right" vertical="center" indent="1"/>
    </xf>
    <xf numFmtId="0" fontId="19" fillId="10" borderId="7" xfId="0" applyFont="1" applyFill="1" applyBorder="1" applyAlignment="1">
      <alignment horizontal="left" vertical="center" indent="1"/>
    </xf>
    <xf numFmtId="0" fontId="13" fillId="0" borderId="102" xfId="0" applyFont="1" applyBorder="1" applyAlignment="1">
      <alignment horizontal="right" vertical="center" indent="1"/>
    </xf>
    <xf numFmtId="0" fontId="3" fillId="10" borderId="7" xfId="0" applyFont="1" applyFill="1" applyBorder="1" applyAlignment="1">
      <alignment horizontal="center" vertical="center"/>
    </xf>
    <xf numFmtId="0" fontId="15" fillId="0" borderId="7" xfId="0" applyFont="1" applyBorder="1" applyAlignment="1">
      <alignment horizontal="left" vertical="center" indent="2"/>
    </xf>
    <xf numFmtId="0" fontId="15" fillId="0" borderId="7" xfId="0" applyFont="1" applyBorder="1" applyAlignment="1">
      <alignment horizontal="left" vertical="center" indent="1"/>
    </xf>
    <xf numFmtId="167" fontId="0" fillId="0" borderId="0" xfId="0" applyNumberFormat="1" applyAlignment="1">
      <alignment horizontal="left" vertical="center" indent="1"/>
    </xf>
    <xf numFmtId="0" fontId="18" fillId="0" borderId="0" xfId="4" applyBorder="1" applyAlignment="1" applyProtection="1">
      <alignment horizontal="left" vertical="center" indent="1"/>
    </xf>
    <xf numFmtId="0" fontId="3" fillId="0" borderId="0" xfId="0" applyFont="1" applyAlignment="1">
      <alignment horizontal="left" vertical="center" indent="1"/>
    </xf>
    <xf numFmtId="0" fontId="13" fillId="10" borderId="7" xfId="0" applyFont="1" applyFill="1" applyBorder="1" applyAlignment="1">
      <alignment horizontal="right" vertical="center" indent="1"/>
    </xf>
    <xf numFmtId="0" fontId="9" fillId="10" borderId="7" xfId="0" applyFont="1" applyFill="1" applyBorder="1" applyAlignment="1">
      <alignment horizontal="right" vertical="center"/>
    </xf>
    <xf numFmtId="0" fontId="0" fillId="10" borderId="7" xfId="0" applyFill="1" applyBorder="1" applyAlignment="1">
      <alignment horizontal="center" vertical="center"/>
    </xf>
    <xf numFmtId="0" fontId="13" fillId="10" borderId="50" xfId="0" applyFont="1" applyFill="1" applyBorder="1" applyAlignment="1">
      <alignment horizontal="right" vertical="center" indent="1"/>
    </xf>
    <xf numFmtId="0" fontId="13" fillId="10" borderId="35" xfId="0" applyFont="1" applyFill="1" applyBorder="1" applyAlignment="1">
      <alignment horizontal="right" vertical="center" indent="1"/>
    </xf>
    <xf numFmtId="0" fontId="20" fillId="0" borderId="7" xfId="0" applyFont="1" applyBorder="1" applyAlignment="1">
      <alignment horizontal="right" vertical="center" indent="1"/>
    </xf>
    <xf numFmtId="0" fontId="0" fillId="10" borderId="7" xfId="0" applyFill="1" applyBorder="1" applyAlignment="1">
      <alignment horizontal="right" vertical="center" indent="9"/>
    </xf>
    <xf numFmtId="0" fontId="19" fillId="0" borderId="10" xfId="0" applyFont="1" applyBorder="1" applyAlignment="1">
      <alignment horizontal="right" vertical="center" indent="9"/>
    </xf>
    <xf numFmtId="0" fontId="3" fillId="0" borderId="0" xfId="0" applyFont="1" applyAlignment="1">
      <alignment horizontal="right" vertical="center" indent="10"/>
    </xf>
    <xf numFmtId="0" fontId="19" fillId="0" borderId="0" xfId="0" applyFont="1" applyAlignment="1">
      <alignment horizontal="right" vertical="center" wrapText="1" indent="9"/>
    </xf>
    <xf numFmtId="0" fontId="19" fillId="10" borderId="7" xfId="0" applyFont="1" applyFill="1" applyBorder="1" applyAlignment="1">
      <alignment horizontal="right" vertical="center" indent="10"/>
    </xf>
    <xf numFmtId="0" fontId="15" fillId="0" borderId="7" xfId="0" applyFont="1" applyBorder="1" applyAlignment="1">
      <alignment horizontal="left" vertical="center" indent="12"/>
    </xf>
    <xf numFmtId="167" fontId="0" fillId="0" borderId="0" xfId="0" applyNumberFormat="1" applyAlignment="1">
      <alignment horizontal="right" vertical="center" indent="10"/>
    </xf>
    <xf numFmtId="0" fontId="18" fillId="0" borderId="0" xfId="4" applyBorder="1" applyAlignment="1" applyProtection="1">
      <alignment horizontal="right" vertical="center" indent="10"/>
    </xf>
    <xf numFmtId="0" fontId="34" fillId="0" borderId="0" xfId="0" applyFont="1" applyAlignment="1">
      <alignment horizontal="left" vertical="center" wrapText="1" indent="1"/>
    </xf>
    <xf numFmtId="49" fontId="5" fillId="3" borderId="0" xfId="0" applyNumberFormat="1" applyFont="1" applyFill="1" applyAlignment="1">
      <alignment horizontal="center" vertical="center"/>
    </xf>
    <xf numFmtId="0" fontId="6" fillId="0" borderId="0" xfId="0" applyFont="1" applyAlignment="1">
      <alignment horizontal="center" vertical="top"/>
    </xf>
    <xf numFmtId="0" fontId="45" fillId="0" borderId="0" xfId="0" applyFont="1" applyAlignment="1">
      <alignment horizontal="center" vertical="center"/>
    </xf>
    <xf numFmtId="178" fontId="45" fillId="0" borderId="0" xfId="0" applyNumberFormat="1" applyFont="1" applyAlignment="1">
      <alignment horizontal="center" vertical="top" wrapText="1"/>
    </xf>
    <xf numFmtId="0" fontId="5" fillId="0" borderId="105" xfId="0" applyFont="1" applyBorder="1" applyAlignment="1">
      <alignment horizontal="left" vertical="center" indent="1"/>
    </xf>
    <xf numFmtId="0" fontId="5" fillId="16" borderId="171" xfId="0" applyFont="1" applyFill="1" applyBorder="1" applyAlignment="1">
      <alignment horizontal="left" vertical="center" indent="1"/>
    </xf>
    <xf numFmtId="0" fontId="39" fillId="0" borderId="7" xfId="0" applyFont="1" applyBorder="1" applyAlignment="1">
      <alignment horizontal="left" vertical="center" indent="1"/>
    </xf>
    <xf numFmtId="0" fontId="39" fillId="0" borderId="19" xfId="0" applyFont="1" applyBorder="1" applyAlignment="1">
      <alignment horizontal="left" vertical="center" indent="1"/>
    </xf>
    <xf numFmtId="0" fontId="0" fillId="0" borderId="7" xfId="0" applyBorder="1" applyAlignment="1">
      <alignment horizontal="left" vertical="center" indent="1"/>
    </xf>
    <xf numFmtId="0" fontId="7" fillId="0" borderId="7" xfId="0" applyFont="1" applyBorder="1" applyAlignment="1">
      <alignment horizontal="left" vertical="center" indent="1"/>
    </xf>
    <xf numFmtId="0" fontId="50" fillId="0" borderId="49" xfId="0" applyFont="1" applyBorder="1" applyAlignment="1">
      <alignment horizontal="center" vertical="center" wrapText="1"/>
    </xf>
    <xf numFmtId="0" fontId="51" fillId="0" borderId="49" xfId="0" applyFont="1" applyBorder="1" applyAlignment="1">
      <alignment horizontal="center" vertical="center" wrapText="1"/>
    </xf>
    <xf numFmtId="0" fontId="52" fillId="35" borderId="7" xfId="0" applyFont="1" applyFill="1" applyBorder="1" applyAlignment="1">
      <alignment horizontal="left" vertical="center" indent="1"/>
    </xf>
    <xf numFmtId="0" fontId="52" fillId="0" borderId="49" xfId="0" applyFont="1" applyBorder="1" applyAlignment="1">
      <alignment horizontal="left" vertical="center" wrapText="1"/>
    </xf>
    <xf numFmtId="0" fontId="36" fillId="0" borderId="0" xfId="0" applyFont="1" applyAlignment="1">
      <alignment vertical="center"/>
    </xf>
    <xf numFmtId="0" fontId="36" fillId="0" borderId="0" xfId="0" applyFont="1" applyAlignment="1">
      <alignment horizontal="center" vertical="center" wrapText="1"/>
    </xf>
    <xf numFmtId="0" fontId="0" fillId="0" borderId="98" xfId="0" applyBorder="1" applyAlignment="1">
      <alignment horizontal="left" vertical="center" indent="1"/>
    </xf>
    <xf numFmtId="0" fontId="0" fillId="0" borderId="0" xfId="0" applyAlignment="1">
      <alignment vertical="center"/>
    </xf>
    <xf numFmtId="0" fontId="46" fillId="37" borderId="7" xfId="0" applyFont="1" applyFill="1" applyBorder="1" applyAlignment="1">
      <alignment horizontal="center" vertical="center"/>
    </xf>
    <xf numFmtId="0" fontId="33" fillId="0" borderId="0" xfId="0" applyFont="1" applyAlignment="1">
      <alignment horizontal="center" vertical="center"/>
    </xf>
    <xf numFmtId="0" fontId="7" fillId="0" borderId="0" xfId="0" applyFont="1" applyAlignment="1">
      <alignment vertical="center"/>
    </xf>
    <xf numFmtId="0" fontId="51" fillId="0" borderId="6" xfId="0" applyFont="1" applyBorder="1" applyAlignment="1">
      <alignment horizontal="center" vertical="center" wrapText="1"/>
    </xf>
    <xf numFmtId="0" fontId="52" fillId="35" borderId="21" xfId="0" applyFont="1" applyFill="1" applyBorder="1" applyAlignment="1">
      <alignment horizontal="left" vertical="center" wrapText="1" indent="1"/>
    </xf>
    <xf numFmtId="0" fontId="52" fillId="0" borderId="49" xfId="0" applyFont="1" applyBorder="1" applyAlignment="1">
      <alignment horizontal="center" vertical="center" wrapText="1"/>
    </xf>
    <xf numFmtId="0" fontId="46" fillId="37" borderId="19" xfId="0" applyFont="1" applyFill="1" applyBorder="1" applyAlignment="1">
      <alignment horizontal="center" vertical="center"/>
    </xf>
    <xf numFmtId="0" fontId="54" fillId="2" borderId="0" xfId="0" applyFont="1" applyFill="1" applyAlignment="1">
      <alignment horizontal="center" vertical="center"/>
    </xf>
    <xf numFmtId="0" fontId="26" fillId="2" borderId="0" xfId="0" applyFont="1" applyFill="1" applyAlignment="1">
      <alignment horizontal="right" vertical="center"/>
    </xf>
    <xf numFmtId="164" fontId="56" fillId="0" borderId="0" xfId="0" applyNumberFormat="1" applyFont="1" applyAlignment="1">
      <alignment horizontal="right" vertical="center" wrapText="1"/>
    </xf>
    <xf numFmtId="0" fontId="15" fillId="0" borderId="2" xfId="0" applyFont="1" applyBorder="1" applyAlignment="1">
      <alignment horizontal="right" vertical="center"/>
    </xf>
    <xf numFmtId="0" fontId="20" fillId="0" borderId="2" xfId="0" applyFont="1" applyBorder="1" applyAlignment="1">
      <alignment horizontal="center" vertical="top" wrapText="1"/>
    </xf>
    <xf numFmtId="0" fontId="4" fillId="13" borderId="0" xfId="0" applyFont="1" applyFill="1" applyAlignment="1">
      <alignment horizontal="center" vertical="center" wrapText="1"/>
    </xf>
    <xf numFmtId="0" fontId="3" fillId="16" borderId="14" xfId="0" applyFont="1" applyFill="1" applyBorder="1" applyAlignment="1">
      <alignment horizontal="center" vertical="center"/>
    </xf>
    <xf numFmtId="0" fontId="58" fillId="16" borderId="11" xfId="0" applyFont="1" applyFill="1" applyBorder="1" applyAlignment="1">
      <alignment horizontal="center" vertical="center" wrapText="1"/>
    </xf>
    <xf numFmtId="0" fontId="13" fillId="0" borderId="175" xfId="0" applyFont="1" applyBorder="1" applyAlignment="1">
      <alignment horizontal="center" vertical="center" textRotation="90" wrapText="1"/>
    </xf>
    <xf numFmtId="0" fontId="3" fillId="0" borderId="176" xfId="0" applyFont="1" applyBorder="1" applyAlignment="1">
      <alignment horizontal="center" vertical="center" wrapText="1"/>
    </xf>
    <xf numFmtId="0" fontId="3" fillId="0" borderId="177" xfId="0" applyFont="1" applyBorder="1" applyAlignment="1">
      <alignment horizontal="center" vertical="center" wrapText="1"/>
    </xf>
    <xf numFmtId="0" fontId="13" fillId="0" borderId="175" xfId="0" applyFont="1" applyBorder="1" applyAlignment="1">
      <alignment horizontal="center" vertical="center" wrapText="1"/>
    </xf>
    <xf numFmtId="0" fontId="22" fillId="14" borderId="44" xfId="0" applyFont="1" applyFill="1" applyBorder="1" applyAlignment="1">
      <alignment horizontal="center" vertical="center"/>
    </xf>
    <xf numFmtId="0" fontId="3" fillId="0" borderId="181" xfId="0" applyFont="1" applyBorder="1" applyAlignment="1">
      <alignment horizontal="center" vertical="center" wrapText="1"/>
    </xf>
    <xf numFmtId="0" fontId="5" fillId="16" borderId="153" xfId="0" applyFont="1" applyFill="1" applyBorder="1" applyAlignment="1">
      <alignment horizontal="right" vertical="center" wrapText="1" indent="1"/>
    </xf>
    <xf numFmtId="0" fontId="58" fillId="16" borderId="183" xfId="0" applyFont="1" applyFill="1" applyBorder="1" applyAlignment="1">
      <alignment horizontal="center" vertical="center" wrapText="1"/>
    </xf>
    <xf numFmtId="0" fontId="13" fillId="0" borderId="1" xfId="0" applyFont="1" applyBorder="1" applyAlignment="1">
      <alignment horizontal="center" vertical="center" textRotation="90" wrapText="1"/>
    </xf>
    <xf numFmtId="0" fontId="13" fillId="0" borderId="31" xfId="0" applyFont="1" applyBorder="1" applyAlignment="1">
      <alignment horizontal="center" vertical="center" textRotation="90" wrapText="1"/>
    </xf>
    <xf numFmtId="0" fontId="3" fillId="14" borderId="44" xfId="0" applyFont="1" applyFill="1" applyBorder="1" applyAlignment="1">
      <alignment horizontal="center" vertical="center"/>
    </xf>
    <xf numFmtId="0" fontId="3" fillId="0" borderId="19" xfId="0" applyFont="1" applyBorder="1" applyAlignment="1">
      <alignment horizontal="center" vertical="center" wrapText="1"/>
    </xf>
    <xf numFmtId="0" fontId="3" fillId="5" borderId="44" xfId="0" applyFont="1" applyFill="1" applyBorder="1" applyAlignment="1">
      <alignment horizontal="center" vertical="center" wrapText="1"/>
    </xf>
    <xf numFmtId="0" fontId="5" fillId="16" borderId="7" xfId="0" applyFont="1" applyFill="1" applyBorder="1" applyAlignment="1">
      <alignment horizontal="right" vertical="center" wrapText="1" indent="1"/>
    </xf>
    <xf numFmtId="0" fontId="34" fillId="0" borderId="0" xfId="0" applyFont="1" applyAlignment="1">
      <alignment horizontal="center" vertical="center"/>
    </xf>
    <xf numFmtId="0" fontId="13" fillId="17" borderId="0" xfId="0" applyFont="1" applyFill="1" applyAlignment="1">
      <alignment horizontal="left" vertical="center" indent="1"/>
    </xf>
    <xf numFmtId="0" fontId="20" fillId="10" borderId="0" xfId="0" applyFont="1" applyFill="1" applyAlignment="1" applyProtection="1">
      <alignment horizontal="left" vertical="center"/>
      <protection locked="0"/>
    </xf>
    <xf numFmtId="0" fontId="19" fillId="0" borderId="0" xfId="0" applyFont="1" applyAlignment="1">
      <alignment horizontal="center" vertical="center"/>
    </xf>
    <xf numFmtId="0" fontId="0" fillId="0" borderId="7" xfId="0" applyBorder="1" applyAlignment="1">
      <alignment horizontal="right" vertical="center" wrapText="1" indent="1"/>
    </xf>
    <xf numFmtId="0" fontId="0" fillId="0" borderId="7" xfId="0" applyBorder="1" applyAlignment="1">
      <alignment horizontal="right" vertical="center" indent="1"/>
    </xf>
    <xf numFmtId="0" fontId="3" fillId="0" borderId="7" xfId="0" applyFont="1" applyBorder="1" applyAlignment="1">
      <alignment horizontal="right" vertical="center" indent="1"/>
    </xf>
    <xf numFmtId="0" fontId="19" fillId="0" borderId="7" xfId="0" applyFont="1" applyBorder="1" applyAlignment="1">
      <alignment horizontal="right" vertical="center" indent="1"/>
    </xf>
    <xf numFmtId="0" fontId="36" fillId="16" borderId="3" xfId="0" applyFont="1" applyFill="1" applyBorder="1" applyAlignment="1">
      <alignment horizontal="center" vertical="center" wrapText="1"/>
    </xf>
    <xf numFmtId="0" fontId="36" fillId="16" borderId="130" xfId="0" applyFont="1" applyFill="1" applyBorder="1" applyAlignment="1">
      <alignment horizontal="center" vertical="center" wrapText="1"/>
    </xf>
    <xf numFmtId="171" fontId="36" fillId="16" borderId="19" xfId="0" applyNumberFormat="1" applyFont="1" applyFill="1" applyBorder="1" applyAlignment="1">
      <alignment horizontal="center" vertical="center" wrapText="1"/>
    </xf>
    <xf numFmtId="171" fontId="36" fillId="40" borderId="49" xfId="0" applyNumberFormat="1" applyFont="1" applyFill="1" applyBorder="1" applyAlignment="1">
      <alignment horizontal="center" vertical="center" wrapText="1"/>
    </xf>
    <xf numFmtId="0" fontId="19" fillId="15" borderId="21" xfId="0" applyFont="1" applyFill="1" applyBorder="1" applyAlignment="1">
      <alignment horizontal="left" vertical="center" indent="1"/>
    </xf>
    <xf numFmtId="0" fontId="19" fillId="10" borderId="7" xfId="0" applyFont="1" applyFill="1" applyBorder="1" applyAlignment="1">
      <alignment horizontal="center" vertical="center"/>
    </xf>
    <xf numFmtId="0" fontId="0" fillId="10" borderId="7" xfId="0" applyFill="1" applyBorder="1" applyAlignment="1">
      <alignment horizontal="left" vertical="center" wrapText="1" indent="1"/>
    </xf>
    <xf numFmtId="165" fontId="19" fillId="10" borderId="7" xfId="0" applyNumberFormat="1" applyFont="1" applyFill="1" applyBorder="1" applyAlignment="1">
      <alignment horizontal="right" vertical="center" wrapText="1"/>
    </xf>
    <xf numFmtId="0" fontId="62" fillId="0" borderId="7" xfId="0" applyFont="1" applyBorder="1" applyAlignment="1">
      <alignment horizontal="left" vertical="center" wrapText="1" indent="1"/>
    </xf>
    <xf numFmtId="0" fontId="36" fillId="16" borderId="130" xfId="0" applyFont="1" applyFill="1" applyBorder="1" applyAlignment="1">
      <alignment horizontal="center" vertical="center"/>
    </xf>
    <xf numFmtId="0" fontId="36" fillId="16" borderId="19" xfId="0" applyFont="1" applyFill="1" applyBorder="1" applyAlignment="1">
      <alignment horizontal="center" vertical="center" wrapText="1"/>
    </xf>
    <xf numFmtId="0" fontId="0" fillId="16" borderId="19" xfId="0" applyFill="1" applyBorder="1" applyAlignment="1">
      <alignment horizontal="center" vertical="center"/>
    </xf>
    <xf numFmtId="182" fontId="0" fillId="20" borderId="7" xfId="0" applyNumberFormat="1" applyFill="1" applyBorder="1" applyAlignment="1">
      <alignment horizontal="center" vertical="center"/>
    </xf>
    <xf numFmtId="165" fontId="19" fillId="10" borderId="7" xfId="0" applyNumberFormat="1" applyFont="1" applyFill="1" applyBorder="1" applyAlignment="1">
      <alignment horizontal="right" vertical="center"/>
    </xf>
    <xf numFmtId="0" fontId="30" fillId="3" borderId="0" xfId="0" applyFont="1" applyFill="1" applyAlignment="1">
      <alignment horizontal="center" vertical="center" wrapText="1"/>
    </xf>
    <xf numFmtId="165" fontId="63" fillId="41" borderId="0" xfId="0" applyNumberFormat="1" applyFont="1" applyFill="1" applyAlignment="1">
      <alignment horizontal="center" vertical="center"/>
    </xf>
    <xf numFmtId="0" fontId="64" fillId="5" borderId="165" xfId="0" applyFont="1" applyFill="1" applyBorder="1" applyAlignment="1">
      <alignment horizontal="left" vertical="center" wrapText="1" indent="1"/>
    </xf>
    <xf numFmtId="0" fontId="6" fillId="0" borderId="0" xfId="0" applyFont="1" applyAlignment="1">
      <alignment horizontal="center"/>
    </xf>
    <xf numFmtId="0" fontId="26" fillId="42" borderId="7" xfId="0" applyFont="1" applyFill="1" applyBorder="1" applyAlignment="1">
      <alignment horizontal="center" vertical="center" wrapText="1"/>
    </xf>
    <xf numFmtId="0" fontId="26" fillId="42" borderId="113" xfId="0" applyFont="1" applyFill="1" applyBorder="1" applyAlignment="1">
      <alignment horizontal="center" vertical="center" wrapText="1"/>
    </xf>
    <xf numFmtId="0" fontId="26" fillId="42" borderId="85" xfId="0" applyFont="1" applyFill="1" applyBorder="1" applyAlignment="1">
      <alignment horizontal="center" vertical="center" wrapText="1"/>
    </xf>
    <xf numFmtId="0" fontId="64" fillId="5" borderId="0" xfId="0" applyFont="1" applyFill="1" applyAlignment="1">
      <alignment horizontal="left" vertical="center" wrapText="1"/>
    </xf>
    <xf numFmtId="0" fontId="64" fillId="5" borderId="3" xfId="0" applyFont="1" applyFill="1" applyBorder="1" applyAlignment="1">
      <alignment horizontal="center"/>
    </xf>
    <xf numFmtId="0" fontId="36" fillId="42" borderId="3" xfId="0" applyFont="1" applyFill="1" applyBorder="1" applyAlignment="1">
      <alignment horizontal="center" vertical="center" wrapText="1"/>
    </xf>
    <xf numFmtId="0" fontId="36" fillId="42" borderId="0" xfId="0" applyFont="1" applyFill="1" applyAlignment="1">
      <alignment horizontal="center" vertical="center" wrapText="1"/>
    </xf>
    <xf numFmtId="0" fontId="36" fillId="42" borderId="190" xfId="0" applyFont="1" applyFill="1" applyBorder="1" applyAlignment="1">
      <alignment horizontal="center" vertical="center" wrapText="1"/>
    </xf>
    <xf numFmtId="0" fontId="66" fillId="43" borderId="113" xfId="0" applyFont="1" applyFill="1" applyBorder="1" applyAlignment="1">
      <alignment horizontal="center" vertical="center"/>
    </xf>
    <xf numFmtId="0" fontId="66" fillId="44" borderId="113" xfId="0" applyFont="1" applyFill="1" applyBorder="1" applyAlignment="1">
      <alignment horizontal="center" vertical="center"/>
    </xf>
    <xf numFmtId="0" fontId="66" fillId="17" borderId="113" xfId="0" applyFont="1" applyFill="1" applyBorder="1" applyAlignment="1">
      <alignment horizontal="center" vertical="center"/>
    </xf>
    <xf numFmtId="0" fontId="7" fillId="0" borderId="165" xfId="0" applyFont="1" applyBorder="1" applyAlignment="1">
      <alignment horizontal="center" vertical="center" wrapText="1"/>
    </xf>
    <xf numFmtId="0" fontId="54" fillId="42" borderId="99" xfId="0" applyFont="1" applyFill="1" applyBorder="1" applyAlignment="1">
      <alignment horizontal="center" vertical="center" wrapText="1"/>
    </xf>
    <xf numFmtId="0" fontId="36" fillId="42" borderId="107" xfId="0" applyFont="1" applyFill="1" applyBorder="1" applyAlignment="1">
      <alignment horizontal="center" vertical="center"/>
    </xf>
    <xf numFmtId="0" fontId="67" fillId="43" borderId="114" xfId="0" applyFont="1" applyFill="1" applyBorder="1" applyAlignment="1">
      <alignment horizontal="left" vertical="center" wrapText="1"/>
    </xf>
    <xf numFmtId="0" fontId="67" fillId="44" borderId="114" xfId="0" applyFont="1" applyFill="1" applyBorder="1" applyAlignment="1">
      <alignment horizontal="left" vertical="center" wrapText="1"/>
    </xf>
    <xf numFmtId="0" fontId="67" fillId="17" borderId="114" xfId="0" applyFont="1" applyFill="1" applyBorder="1" applyAlignment="1">
      <alignment horizontal="left" vertical="center" wrapText="1"/>
    </xf>
    <xf numFmtId="0" fontId="26" fillId="42" borderId="107" xfId="0" applyFont="1" applyFill="1" applyBorder="1" applyAlignment="1">
      <alignment horizontal="center" vertical="center" wrapText="1"/>
    </xf>
    <xf numFmtId="0" fontId="36" fillId="42" borderId="105" xfId="0" applyFont="1" applyFill="1" applyBorder="1" applyAlignment="1">
      <alignment horizontal="center" vertical="center" wrapText="1"/>
    </xf>
    <xf numFmtId="0" fontId="36" fillId="42" borderId="100" xfId="0" applyFont="1" applyFill="1" applyBorder="1" applyAlignment="1">
      <alignment horizontal="center" vertical="center" wrapText="1"/>
    </xf>
    <xf numFmtId="0" fontId="36" fillId="42" borderId="21" xfId="0" applyFont="1" applyFill="1" applyBorder="1" applyAlignment="1">
      <alignment horizontal="center" vertical="center" wrapText="1"/>
    </xf>
    <xf numFmtId="0" fontId="36" fillId="42" borderId="85" xfId="0" applyFont="1" applyFill="1" applyBorder="1" applyAlignment="1">
      <alignment horizontal="center" vertical="center" wrapText="1"/>
    </xf>
    <xf numFmtId="0" fontId="26" fillId="42" borderId="14" xfId="0" applyFont="1" applyFill="1" applyBorder="1" applyAlignment="1">
      <alignment horizontal="center" vertical="center" wrapText="1"/>
    </xf>
    <xf numFmtId="0" fontId="26" fillId="42" borderId="100" xfId="0" applyFont="1" applyFill="1" applyBorder="1" applyAlignment="1">
      <alignment horizontal="center" vertical="center" wrapText="1"/>
    </xf>
    <xf numFmtId="0" fontId="93" fillId="0" borderId="0" xfId="0" applyFont="1" applyAlignment="1">
      <alignment horizontal="center" wrapText="1"/>
    </xf>
    <xf numFmtId="0" fontId="12" fillId="0" borderId="0" xfId="0" applyFont="1" applyAlignment="1">
      <alignment horizontal="center"/>
    </xf>
    <xf numFmtId="49" fontId="94" fillId="0" borderId="0" xfId="0" applyNumberFormat="1" applyFont="1" applyAlignment="1">
      <alignment horizontal="center" vertical="center"/>
    </xf>
    <xf numFmtId="0" fontId="95" fillId="0" borderId="0" xfId="0" applyFont="1" applyAlignment="1">
      <alignment horizontal="center" vertical="center"/>
    </xf>
    <xf numFmtId="0" fontId="96" fillId="0" borderId="0" xfId="0" applyFont="1" applyAlignment="1">
      <alignment horizontal="center"/>
    </xf>
    <xf numFmtId="0" fontId="5" fillId="2" borderId="0" xfId="0" applyFont="1" applyFill="1" applyAlignment="1">
      <alignment horizontal="center" vertical="center" wrapText="1"/>
    </xf>
    <xf numFmtId="49" fontId="4" fillId="3" borderId="0" xfId="0" applyNumberFormat="1" applyFont="1" applyFill="1" applyAlignment="1">
      <alignment horizontal="center" vertical="center"/>
    </xf>
    <xf numFmtId="0" fontId="3" fillId="0" borderId="3" xfId="0" applyFont="1" applyBorder="1" applyAlignment="1">
      <alignment horizontal="left" vertical="center" wrapText="1"/>
    </xf>
    <xf numFmtId="0" fontId="97" fillId="0" borderId="98" xfId="0" applyFont="1" applyBorder="1" applyAlignment="1">
      <alignment horizontal="center" vertical="center"/>
    </xf>
    <xf numFmtId="0" fontId="3" fillId="0" borderId="19" xfId="0" applyFont="1" applyBorder="1" applyAlignment="1">
      <alignment horizontal="left" vertical="center" wrapText="1" indent="1"/>
    </xf>
    <xf numFmtId="0" fontId="56" fillId="0" borderId="49" xfId="0" applyFont="1" applyBorder="1" applyAlignment="1">
      <alignment horizontal="center" vertical="center"/>
    </xf>
    <xf numFmtId="0" fontId="56" fillId="0" borderId="19" xfId="0" applyFont="1" applyBorder="1" applyAlignment="1">
      <alignment horizontal="center" vertical="center"/>
    </xf>
    <xf numFmtId="0" fontId="98" fillId="0" borderId="0" xfId="0" applyFont="1" applyAlignment="1">
      <alignment horizontal="center" vertical="center"/>
    </xf>
    <xf numFmtId="0" fontId="99" fillId="0" borderId="21" xfId="0" applyFont="1" applyBorder="1" applyAlignment="1">
      <alignment horizontal="right" vertical="center" wrapText="1"/>
    </xf>
    <xf numFmtId="0" fontId="13" fillId="6" borderId="22" xfId="0" applyFont="1" applyFill="1" applyBorder="1" applyAlignment="1">
      <alignment horizontal="left" vertical="center" wrapText="1" indent="1"/>
    </xf>
    <xf numFmtId="0" fontId="99" fillId="0" borderId="21" xfId="0" applyFont="1" applyBorder="1" applyAlignment="1">
      <alignment horizontal="left" vertical="center"/>
    </xf>
    <xf numFmtId="0" fontId="13" fillId="6" borderId="7" xfId="0" applyFont="1" applyFill="1" applyBorder="1" applyAlignment="1">
      <alignment horizontal="center" vertical="center"/>
    </xf>
    <xf numFmtId="0" fontId="13" fillId="5" borderId="7" xfId="0" applyFont="1" applyFill="1" applyBorder="1" applyAlignment="1">
      <alignment horizontal="center" vertical="center"/>
    </xf>
    <xf numFmtId="0" fontId="99" fillId="0" borderId="0" xfId="0" applyFont="1" applyAlignment="1">
      <alignment horizontal="left" vertical="center"/>
    </xf>
    <xf numFmtId="0" fontId="13" fillId="6" borderId="10" xfId="0" applyFont="1" applyFill="1" applyBorder="1" applyAlignment="1">
      <alignment horizontal="left" vertical="center" indent="1"/>
    </xf>
    <xf numFmtId="0" fontId="100" fillId="0" borderId="0" xfId="0" applyFont="1" applyAlignment="1">
      <alignment horizontal="left" vertical="center"/>
    </xf>
    <xf numFmtId="0" fontId="99" fillId="0" borderId="7" xfId="0" applyFont="1" applyBorder="1" applyAlignment="1">
      <alignment horizontal="right" vertical="center" indent="1"/>
    </xf>
    <xf numFmtId="49" fontId="13" fillId="6" borderId="7" xfId="0" applyNumberFormat="1" applyFont="1" applyFill="1" applyBorder="1" applyAlignment="1">
      <alignment horizontal="left" vertical="center" indent="1"/>
    </xf>
    <xf numFmtId="0" fontId="13" fillId="6" borderId="7" xfId="0" applyFont="1" applyFill="1" applyBorder="1" applyAlignment="1">
      <alignment horizontal="left" vertical="center" indent="1"/>
    </xf>
    <xf numFmtId="185" fontId="13" fillId="6" borderId="21" xfId="0" applyNumberFormat="1" applyFont="1" applyFill="1" applyBorder="1" applyAlignment="1">
      <alignment horizontal="left" vertical="center" indent="1"/>
    </xf>
    <xf numFmtId="0" fontId="19" fillId="6" borderId="7" xfId="0" applyFont="1" applyFill="1" applyBorder="1" applyAlignment="1">
      <alignment horizontal="center" vertical="center"/>
    </xf>
    <xf numFmtId="185" fontId="13" fillId="6" borderId="7" xfId="0" applyNumberFormat="1" applyFont="1" applyFill="1" applyBorder="1" applyAlignment="1">
      <alignment horizontal="left" vertical="center" indent="1"/>
    </xf>
    <xf numFmtId="0" fontId="101" fillId="6" borderId="7" xfId="4" applyFont="1" applyFill="1" applyBorder="1" applyAlignment="1" applyProtection="1">
      <alignment horizontal="left" vertical="center" indent="1"/>
    </xf>
    <xf numFmtId="0" fontId="100" fillId="0" borderId="6" xfId="0" applyFont="1" applyBorder="1" applyAlignment="1">
      <alignment horizontal="right" vertical="center" indent="1"/>
    </xf>
    <xf numFmtId="0" fontId="13" fillId="6" borderId="21" xfId="0" applyFont="1" applyFill="1" applyBorder="1" applyAlignment="1">
      <alignment horizontal="right" vertical="center"/>
    </xf>
    <xf numFmtId="0" fontId="98" fillId="6" borderId="98" xfId="0" applyFont="1" applyFill="1" applyBorder="1" applyAlignment="1">
      <alignment horizontal="center" vertical="center"/>
    </xf>
    <xf numFmtId="0" fontId="3" fillId="6" borderId="49" xfId="0" applyFont="1" applyFill="1" applyBorder="1" applyAlignment="1">
      <alignment horizontal="center" vertical="center" wrapText="1"/>
    </xf>
    <xf numFmtId="0" fontId="3" fillId="6" borderId="19" xfId="0" applyFont="1" applyFill="1" applyBorder="1" applyAlignment="1">
      <alignment horizontal="center" vertical="top" wrapText="1"/>
    </xf>
    <xf numFmtId="0" fontId="99" fillId="5" borderId="98" xfId="0" applyFont="1" applyFill="1" applyBorder="1" applyAlignment="1">
      <alignment horizontal="left" vertical="center" indent="1"/>
    </xf>
    <xf numFmtId="0" fontId="3" fillId="0" borderId="19" xfId="0" applyFont="1" applyBorder="1" applyAlignment="1">
      <alignment horizontal="left" vertical="center"/>
    </xf>
    <xf numFmtId="0" fontId="99" fillId="0" borderId="22" xfId="0" applyFont="1" applyBorder="1" applyAlignment="1">
      <alignment horizontal="right" vertical="center" indent="1"/>
    </xf>
    <xf numFmtId="0" fontId="0" fillId="0" borderId="7" xfId="0" applyBorder="1" applyAlignment="1">
      <alignment horizontal="center" vertical="center"/>
    </xf>
    <xf numFmtId="49" fontId="103" fillId="0" borderId="14" xfId="0" applyNumberFormat="1" applyFont="1" applyBorder="1" applyAlignment="1">
      <alignment vertical="center"/>
    </xf>
    <xf numFmtId="0" fontId="0" fillId="5" borderId="14" xfId="0" applyFill="1" applyBorder="1" applyAlignment="1">
      <alignment vertical="center"/>
    </xf>
    <xf numFmtId="0" fontId="99" fillId="0" borderId="7" xfId="0" applyFont="1" applyBorder="1" applyAlignment="1">
      <alignment horizontal="left" vertical="center" indent="1"/>
    </xf>
    <xf numFmtId="0" fontId="13" fillId="0" borderId="0" xfId="0" applyFont="1" applyAlignment="1">
      <alignment horizontal="center" vertical="center"/>
    </xf>
    <xf numFmtId="0" fontId="13" fillId="0" borderId="3" xfId="0" applyFont="1" applyBorder="1" applyAlignment="1">
      <alignment horizontal="center" vertical="center"/>
    </xf>
    <xf numFmtId="0" fontId="19" fillId="0" borderId="7" xfId="0" applyFont="1" applyBorder="1" applyAlignment="1">
      <alignment horizontal="center" vertical="center"/>
    </xf>
    <xf numFmtId="0" fontId="19" fillId="0" borderId="7" xfId="0" applyFont="1" applyBorder="1" applyAlignment="1">
      <alignment horizontal="center" vertical="center" wrapText="1"/>
    </xf>
    <xf numFmtId="0" fontId="4" fillId="2" borderId="0" xfId="0" applyFont="1" applyFill="1" applyAlignment="1">
      <alignment horizontal="center" vertical="center"/>
    </xf>
    <xf numFmtId="0" fontId="27" fillId="0" borderId="0" xfId="0" applyFont="1" applyAlignment="1">
      <alignment horizontal="center" vertical="top"/>
    </xf>
    <xf numFmtId="0" fontId="100" fillId="0" borderId="0" xfId="0" applyFont="1" applyAlignment="1">
      <alignment horizontal="center" vertical="center" wrapText="1"/>
    </xf>
    <xf numFmtId="0" fontId="13" fillId="0" borderId="0" xfId="0" applyFont="1" applyAlignment="1">
      <alignment horizontal="left" vertical="center" wrapText="1" indent="1"/>
    </xf>
    <xf numFmtId="0" fontId="62" fillId="0" borderId="21" xfId="0" applyFont="1" applyBorder="1" applyAlignment="1">
      <alignment horizontal="center" vertical="center"/>
    </xf>
    <xf numFmtId="0" fontId="13" fillId="27" borderId="103" xfId="0" applyFont="1" applyFill="1" applyBorder="1" applyAlignment="1">
      <alignment horizontal="left" vertical="center" indent="1"/>
    </xf>
    <xf numFmtId="0" fontId="19" fillId="0" borderId="199" xfId="0" applyFont="1" applyBorder="1" applyAlignment="1">
      <alignment horizontal="center" vertical="center"/>
    </xf>
    <xf numFmtId="0" fontId="48" fillId="0" borderId="130" xfId="0" applyFont="1" applyBorder="1" applyAlignment="1">
      <alignment horizontal="left" vertical="center" indent="1"/>
    </xf>
    <xf numFmtId="0" fontId="22" fillId="0" borderId="7" xfId="0" applyFont="1" applyBorder="1" applyAlignment="1">
      <alignment horizontal="center" vertical="center"/>
    </xf>
    <xf numFmtId="0" fontId="48" fillId="0" borderId="22" xfId="0" applyFont="1" applyBorder="1" applyAlignment="1">
      <alignment horizontal="left" vertical="center" indent="1"/>
    </xf>
    <xf numFmtId="0" fontId="30" fillId="45" borderId="7" xfId="0" applyFont="1" applyFill="1" applyBorder="1" applyAlignment="1">
      <alignment horizontal="right" vertical="center" indent="1"/>
    </xf>
    <xf numFmtId="0" fontId="13" fillId="27" borderId="110" xfId="0" applyFont="1" applyFill="1" applyBorder="1" applyAlignment="1">
      <alignment horizontal="left" vertical="center" indent="1"/>
    </xf>
    <xf numFmtId="0" fontId="48" fillId="0" borderId="7" xfId="0" applyFont="1" applyBorder="1" applyAlignment="1">
      <alignment horizontal="left" vertical="center" indent="1"/>
    </xf>
    <xf numFmtId="0" fontId="30" fillId="16" borderId="7" xfId="0" applyFont="1" applyFill="1" applyBorder="1" applyAlignment="1">
      <alignment horizontal="right" vertical="center" indent="1"/>
    </xf>
    <xf numFmtId="0" fontId="22" fillId="0" borderId="0" xfId="0" applyFont="1" applyAlignment="1">
      <alignment vertical="center"/>
    </xf>
    <xf numFmtId="0" fontId="48" fillId="0" borderId="19" xfId="0" applyFont="1" applyBorder="1" applyAlignment="1">
      <alignment horizontal="left" vertical="center" indent="1"/>
    </xf>
    <xf numFmtId="0" fontId="22" fillId="0" borderId="21" xfId="0" applyFont="1" applyBorder="1" applyAlignment="1">
      <alignment horizontal="center" vertical="center"/>
    </xf>
    <xf numFmtId="0" fontId="107" fillId="17" borderId="7" xfId="0" applyFont="1" applyFill="1" applyBorder="1" applyAlignment="1">
      <alignment horizontal="right" vertical="center" indent="1"/>
    </xf>
    <xf numFmtId="0" fontId="17" fillId="0" borderId="0" xfId="0" applyFont="1" applyAlignment="1">
      <alignment vertical="center"/>
    </xf>
    <xf numFmtId="0" fontId="0" fillId="0" borderId="21" xfId="0" applyBorder="1" applyAlignment="1">
      <alignment horizontal="center" vertical="center"/>
    </xf>
    <xf numFmtId="0" fontId="0" fillId="0" borderId="0" xfId="0" applyAlignment="1">
      <alignment horizontal="center" vertical="center"/>
    </xf>
    <xf numFmtId="0" fontId="56" fillId="0" borderId="0" xfId="0" applyFont="1" applyAlignment="1">
      <alignment horizontal="center" vertical="center"/>
    </xf>
    <xf numFmtId="0" fontId="19" fillId="0" borderId="0" xfId="0" applyFont="1" applyAlignment="1">
      <alignment horizontal="left" vertical="center" wrapText="1" indent="1"/>
    </xf>
    <xf numFmtId="0" fontId="62" fillId="0" borderId="138" xfId="0" applyFont="1" applyBorder="1" applyAlignment="1">
      <alignment horizontal="center" vertical="center"/>
    </xf>
    <xf numFmtId="0" fontId="48" fillId="0" borderId="21" xfId="0" applyFont="1" applyBorder="1" applyAlignment="1">
      <alignment horizontal="left" vertical="center" indent="1"/>
    </xf>
    <xf numFmtId="0" fontId="0" fillId="0" borderId="22" xfId="0" applyBorder="1" applyAlignment="1">
      <alignment horizontal="center" vertical="center"/>
    </xf>
    <xf numFmtId="0" fontId="30" fillId="16" borderId="22" xfId="0" applyFont="1" applyFill="1" applyBorder="1" applyAlignment="1">
      <alignment horizontal="right" vertical="center" indent="1"/>
    </xf>
    <xf numFmtId="0" fontId="0" fillId="0" borderId="14" xfId="0" applyBorder="1" applyAlignment="1">
      <alignment horizontal="left" vertical="center"/>
    </xf>
    <xf numFmtId="0" fontId="48" fillId="0" borderId="35" xfId="0" applyFont="1" applyBorder="1" applyAlignment="1">
      <alignment horizontal="left" vertical="center" indent="1"/>
    </xf>
    <xf numFmtId="0" fontId="13" fillId="0" borderId="7" xfId="0" applyFont="1" applyBorder="1" applyAlignment="1">
      <alignment horizontal="center" vertical="center"/>
    </xf>
    <xf numFmtId="0" fontId="19" fillId="0" borderId="201" xfId="0" applyFont="1" applyBorder="1" applyAlignment="1">
      <alignment horizontal="center" vertical="center"/>
    </xf>
    <xf numFmtId="191" fontId="19" fillId="0" borderId="7" xfId="0" applyNumberFormat="1" applyFont="1" applyBorder="1" applyAlignment="1">
      <alignment horizontal="center" vertical="center"/>
    </xf>
    <xf numFmtId="0" fontId="30" fillId="16" borderId="104" xfId="0" applyFont="1" applyFill="1" applyBorder="1" applyAlignment="1">
      <alignment horizontal="right" vertical="center" indent="1"/>
    </xf>
    <xf numFmtId="1" fontId="19" fillId="0" borderId="0" xfId="0" applyNumberFormat="1" applyFont="1" applyAlignment="1">
      <alignment horizontal="center" vertical="center"/>
    </xf>
    <xf numFmtId="0" fontId="5" fillId="16" borderId="7" xfId="0" applyFont="1" applyFill="1" applyBorder="1" applyAlignment="1">
      <alignment horizontal="center" vertical="center"/>
    </xf>
    <xf numFmtId="0" fontId="13" fillId="0" borderId="7" xfId="0" applyFont="1" applyBorder="1" applyAlignment="1">
      <alignment horizontal="left" vertical="center" indent="1"/>
    </xf>
    <xf numFmtId="0" fontId="56" fillId="0" borderId="7" xfId="0" applyFont="1" applyBorder="1" applyAlignment="1">
      <alignment horizontal="center" vertical="center"/>
    </xf>
    <xf numFmtId="0" fontId="13" fillId="33" borderId="22" xfId="0" applyFont="1" applyFill="1" applyBorder="1" applyAlignment="1">
      <alignment horizontal="left" vertical="center" indent="1"/>
    </xf>
    <xf numFmtId="0" fontId="15" fillId="0" borderId="0" xfId="0" applyFont="1" applyAlignment="1">
      <alignment vertical="center"/>
    </xf>
    <xf numFmtId="0" fontId="15" fillId="0" borderId="7" xfId="0" applyFont="1" applyBorder="1" applyAlignment="1">
      <alignment horizontal="center" vertical="center"/>
    </xf>
    <xf numFmtId="0" fontId="48" fillId="0" borderId="130" xfId="0" applyFont="1" applyBorder="1" applyAlignment="1">
      <alignment horizontal="left" vertical="center" indent="1" shrinkToFit="1"/>
    </xf>
    <xf numFmtId="0" fontId="20" fillId="0" borderId="7" xfId="0" applyFont="1" applyBorder="1" applyAlignment="1">
      <alignment horizontal="center" vertical="center"/>
    </xf>
    <xf numFmtId="0" fontId="114" fillId="33" borderId="21" xfId="0" applyFont="1" applyFill="1" applyBorder="1" applyAlignment="1">
      <alignment horizontal="right" vertical="center" indent="1"/>
    </xf>
    <xf numFmtId="0" fontId="13" fillId="33" borderId="7" xfId="0" applyFont="1" applyFill="1" applyBorder="1" applyAlignment="1">
      <alignment horizontal="left" indent="1"/>
    </xf>
    <xf numFmtId="0" fontId="30" fillId="22" borderId="7" xfId="0" applyFont="1" applyFill="1" applyBorder="1" applyAlignment="1">
      <alignment horizontal="left" vertical="center" indent="1"/>
    </xf>
    <xf numFmtId="0" fontId="115" fillId="46" borderId="21" xfId="0" applyFont="1" applyFill="1" applyBorder="1" applyAlignment="1">
      <alignment horizontal="left" vertical="center" textRotation="90"/>
    </xf>
    <xf numFmtId="0" fontId="13" fillId="0" borderId="14" xfId="0" applyFont="1" applyBorder="1" applyAlignment="1">
      <alignment horizontal="left" vertical="center" indent="1"/>
    </xf>
    <xf numFmtId="0" fontId="15" fillId="0" borderId="7" xfId="0" applyFont="1" applyBorder="1" applyAlignment="1">
      <alignment vertical="center"/>
    </xf>
    <xf numFmtId="0" fontId="48" fillId="0" borderId="10" xfId="0" applyFont="1" applyBorder="1" applyAlignment="1">
      <alignment horizontal="left" vertical="center" indent="1"/>
    </xf>
    <xf numFmtId="0" fontId="48" fillId="0" borderId="14" xfId="0" applyFont="1" applyBorder="1" applyAlignment="1">
      <alignment horizontal="left" vertical="center" indent="1"/>
    </xf>
    <xf numFmtId="0" fontId="17" fillId="47" borderId="10" xfId="0" applyFont="1" applyFill="1" applyBorder="1" applyAlignment="1" applyProtection="1">
      <alignment horizontal="left" vertical="center" indent="1"/>
      <protection locked="0"/>
    </xf>
    <xf numFmtId="0" fontId="13" fillId="33" borderId="98" xfId="0" applyFont="1" applyFill="1" applyBorder="1" applyAlignment="1">
      <alignment horizontal="left" vertical="center" indent="1"/>
    </xf>
    <xf numFmtId="0" fontId="48" fillId="0" borderId="3" xfId="0" applyFont="1" applyBorder="1" applyAlignment="1">
      <alignment horizontal="left" vertical="center" indent="1"/>
    </xf>
    <xf numFmtId="0" fontId="0" fillId="0" borderId="19" xfId="0" applyBorder="1" applyAlignment="1">
      <alignment vertical="center"/>
    </xf>
    <xf numFmtId="0" fontId="46" fillId="46" borderId="7" xfId="0" applyFont="1" applyFill="1" applyBorder="1" applyAlignment="1">
      <alignment horizontal="center" vertical="center"/>
    </xf>
    <xf numFmtId="0" fontId="46" fillId="46" borderId="50" xfId="0" applyFont="1" applyFill="1" applyBorder="1" applyAlignment="1">
      <alignment horizontal="center" vertical="center"/>
    </xf>
    <xf numFmtId="0" fontId="13" fillId="33" borderId="7" xfId="0" applyFont="1" applyFill="1" applyBorder="1" applyAlignment="1">
      <alignment horizontal="left" vertical="center" indent="1"/>
    </xf>
    <xf numFmtId="165" fontId="46" fillId="46" borderId="7" xfId="2" applyNumberFormat="1" applyFont="1" applyFill="1" applyBorder="1" applyAlignment="1" applyProtection="1">
      <alignment horizontal="center" vertical="center"/>
    </xf>
    <xf numFmtId="0" fontId="13" fillId="17" borderId="7" xfId="0" applyFont="1" applyFill="1" applyBorder="1" applyAlignment="1">
      <alignment horizontal="left" vertical="center" indent="1"/>
    </xf>
    <xf numFmtId="0" fontId="28" fillId="0" borderId="14" xfId="0" applyFont="1" applyBorder="1" applyAlignment="1">
      <alignment horizontal="center" vertical="top" wrapText="1"/>
    </xf>
    <xf numFmtId="0" fontId="52" fillId="0" borderId="0" xfId="0" applyFont="1" applyAlignment="1">
      <alignment horizontal="left" vertical="top" wrapText="1"/>
    </xf>
    <xf numFmtId="0" fontId="13" fillId="0" borderId="50" xfId="0" applyFont="1" applyBorder="1" applyAlignment="1">
      <alignment vertical="center"/>
    </xf>
    <xf numFmtId="0" fontId="48" fillId="0" borderId="10" xfId="0" applyFont="1" applyBorder="1" applyAlignment="1">
      <alignment horizontal="left" vertical="center" wrapText="1" indent="1"/>
    </xf>
    <xf numFmtId="0" fontId="48" fillId="0" borderId="22" xfId="0" applyFont="1" applyBorder="1" applyAlignment="1">
      <alignment horizontal="left" vertical="center" wrapText="1" indent="1"/>
    </xf>
    <xf numFmtId="0" fontId="13" fillId="33" borderId="10" xfId="0" applyFont="1" applyFill="1" applyBorder="1" applyAlignment="1">
      <alignment horizontal="left" vertical="center" indent="1"/>
    </xf>
    <xf numFmtId="0" fontId="19" fillId="0" borderId="0" xfId="0" applyFont="1" applyAlignment="1">
      <alignment horizontal="left" vertical="top" wrapText="1"/>
    </xf>
    <xf numFmtId="0" fontId="15" fillId="0" borderId="173" xfId="0" applyFont="1" applyBorder="1" applyAlignment="1">
      <alignment horizontal="left" vertical="center"/>
    </xf>
    <xf numFmtId="0" fontId="15" fillId="0" borderId="0" xfId="0" applyFont="1" applyAlignment="1">
      <alignment horizontal="left" vertical="top" wrapText="1" indent="1"/>
    </xf>
    <xf numFmtId="0" fontId="19" fillId="0" borderId="167" xfId="0" applyFont="1" applyBorder="1" applyAlignment="1">
      <alignment horizontal="left" vertical="center" wrapText="1" indent="1"/>
    </xf>
    <xf numFmtId="0" fontId="19" fillId="0" borderId="0" xfId="0" applyFont="1" applyAlignment="1">
      <alignment horizontal="left" vertical="center" wrapText="1"/>
    </xf>
    <xf numFmtId="0" fontId="22" fillId="0" borderId="5" xfId="0" applyFont="1" applyBorder="1" applyAlignment="1">
      <alignment horizontal="left" vertical="center"/>
    </xf>
    <xf numFmtId="0" fontId="3" fillId="0" borderId="4" xfId="0" applyFont="1" applyBorder="1" applyAlignment="1">
      <alignment horizontal="center" vertical="center"/>
    </xf>
    <xf numFmtId="0" fontId="19" fillId="0" borderId="132" xfId="0" applyFont="1" applyBorder="1" applyAlignment="1">
      <alignment horizontal="center" vertical="center"/>
    </xf>
    <xf numFmtId="0" fontId="3" fillId="0" borderId="7" xfId="0" applyFont="1" applyBorder="1" applyAlignment="1">
      <alignment horizontal="center" vertical="center"/>
    </xf>
    <xf numFmtId="0" fontId="3" fillId="0" borderId="102" xfId="0" applyFont="1" applyBorder="1" applyAlignment="1">
      <alignment horizontal="center" vertical="center"/>
    </xf>
    <xf numFmtId="0" fontId="29" fillId="0" borderId="0" xfId="0" applyFont="1" applyAlignment="1">
      <alignment horizontal="center" vertical="center"/>
    </xf>
    <xf numFmtId="0" fontId="15" fillId="0" borderId="205" xfId="0" applyFont="1" applyBorder="1" applyAlignment="1">
      <alignment horizontal="left" vertical="center"/>
    </xf>
    <xf numFmtId="0" fontId="33" fillId="0" borderId="0" xfId="0" applyFont="1" applyAlignment="1">
      <alignment horizontal="left" vertical="center" wrapText="1"/>
    </xf>
    <xf numFmtId="0" fontId="15" fillId="0" borderId="0" xfId="0" applyFont="1" applyAlignment="1">
      <alignment horizontal="left" vertical="center" wrapText="1" indent="1"/>
    </xf>
    <xf numFmtId="0" fontId="22" fillId="0" borderId="9" xfId="0" applyFont="1" applyBorder="1" applyAlignment="1">
      <alignment horizontal="left" vertical="center" indent="1"/>
    </xf>
    <xf numFmtId="0" fontId="15" fillId="0" borderId="103" xfId="0" applyFont="1" applyBorder="1" applyAlignment="1">
      <alignment vertical="center"/>
    </xf>
    <xf numFmtId="0" fontId="0" fillId="0" borderId="102" xfId="0" applyBorder="1" applyAlignment="1">
      <alignment horizontal="center" vertical="center"/>
    </xf>
    <xf numFmtId="0" fontId="3" fillId="0" borderId="103" xfId="0" applyFont="1" applyBorder="1" applyAlignment="1">
      <alignment horizontal="center" vertical="center"/>
    </xf>
    <xf numFmtId="49" fontId="3" fillId="0" borderId="7" xfId="0" applyNumberFormat="1" applyFont="1" applyBorder="1" applyAlignment="1">
      <alignment horizontal="center" vertical="center"/>
    </xf>
    <xf numFmtId="49" fontId="3" fillId="0" borderId="102" xfId="0" applyNumberFormat="1" applyFont="1" applyBorder="1" applyAlignment="1">
      <alignment horizontal="center" vertical="center"/>
    </xf>
    <xf numFmtId="0" fontId="22" fillId="0" borderId="203" xfId="0" applyFont="1" applyBorder="1" applyAlignment="1">
      <alignment horizontal="left" vertical="center" indent="1"/>
    </xf>
    <xf numFmtId="172" fontId="3" fillId="5" borderId="199" xfId="0" applyNumberFormat="1" applyFont="1" applyFill="1" applyBorder="1" applyAlignment="1">
      <alignment horizontal="center" vertical="center"/>
    </xf>
    <xf numFmtId="172" fontId="3" fillId="5" borderId="153" xfId="0" applyNumberFormat="1" applyFont="1" applyFill="1" applyBorder="1" applyAlignment="1">
      <alignment horizontal="center" vertical="center"/>
    </xf>
    <xf numFmtId="172" fontId="3" fillId="5" borderId="204" xfId="0" applyNumberFormat="1" applyFont="1" applyFill="1" applyBorder="1" applyAlignment="1">
      <alignment horizontal="center" vertical="center"/>
    </xf>
    <xf numFmtId="0" fontId="19" fillId="0" borderId="0" xfId="0" applyFont="1" applyAlignment="1">
      <alignment horizontal="center" vertical="center" wrapText="1"/>
    </xf>
    <xf numFmtId="0" fontId="20" fillId="27" borderId="7" xfId="0" applyFont="1" applyFill="1" applyBorder="1" applyAlignment="1">
      <alignment horizontal="center" vertical="center"/>
    </xf>
    <xf numFmtId="0" fontId="9" fillId="5" borderId="206" xfId="0" applyFont="1" applyFill="1" applyBorder="1" applyAlignment="1">
      <alignment horizontal="left" vertical="center"/>
    </xf>
    <xf numFmtId="0" fontId="15" fillId="5" borderId="7" xfId="0" applyFont="1" applyFill="1" applyBorder="1" applyAlignment="1" applyProtection="1">
      <alignment horizontal="left" vertical="center" indent="1"/>
      <protection locked="0"/>
    </xf>
    <xf numFmtId="0" fontId="13" fillId="0" borderId="165" xfId="0" applyFont="1" applyBorder="1" applyAlignment="1">
      <alignment horizontal="center" vertical="center" wrapText="1"/>
    </xf>
    <xf numFmtId="0" fontId="13" fillId="33" borderId="207" xfId="0" applyFont="1" applyFill="1" applyBorder="1" applyAlignment="1">
      <alignment horizontal="center" vertical="center"/>
    </xf>
    <xf numFmtId="196" fontId="15" fillId="5" borderId="7" xfId="0" applyNumberFormat="1" applyFont="1" applyFill="1" applyBorder="1" applyAlignment="1" applyProtection="1">
      <alignment horizontal="left" vertical="center" indent="1"/>
      <protection locked="0"/>
    </xf>
    <xf numFmtId="0" fontId="30" fillId="16" borderId="27" xfId="0" applyFont="1" applyFill="1" applyBorder="1" applyAlignment="1">
      <alignment horizontal="center" vertical="center"/>
    </xf>
    <xf numFmtId="0" fontId="17" fillId="0" borderId="0" xfId="0" applyFont="1" applyAlignment="1">
      <alignment horizontal="left" vertical="center" wrapText="1"/>
    </xf>
    <xf numFmtId="0" fontId="31" fillId="0" borderId="0" xfId="0" applyFont="1" applyAlignment="1">
      <alignment horizontal="center" vertical="top"/>
    </xf>
    <xf numFmtId="0" fontId="26" fillId="2" borderId="22" xfId="0" applyFont="1" applyFill="1" applyBorder="1" applyAlignment="1">
      <alignment horizontal="left" vertical="center" wrapText="1" indent="1"/>
    </xf>
    <xf numFmtId="0" fontId="27" fillId="35" borderId="7" xfId="0" applyFont="1" applyFill="1" applyBorder="1" applyAlignment="1">
      <alignment horizontal="left" vertical="center"/>
    </xf>
    <xf numFmtId="0" fontId="0" fillId="30" borderId="0" xfId="0" applyFill="1" applyAlignment="1">
      <alignment horizontal="left" vertical="center"/>
    </xf>
    <xf numFmtId="0" fontId="36" fillId="2" borderId="22" xfId="0" applyFont="1" applyFill="1" applyBorder="1" applyAlignment="1">
      <alignment horizontal="left" vertical="center" wrapText="1"/>
    </xf>
    <xf numFmtId="0" fontId="23" fillId="35" borderId="7" xfId="0" applyFont="1" applyFill="1" applyBorder="1"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27" fillId="0" borderId="0" xfId="0" applyFont="1" applyAlignment="1">
      <alignment horizontal="center"/>
    </xf>
    <xf numFmtId="0" fontId="17" fillId="0" borderId="0" xfId="0" applyFont="1" applyAlignment="1">
      <alignment horizontal="left" vertical="top" wrapText="1" indent="1"/>
    </xf>
    <xf numFmtId="0" fontId="3" fillId="0" borderId="0" xfId="0" applyFont="1" applyAlignment="1">
      <alignment horizontal="center"/>
    </xf>
    <xf numFmtId="0" fontId="3" fillId="0" borderId="0" xfId="0" applyFont="1" applyAlignment="1">
      <alignment horizontal="center" vertical="center"/>
    </xf>
    <xf numFmtId="164" fontId="23" fillId="0" borderId="7" xfId="0" applyNumberFormat="1" applyFont="1" applyBorder="1" applyAlignment="1">
      <alignment horizontal="right" indent="1"/>
    </xf>
    <xf numFmtId="0" fontId="15" fillId="0" borderId="0" xfId="0" applyFont="1" applyAlignment="1">
      <alignment horizontal="left" vertical="center" indent="1"/>
    </xf>
    <xf numFmtId="0" fontId="34" fillId="0" borderId="32" xfId="0" applyFont="1" applyBorder="1" applyAlignment="1">
      <alignment horizontal="left" vertical="center" wrapText="1" indent="1"/>
    </xf>
    <xf numFmtId="0" fontId="30" fillId="2" borderId="1" xfId="0" applyFont="1" applyFill="1" applyBorder="1" applyAlignment="1">
      <alignment horizontal="center" vertical="center" wrapText="1"/>
    </xf>
    <xf numFmtId="0" fontId="32" fillId="5" borderId="0" xfId="0" applyFont="1" applyFill="1" applyAlignment="1">
      <alignment horizontal="center" vertical="center"/>
    </xf>
    <xf numFmtId="164" fontId="0" fillId="0" borderId="0" xfId="0" applyNumberFormat="1" applyAlignment="1">
      <alignment horizontal="center" vertical="center"/>
    </xf>
    <xf numFmtId="0" fontId="4" fillId="2" borderId="0" xfId="0" applyFont="1" applyFill="1" applyAlignment="1">
      <alignment horizontal="center" wrapText="1"/>
    </xf>
    <xf numFmtId="0" fontId="121" fillId="5" borderId="0" xfId="0" applyFont="1" applyFill="1" applyAlignment="1">
      <alignment horizontal="center" vertical="center" wrapText="1"/>
    </xf>
    <xf numFmtId="0" fontId="30" fillId="13" borderId="0" xfId="0" applyFont="1" applyFill="1" applyAlignment="1">
      <alignment horizontal="center" vertical="center" wrapText="1"/>
    </xf>
    <xf numFmtId="0" fontId="16" fillId="0" borderId="0" xfId="0" applyFont="1" applyAlignment="1">
      <alignment horizontal="right" vertical="center" indent="2"/>
    </xf>
    <xf numFmtId="0" fontId="123" fillId="0" borderId="6" xfId="0" applyFont="1" applyBorder="1" applyAlignment="1">
      <alignment horizontal="right" vertical="center" wrapText="1" indent="1"/>
    </xf>
    <xf numFmtId="0" fontId="123" fillId="0" borderId="0" xfId="0" applyFont="1" applyAlignment="1">
      <alignment horizontal="right" vertical="center" wrapText="1"/>
    </xf>
    <xf numFmtId="0" fontId="32" fillId="0" borderId="0" xfId="0" applyFont="1" applyAlignment="1">
      <alignment horizontal="center" vertical="center"/>
    </xf>
    <xf numFmtId="0" fontId="32" fillId="0" borderId="0" xfId="0" applyFont="1" applyAlignment="1">
      <alignment horizontal="center" vertical="center" wrapText="1"/>
    </xf>
    <xf numFmtId="0" fontId="16" fillId="0" borderId="0" xfId="0" applyFont="1" applyAlignment="1">
      <alignment horizontal="center" vertical="center"/>
    </xf>
    <xf numFmtId="0" fontId="123" fillId="0" borderId="6" xfId="0" applyFont="1" applyBorder="1" applyAlignment="1">
      <alignment horizontal="right" vertical="center" indent="1"/>
    </xf>
    <xf numFmtId="0" fontId="4" fillId="53" borderId="0" xfId="0" applyFont="1" applyFill="1" applyAlignment="1">
      <alignment horizontal="center" vertical="center" wrapText="1"/>
    </xf>
    <xf numFmtId="0" fontId="36" fillId="16" borderId="216" xfId="0" applyFont="1" applyFill="1" applyBorder="1" applyAlignment="1">
      <alignment horizontal="center" vertical="center" textRotation="90" wrapText="1"/>
    </xf>
    <xf numFmtId="0" fontId="36" fillId="16" borderId="52" xfId="0" applyFont="1" applyFill="1" applyBorder="1" applyAlignment="1">
      <alignment horizontal="center" vertical="center" textRotation="90" wrapText="1"/>
    </xf>
    <xf numFmtId="0" fontId="26" fillId="13" borderId="0" xfId="0" applyFont="1" applyFill="1" applyAlignment="1">
      <alignment horizontal="center" vertical="center"/>
    </xf>
    <xf numFmtId="0" fontId="15" fillId="0" borderId="176" xfId="0" applyFont="1" applyBorder="1" applyAlignment="1">
      <alignment horizontal="center" vertical="center" wrapText="1"/>
    </xf>
    <xf numFmtId="0" fontId="15" fillId="0" borderId="177" xfId="0" applyFont="1" applyBorder="1" applyAlignment="1">
      <alignment horizontal="center" vertical="center" wrapText="1"/>
    </xf>
    <xf numFmtId="0" fontId="15" fillId="26" borderId="44" xfId="0" applyFont="1" applyFill="1" applyBorder="1" applyAlignment="1">
      <alignment horizontal="center" vertical="center"/>
    </xf>
    <xf numFmtId="0" fontId="15" fillId="0" borderId="181" xfId="0" applyFont="1" applyBorder="1" applyAlignment="1">
      <alignment horizontal="center" vertical="center" wrapText="1"/>
    </xf>
    <xf numFmtId="0" fontId="5" fillId="16" borderId="7" xfId="0" applyFont="1" applyFill="1" applyBorder="1" applyAlignment="1">
      <alignment horizontal="right" vertical="center" wrapText="1"/>
    </xf>
    <xf numFmtId="0" fontId="58" fillId="16" borderId="8" xfId="0" applyFont="1" applyFill="1" applyBorder="1" applyAlignment="1">
      <alignment horizontal="center" vertical="center" wrapText="1"/>
    </xf>
    <xf numFmtId="0" fontId="13" fillId="0" borderId="37" xfId="0" applyFont="1" applyBorder="1" applyAlignment="1">
      <alignment horizontal="center" vertical="center" textRotation="90" wrapText="1"/>
    </xf>
    <xf numFmtId="0" fontId="13" fillId="0" borderId="211" xfId="0" applyFont="1" applyBorder="1" applyAlignment="1">
      <alignment horizontal="center" vertical="center" textRotation="90" wrapText="1"/>
    </xf>
    <xf numFmtId="0" fontId="3" fillId="26" borderId="44" xfId="0" applyFont="1" applyFill="1" applyBorder="1" applyAlignment="1">
      <alignment horizontal="center" vertical="center"/>
    </xf>
    <xf numFmtId="0" fontId="3" fillId="0" borderId="176" xfId="0" applyFont="1" applyBorder="1" applyAlignment="1">
      <alignment horizontal="center" vertical="center"/>
    </xf>
    <xf numFmtId="189" fontId="15" fillId="5" borderId="176" xfId="0" applyNumberFormat="1" applyFont="1" applyFill="1" applyBorder="1" applyAlignment="1">
      <alignment horizontal="center" vertical="center"/>
    </xf>
    <xf numFmtId="1" fontId="29" fillId="51" borderId="0" xfId="0" applyNumberFormat="1" applyFont="1" applyFill="1" applyAlignment="1">
      <alignment horizontal="center" vertical="center" wrapText="1"/>
    </xf>
    <xf numFmtId="0" fontId="29" fillId="51" borderId="0" xfId="0" applyFont="1" applyFill="1" applyAlignment="1">
      <alignment horizontal="center" vertical="center" wrapText="1"/>
    </xf>
    <xf numFmtId="0" fontId="124" fillId="0" borderId="14" xfId="0" applyFont="1" applyBorder="1" applyAlignment="1">
      <alignment horizontal="center" vertical="center"/>
    </xf>
  </cellXfs>
  <cellStyles count="21">
    <cellStyle name="Comma" xfId="1" builtinId="3"/>
    <cellStyle name="Currency" xfId="2" builtinId="4"/>
    <cellStyle name="Currency 2" xfId="5"/>
    <cellStyle name="Currency 2 2" xfId="6"/>
    <cellStyle name="Hyperlink" xfId="4" builtinId="8"/>
    <cellStyle name="Hyperlink 2" xfId="7"/>
    <cellStyle name="Normal" xfId="0" builtinId="0"/>
    <cellStyle name="Normal 2" xfId="8"/>
    <cellStyle name="Normal 2 2" xfId="9"/>
    <cellStyle name="Normal 3" xfId="10"/>
    <cellStyle name="Normal 3 2" xfId="11"/>
    <cellStyle name="Normal 4" xfId="12"/>
    <cellStyle name="Normal 4 2" xfId="13"/>
    <cellStyle name="Normal 5" xfId="14"/>
    <cellStyle name="Normal 5 2" xfId="15"/>
    <cellStyle name="Normal 5 3" xfId="16"/>
    <cellStyle name="Normal 6" xfId="17"/>
    <cellStyle name="Normal 6 2" xfId="18"/>
    <cellStyle name="Normal 7" xfId="19"/>
    <cellStyle name="Percent" xfId="3" builtinId="5"/>
    <cellStyle name="Percent 2" xfId="20"/>
  </cellStyles>
  <dxfs count="151">
    <dxf>
      <font>
        <color theme="0"/>
      </font>
      <fill>
        <patternFill>
          <bgColor theme="0"/>
        </patternFill>
      </fill>
    </dxf>
    <dxf>
      <font>
        <color rgb="FFBFBFBF"/>
      </font>
    </dxf>
    <dxf>
      <font>
        <color rgb="FFFFFFFF"/>
      </font>
    </dxf>
    <dxf>
      <font>
        <color rgb="FFE6E0EC"/>
      </font>
    </dxf>
    <dxf>
      <font>
        <color rgb="FFE6E0EC"/>
      </font>
    </dxf>
    <dxf>
      <font>
        <color rgb="FFE6E0EC"/>
      </font>
    </dxf>
    <dxf>
      <font>
        <color rgb="FFFFFFFF"/>
      </font>
    </dxf>
    <dxf>
      <font>
        <color rgb="FFBFBFBF"/>
      </font>
    </dxf>
    <dxf>
      <font>
        <color rgb="FF000000"/>
      </font>
    </dxf>
    <dxf>
      <font>
        <b/>
        <i val="0"/>
        <color theme="0"/>
      </font>
      <fill>
        <patternFill>
          <bgColor rgb="FFFF0000"/>
        </patternFill>
      </fill>
    </dxf>
    <dxf>
      <font>
        <b/>
        <i val="0"/>
        <color rgb="FF000000"/>
      </font>
      <fill>
        <patternFill>
          <bgColor rgb="FF08921F"/>
        </patternFill>
      </fill>
    </dxf>
    <dxf>
      <font>
        <b/>
        <i val="0"/>
        <color rgb="FF000000"/>
      </font>
      <fill>
        <patternFill>
          <bgColor rgb="FF009B1B"/>
        </patternFill>
      </fill>
    </dxf>
    <dxf>
      <font>
        <color rgb="FFFFFFFF"/>
      </font>
    </dxf>
    <dxf>
      <font>
        <color rgb="FFFFFFFF"/>
      </font>
    </dxf>
    <dxf>
      <font>
        <color rgb="FFFFFFFF"/>
      </font>
    </dxf>
    <dxf>
      <font>
        <color rgb="FFFFFFFF"/>
      </font>
    </dxf>
    <dxf>
      <font>
        <color rgb="FFFFFFFF"/>
      </font>
    </dxf>
    <dxf>
      <font>
        <color rgb="FFFFFF99"/>
      </font>
    </dxf>
    <dxf>
      <font>
        <b/>
        <i val="0"/>
        <color rgb="FF000000"/>
      </font>
    </dxf>
    <dxf>
      <font>
        <color rgb="FFFFFF99"/>
      </font>
    </dxf>
    <dxf>
      <font>
        <b/>
        <i val="0"/>
        <color rgb="FF000000"/>
      </font>
      <fill>
        <patternFill>
          <bgColor rgb="FF00FF00"/>
        </patternFill>
      </fill>
    </dxf>
    <dxf>
      <font>
        <b/>
        <i val="0"/>
        <color rgb="FFFFFFFF"/>
      </font>
      <fill>
        <patternFill>
          <bgColor rgb="FFFF0000"/>
        </patternFill>
      </fill>
    </dxf>
    <dxf>
      <font>
        <b/>
        <i val="0"/>
        <color rgb="FFFFFFFF"/>
      </font>
      <fill>
        <patternFill>
          <bgColor rgb="FFFF0000"/>
        </patternFill>
      </fill>
    </dxf>
    <dxf>
      <font>
        <color rgb="FFFFFF99"/>
      </font>
    </dxf>
    <dxf>
      <font>
        <color rgb="FFFFFF99"/>
      </font>
    </dxf>
    <dxf>
      <font>
        <color rgb="FFF2F2F2"/>
      </font>
    </dxf>
    <dxf>
      <font>
        <color rgb="FFF2F2F2"/>
      </font>
    </dxf>
    <dxf>
      <font>
        <color rgb="FFFFFFFF"/>
      </font>
    </dxf>
    <dxf>
      <font>
        <color rgb="FFFFFFFF"/>
      </font>
    </dxf>
    <dxf>
      <font>
        <color rgb="FFFFFFFF"/>
      </font>
    </dxf>
    <dxf>
      <font>
        <color rgb="FFFFFFFF"/>
      </font>
    </dxf>
    <dxf>
      <font>
        <color rgb="FFFFFFFF"/>
      </font>
    </dxf>
    <dxf>
      <font>
        <color rgb="FFFFFFFF"/>
      </font>
    </dxf>
    <dxf>
      <font>
        <color rgb="FFFFFFFF"/>
      </font>
    </dxf>
    <dxf>
      <fill>
        <patternFill>
          <bgColor rgb="FFB9CDE5"/>
        </patternFill>
      </fill>
    </dxf>
    <dxf>
      <font>
        <b/>
        <i val="0"/>
        <color rgb="FF000000"/>
      </font>
      <fill>
        <patternFill>
          <bgColor rgb="FF00C000"/>
        </patternFill>
      </fill>
    </dxf>
    <dxf>
      <font>
        <b/>
        <i val="0"/>
        <color rgb="FFFFFFFF"/>
      </font>
      <fill>
        <patternFill>
          <bgColor rgb="FFDF0000"/>
        </patternFill>
      </fill>
    </dxf>
    <dxf>
      <fill>
        <patternFill>
          <bgColor rgb="FFFF0000"/>
        </patternFill>
      </fill>
    </dxf>
    <dxf>
      <fill>
        <patternFill>
          <bgColor rgb="FFDCE6F2"/>
        </patternFill>
      </fill>
    </dxf>
    <dxf>
      <fill>
        <patternFill>
          <bgColor rgb="FFFF0000"/>
        </patternFill>
      </fill>
    </dxf>
    <dxf>
      <font>
        <color rgb="FFB9CDE5"/>
      </font>
    </dxf>
    <dxf>
      <font>
        <b/>
        <i val="0"/>
        <color rgb="FFFFFFFF"/>
      </font>
      <fill>
        <patternFill>
          <bgColor rgb="FFFF0000"/>
        </patternFill>
      </fill>
    </dxf>
    <dxf>
      <font>
        <color rgb="FFFFFFFF"/>
      </font>
    </dxf>
    <dxf>
      <font>
        <color rgb="FF808080"/>
      </font>
    </dxf>
    <dxf>
      <font>
        <color rgb="FFFFFFFF"/>
      </font>
    </dxf>
    <dxf>
      <font>
        <color rgb="FFD9D9D9"/>
      </font>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color rgb="FFB7DEE8"/>
      </font>
    </dxf>
    <dxf>
      <font>
        <b/>
        <i val="0"/>
        <color rgb="FF000000"/>
      </font>
      <fill>
        <patternFill>
          <bgColor rgb="FFFFFF00"/>
        </patternFill>
      </fill>
    </dxf>
    <dxf>
      <font>
        <b/>
        <i val="0"/>
        <color rgb="FF000000"/>
      </font>
      <fill>
        <patternFill>
          <bgColor rgb="FF009B1B"/>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ont>
        <b/>
        <i val="0"/>
        <color rgb="FFFFFFFF"/>
      </font>
      <fill>
        <patternFill>
          <bgColor rgb="FFB21211"/>
        </patternFill>
      </fill>
    </dxf>
    <dxf>
      <fill>
        <patternFill>
          <bgColor rgb="FFFF0000"/>
        </patternFill>
      </fill>
    </dxf>
    <dxf>
      <font>
        <b/>
        <i val="0"/>
        <color rgb="FFFFFFFF"/>
      </font>
      <fill>
        <patternFill>
          <bgColor rgb="FFFF0000"/>
        </patternFill>
      </fill>
    </dxf>
    <dxf>
      <font>
        <b/>
        <i val="0"/>
        <color rgb="FFFFFFFF"/>
      </font>
      <fill>
        <patternFill>
          <bgColor rgb="FF10243E"/>
        </patternFill>
      </fill>
    </dxf>
    <dxf>
      <font>
        <b/>
        <i val="0"/>
        <color rgb="FFFFFFFF"/>
      </font>
      <fill>
        <patternFill>
          <bgColor rgb="FFFF0000"/>
        </patternFill>
      </fill>
    </dxf>
    <dxf>
      <font>
        <b/>
        <i val="0"/>
        <color rgb="FFFFFFFF"/>
      </font>
      <fill>
        <patternFill>
          <bgColor rgb="FF10243E"/>
        </patternFill>
      </fill>
    </dxf>
    <dxf>
      <font>
        <b/>
        <i val="0"/>
        <color rgb="FFFFFFFF"/>
      </font>
      <fill>
        <patternFill>
          <bgColor rgb="FFFF0000"/>
        </patternFill>
      </fill>
    </dxf>
    <dxf>
      <font>
        <b/>
        <i val="0"/>
        <color rgb="FFFFFFFF"/>
      </font>
      <fill>
        <patternFill>
          <bgColor rgb="FF10243E"/>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10243E"/>
        </patternFill>
      </fill>
    </dxf>
    <dxf>
      <font>
        <color rgb="FFFFFFFF"/>
      </font>
    </dxf>
    <dxf>
      <font>
        <color rgb="FFFFFFFF"/>
      </font>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b/>
        <i val="0"/>
        <color rgb="FFFFFFFF"/>
      </font>
      <fill>
        <patternFill>
          <bgColor rgb="FFFF0000"/>
        </patternFill>
      </fill>
    </dxf>
    <dxf>
      <font>
        <b/>
        <i val="0"/>
        <color rgb="FFFFFFFF"/>
      </font>
      <fill>
        <patternFill>
          <bgColor rgb="FFFF0000"/>
        </patternFill>
      </fill>
    </dxf>
    <dxf>
      <font>
        <color rgb="FFFFFFFF"/>
      </font>
      <fill>
        <patternFill>
          <bgColor rgb="FFDCE6F2"/>
        </patternFill>
      </fill>
    </dxf>
    <dxf>
      <font>
        <color rgb="FFFFFFFF"/>
      </font>
      <fill>
        <patternFill>
          <bgColor rgb="FF215968"/>
        </patternFill>
      </fill>
    </dxf>
    <dxf>
      <font>
        <color rgb="FFFFFFFF"/>
      </font>
      <fill>
        <patternFill>
          <bgColor rgb="FF215968"/>
        </patternFill>
      </fill>
    </dxf>
    <dxf>
      <font>
        <b/>
        <i val="0"/>
        <color rgb="FFFFFFFF"/>
      </font>
      <fill>
        <patternFill>
          <bgColor rgb="FFFF0000"/>
        </patternFill>
      </fill>
    </dxf>
    <dxf>
      <font>
        <color auto="1"/>
      </font>
      <fill>
        <patternFill>
          <bgColor rgb="FFDCE6F2"/>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rgb="FFFFFFFF"/>
      </font>
      <fill>
        <patternFill>
          <bgColor rgb="FF4F6228"/>
        </patternFill>
      </fill>
    </dxf>
    <dxf>
      <font>
        <color rgb="FFFFFFFF"/>
      </font>
      <fill>
        <patternFill>
          <bgColor rgb="FF4F6228"/>
        </patternFill>
      </fill>
    </dxf>
    <dxf>
      <font>
        <b/>
        <i val="0"/>
        <color rgb="FFFFFFFF"/>
      </font>
      <fill>
        <patternFill>
          <bgColor rgb="FFFF0000"/>
        </patternFill>
      </fill>
    </dxf>
    <dxf>
      <font>
        <color rgb="FFFFFFFF"/>
      </font>
      <fill>
        <patternFill>
          <bgColor rgb="FF215968"/>
        </patternFill>
      </fill>
    </dxf>
    <dxf>
      <font>
        <color rgb="FFFFFFFF"/>
      </font>
      <fill>
        <patternFill>
          <bgColor rgb="FF215968"/>
        </patternFill>
      </fill>
    </dxf>
    <dxf>
      <fill>
        <patternFill>
          <bgColor rgb="FFDCE6F2"/>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rgb="FFFFFFFF"/>
      </font>
    </dxf>
    <dxf>
      <font>
        <b/>
        <i val="0"/>
        <color rgb="FFFFFFFF"/>
      </font>
      <fill>
        <patternFill>
          <bgColor rgb="FFFF0000"/>
        </patternFill>
      </fill>
    </dxf>
    <dxf>
      <fill>
        <patternFill>
          <bgColor rgb="FFDCE6F2"/>
        </patternFill>
      </fill>
    </dxf>
    <dxf>
      <font>
        <color rgb="FFFFFFFF"/>
      </font>
      <fill>
        <patternFill>
          <bgColor rgb="FF17375E"/>
        </patternFill>
      </fill>
    </dxf>
    <dxf>
      <font>
        <color rgb="FFFFFFFF"/>
      </font>
      <fill>
        <patternFill>
          <bgColor rgb="FF632523"/>
        </patternFill>
      </fill>
    </dxf>
    <dxf>
      <font>
        <color rgb="FFFFFFFF"/>
      </font>
      <fill>
        <patternFill>
          <bgColor rgb="FF17375E"/>
        </patternFill>
      </fill>
    </dxf>
    <dxf>
      <font>
        <color rgb="FFFFFF99"/>
      </font>
    </dxf>
    <dxf>
      <font>
        <color rgb="FFFFFFFF"/>
      </font>
    </dxf>
    <dxf>
      <font>
        <b/>
        <i val="0"/>
        <color rgb="FFFF0000"/>
      </font>
    </dxf>
    <dxf>
      <font>
        <b/>
        <i val="0"/>
        <color rgb="FFFFFFFF"/>
      </font>
      <fill>
        <patternFill>
          <bgColor rgb="FF27B114"/>
        </patternFill>
      </fill>
    </dxf>
    <dxf>
      <font>
        <b/>
        <i val="0"/>
        <color rgb="FFFFFFFF"/>
      </font>
      <fill>
        <patternFill>
          <bgColor rgb="FFB21211"/>
        </patternFill>
      </fill>
    </dxf>
    <dxf>
      <font>
        <b/>
        <i val="0"/>
        <color rgb="FFFF0000"/>
      </font>
    </dxf>
    <dxf>
      <font>
        <color rgb="FFFFFF99"/>
      </font>
    </dxf>
    <dxf>
      <font>
        <color rgb="FFFFFF99"/>
      </font>
    </dxf>
    <dxf>
      <font>
        <color rgb="FFFFFFFF"/>
      </font>
    </dxf>
    <dxf>
      <font>
        <color rgb="FFCCFFCC"/>
      </font>
    </dxf>
    <dxf>
      <font>
        <color rgb="FFFFFF99"/>
      </font>
    </dxf>
    <dxf>
      <font>
        <b/>
        <i val="0"/>
        <color rgb="FFFFFFFF"/>
      </font>
      <fill>
        <patternFill>
          <bgColor rgb="FF27B114"/>
        </patternFill>
      </fill>
    </dxf>
    <dxf>
      <font>
        <b/>
        <i val="0"/>
        <color rgb="FFFFFFFF"/>
      </font>
      <fill>
        <patternFill>
          <bgColor rgb="FFB21211"/>
        </patternFill>
      </fill>
    </dxf>
  </dxfs>
  <tableStyles count="0" defaultTableStyle="TableStyleMedium2" defaultPivotStyle="PivotStyleLight16"/>
  <colors>
    <indexedColors>
      <rgbColor rgb="FF000000"/>
      <rgbColor rgb="FFFFFFFF"/>
      <rgbColor rgb="FFFF0000"/>
      <rgbColor rgb="FF00FF00"/>
      <rgbColor rgb="FF0000FF"/>
      <rgbColor rgb="FFFFFF00"/>
      <rgbColor rgb="FFE6E0EC"/>
      <rgbColor rgb="FF00C000"/>
      <rgbColor rgb="FF800000"/>
      <rgbColor rgb="FF009B1B"/>
      <rgbColor rgb="FF0D203F"/>
      <rgbColor rgb="FF4F6228"/>
      <rgbColor rgb="FFEEECE1"/>
      <rgbColor rgb="FF215968"/>
      <rgbColor rgb="FFC0C0C0"/>
      <rgbColor rgb="FF83817A"/>
      <rgbColor rgb="FF8EB4E3"/>
      <rgbColor rgb="FF404040"/>
      <rgbColor rgb="FFEBF1DE"/>
      <rgbColor rgb="FFCCFFFF"/>
      <rgbColor rgb="FF18375E"/>
      <rgbColor rgb="FFBFBFBF"/>
      <rgbColor rgb="FF0070C8"/>
      <rgbColor rgb="FFC6D9F1"/>
      <rgbColor rgb="FF0D0D0D"/>
      <rgbColor rgb="FFDCE6F2"/>
      <rgbColor rgb="FFFFFF7F"/>
      <rgbColor rgb="FF95B3D7"/>
      <rgbColor rgb="FFFDEADA"/>
      <rgbColor rgb="FFDF0000"/>
      <rgbColor rgb="FF254061"/>
      <rgbColor rgb="FFF2F2F2"/>
      <rgbColor rgb="FF92CDDC"/>
      <rgbColor rgb="FFDBEEF4"/>
      <rgbColor rgb="FFCCFFCC"/>
      <rgbColor rgb="FFFFFF99"/>
      <rgbColor rgb="FF93CDDE"/>
      <rgbColor rgb="FFE6B9B8"/>
      <rgbColor rgb="FFB8A1C5"/>
      <rgbColor rgb="FFFAC090"/>
      <rgbColor rgb="FF335C8E"/>
      <rgbColor rgb="FF558ED5"/>
      <rgbColor rgb="FFC4BD97"/>
      <rgbColor rgb="FFDDD9C3"/>
      <rgbColor rgb="FFD9D9D9"/>
      <rgbColor rgb="FFE05427"/>
      <rgbColor rgb="FF604A7B"/>
      <rgbColor rgb="FFA6A6A6"/>
      <rgbColor rgb="FF17375E"/>
      <rgbColor rgb="FF27B114"/>
      <rgbColor rgb="FF10243E"/>
      <rgbColor rgb="FF4C2B36"/>
      <rgbColor rgb="FFB21211"/>
      <rgbColor rgb="FFB9CDE5"/>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1731960</xdr:colOff>
      <xdr:row>32</xdr:row>
      <xdr:rowOff>337320</xdr:rowOff>
    </xdr:from>
    <xdr:to>
      <xdr:col>5</xdr:col>
      <xdr:colOff>11160</xdr:colOff>
      <xdr:row>36</xdr:row>
      <xdr:rowOff>5400</xdr:rowOff>
    </xdr:to>
    <xdr:sp macro="" textlink="">
      <xdr:nvSpPr>
        <xdr:cNvPr id="2" name="Left Brace 19">
          <a:extLst>
            <a:ext uri="{FF2B5EF4-FFF2-40B4-BE49-F238E27FC236}">
              <a16:creationId xmlns:a16="http://schemas.microsoft.com/office/drawing/2014/main" id="{00000000-0008-0000-0000-000002000000}"/>
            </a:ext>
          </a:extLst>
        </xdr:cNvPr>
        <xdr:cNvSpPr/>
      </xdr:nvSpPr>
      <xdr:spPr>
        <a:xfrm>
          <a:off x="8737200" y="11033640"/>
          <a:ext cx="254520" cy="1039680"/>
        </a:xfrm>
        <a:prstGeom prst="leftBrace">
          <a:avLst>
            <a:gd name="adj1" fmla="val 8333"/>
            <a:gd name="adj2" fmla="val 50000"/>
          </a:avLst>
        </a:prstGeom>
        <a:noFill/>
        <a:ln w="28575">
          <a:solidFill>
            <a:srgbClr val="1F497D"/>
          </a:solidFill>
          <a:round/>
        </a:ln>
      </xdr:spPr>
      <xdr:style>
        <a:lnRef idx="1">
          <a:schemeClr val="accent1"/>
        </a:lnRef>
        <a:fillRef idx="0">
          <a:schemeClr val="accent1"/>
        </a:fillRef>
        <a:effectRef idx="0">
          <a:schemeClr val="accent1"/>
        </a:effectRef>
        <a:fontRef idx="minor"/>
      </xdr:style>
    </xdr:sp>
    <xdr:clientData/>
  </xdr:twoCellAnchor>
  <xdr:twoCellAnchor>
    <xdr:from>
      <xdr:col>4</xdr:col>
      <xdr:colOff>1736280</xdr:colOff>
      <xdr:row>28</xdr:row>
      <xdr:rowOff>341280</xdr:rowOff>
    </xdr:from>
    <xdr:to>
      <xdr:col>5</xdr:col>
      <xdr:colOff>6840</xdr:colOff>
      <xdr:row>32</xdr:row>
      <xdr:rowOff>341280</xdr:rowOff>
    </xdr:to>
    <xdr:sp macro="" textlink="">
      <xdr:nvSpPr>
        <xdr:cNvPr id="3" name="Left Brace 20">
          <a:extLst>
            <a:ext uri="{FF2B5EF4-FFF2-40B4-BE49-F238E27FC236}">
              <a16:creationId xmlns:a16="http://schemas.microsoft.com/office/drawing/2014/main" id="{00000000-0008-0000-0000-000003000000}"/>
            </a:ext>
          </a:extLst>
        </xdr:cNvPr>
        <xdr:cNvSpPr/>
      </xdr:nvSpPr>
      <xdr:spPr>
        <a:xfrm>
          <a:off x="8741520" y="9666000"/>
          <a:ext cx="245880" cy="1371600"/>
        </a:xfrm>
        <a:prstGeom prst="leftBrace">
          <a:avLst>
            <a:gd name="adj1" fmla="val 8333"/>
            <a:gd name="adj2" fmla="val 50000"/>
          </a:avLst>
        </a:prstGeom>
        <a:noFill/>
        <a:ln w="28575">
          <a:solidFill>
            <a:srgbClr val="1F497D"/>
          </a:solidFill>
          <a:round/>
        </a:ln>
      </xdr:spPr>
      <xdr:style>
        <a:lnRef idx="1">
          <a:schemeClr val="accent1"/>
        </a:lnRef>
        <a:fillRef idx="0">
          <a:schemeClr val="accent1"/>
        </a:fillRef>
        <a:effectRef idx="0">
          <a:schemeClr val="accent1"/>
        </a:effectRef>
        <a:fontRef idx="minor"/>
      </xdr:style>
    </xdr:sp>
    <xdr:clientData/>
  </xdr:twoCellAnchor>
  <xdr:twoCellAnchor>
    <xdr:from>
      <xdr:col>4</xdr:col>
      <xdr:colOff>1748160</xdr:colOff>
      <xdr:row>17</xdr:row>
      <xdr:rowOff>0</xdr:rowOff>
    </xdr:from>
    <xdr:to>
      <xdr:col>4</xdr:col>
      <xdr:colOff>1826280</xdr:colOff>
      <xdr:row>24</xdr:row>
      <xdr:rowOff>10800</xdr:rowOff>
    </xdr:to>
    <xdr:sp macro="" textlink="">
      <xdr:nvSpPr>
        <xdr:cNvPr id="4" name="Left Brace 12">
          <a:extLst>
            <a:ext uri="{FF2B5EF4-FFF2-40B4-BE49-F238E27FC236}">
              <a16:creationId xmlns:a16="http://schemas.microsoft.com/office/drawing/2014/main" id="{00000000-0008-0000-0000-000004000000}"/>
            </a:ext>
          </a:extLst>
        </xdr:cNvPr>
        <xdr:cNvSpPr/>
      </xdr:nvSpPr>
      <xdr:spPr>
        <a:xfrm>
          <a:off x="8753400" y="5553000"/>
          <a:ext cx="78120" cy="2410920"/>
        </a:xfrm>
        <a:prstGeom prst="leftBrace">
          <a:avLst>
            <a:gd name="adj1" fmla="val 8333"/>
            <a:gd name="adj2" fmla="val 50000"/>
          </a:avLst>
        </a:prstGeom>
        <a:noFill/>
        <a:ln w="28575">
          <a:solidFill>
            <a:srgbClr val="1F497D"/>
          </a:solidFill>
          <a:round/>
        </a:ln>
      </xdr:spPr>
      <xdr:style>
        <a:lnRef idx="1">
          <a:schemeClr val="accent1"/>
        </a:lnRef>
        <a:fillRef idx="0">
          <a:schemeClr val="accent1"/>
        </a:fillRef>
        <a:effectRef idx="0">
          <a:schemeClr val="accent1"/>
        </a:effectRef>
        <a:fontRef idx="minor"/>
      </xdr:style>
    </xdr:sp>
    <xdr:clientData/>
  </xdr:twoCellAnchor>
  <xdr:twoCellAnchor>
    <xdr:from>
      <xdr:col>4</xdr:col>
      <xdr:colOff>1739880</xdr:colOff>
      <xdr:row>24</xdr:row>
      <xdr:rowOff>5760</xdr:rowOff>
    </xdr:from>
    <xdr:to>
      <xdr:col>4</xdr:col>
      <xdr:colOff>1840320</xdr:colOff>
      <xdr:row>28</xdr:row>
      <xdr:rowOff>16560</xdr:rowOff>
    </xdr:to>
    <xdr:sp macro="" textlink="">
      <xdr:nvSpPr>
        <xdr:cNvPr id="5" name="Left Brace 7">
          <a:extLst>
            <a:ext uri="{FF2B5EF4-FFF2-40B4-BE49-F238E27FC236}">
              <a16:creationId xmlns:a16="http://schemas.microsoft.com/office/drawing/2014/main" id="{00000000-0008-0000-0000-000005000000}"/>
            </a:ext>
          </a:extLst>
        </xdr:cNvPr>
        <xdr:cNvSpPr/>
      </xdr:nvSpPr>
      <xdr:spPr>
        <a:xfrm>
          <a:off x="8745120" y="7958880"/>
          <a:ext cx="100440" cy="1382400"/>
        </a:xfrm>
        <a:prstGeom prst="leftBrace">
          <a:avLst>
            <a:gd name="adj1" fmla="val 8333"/>
            <a:gd name="adj2" fmla="val 50000"/>
          </a:avLst>
        </a:prstGeom>
        <a:noFill/>
        <a:ln w="28575">
          <a:solidFill>
            <a:srgbClr val="1F497D"/>
          </a:solidFill>
          <a:round/>
        </a:ln>
      </xdr:spPr>
      <xdr:style>
        <a:lnRef idx="1">
          <a:schemeClr val="accent1"/>
        </a:lnRef>
        <a:fillRef idx="0">
          <a:schemeClr val="accent1"/>
        </a:fillRef>
        <a:effectRef idx="0">
          <a:schemeClr val="accent1"/>
        </a:effectRef>
        <a:fontRef idx="minor"/>
      </xdr:style>
    </xdr:sp>
    <xdr:clientData/>
  </xdr:twoCellAnchor>
  <xdr:twoCellAnchor editAs="oneCell">
    <xdr:from>
      <xdr:col>8</xdr:col>
      <xdr:colOff>1075680</xdr:colOff>
      <xdr:row>0</xdr:row>
      <xdr:rowOff>268920</xdr:rowOff>
    </xdr:from>
    <xdr:to>
      <xdr:col>8</xdr:col>
      <xdr:colOff>2033640</xdr:colOff>
      <xdr:row>2</xdr:row>
      <xdr:rowOff>436680</xdr:rowOff>
    </xdr:to>
    <xdr:pic>
      <xdr:nvPicPr>
        <xdr:cNvPr id="6" name="Picture 10">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tretch/>
      </xdr:blipFill>
      <xdr:spPr>
        <a:xfrm>
          <a:off x="12879000" y="268920"/>
          <a:ext cx="957960" cy="10249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257760</xdr:colOff>
      <xdr:row>0</xdr:row>
      <xdr:rowOff>347400</xdr:rowOff>
    </xdr:from>
    <xdr:to>
      <xdr:col>15</xdr:col>
      <xdr:colOff>162360</xdr:colOff>
      <xdr:row>3</xdr:row>
      <xdr:rowOff>10800</xdr:rowOff>
    </xdr:to>
    <xdr:pic>
      <xdr:nvPicPr>
        <xdr:cNvPr id="87" name="Picture 2">
          <a:extLst>
            <a:ext uri="{FF2B5EF4-FFF2-40B4-BE49-F238E27FC236}">
              <a16:creationId xmlns:a16="http://schemas.microsoft.com/office/drawing/2014/main" id="{00000000-0008-0000-0900-000057000000}"/>
            </a:ext>
          </a:extLst>
        </xdr:cNvPr>
        <xdr:cNvPicPr/>
      </xdr:nvPicPr>
      <xdr:blipFill>
        <a:blip xmlns:r="http://schemas.openxmlformats.org/officeDocument/2006/relationships" r:embed="rId1"/>
        <a:stretch/>
      </xdr:blipFill>
      <xdr:spPr>
        <a:xfrm>
          <a:off x="17160480" y="347400"/>
          <a:ext cx="1013400" cy="102528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204120</xdr:colOff>
      <xdr:row>15</xdr:row>
      <xdr:rowOff>54360</xdr:rowOff>
    </xdr:from>
    <xdr:to>
      <xdr:col>12</xdr:col>
      <xdr:colOff>252000</xdr:colOff>
      <xdr:row>43</xdr:row>
      <xdr:rowOff>94680</xdr:rowOff>
    </xdr:to>
    <xdr:pic>
      <xdr:nvPicPr>
        <xdr:cNvPr id="88" name="Picture 2">
          <a:extLst>
            <a:ext uri="{FF2B5EF4-FFF2-40B4-BE49-F238E27FC236}">
              <a16:creationId xmlns:a16="http://schemas.microsoft.com/office/drawing/2014/main" id="{00000000-0008-0000-0A00-000058000000}"/>
            </a:ext>
          </a:extLst>
        </xdr:cNvPr>
        <xdr:cNvPicPr/>
      </xdr:nvPicPr>
      <xdr:blipFill>
        <a:blip xmlns:r="http://schemas.openxmlformats.org/officeDocument/2006/relationships" r:embed="rId1"/>
        <a:stretch/>
      </xdr:blipFill>
      <xdr:spPr>
        <a:xfrm>
          <a:off x="8740800" y="3692880"/>
          <a:ext cx="4398840" cy="457416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403560</xdr:colOff>
      <xdr:row>0</xdr:row>
      <xdr:rowOff>156960</xdr:rowOff>
    </xdr:from>
    <xdr:to>
      <xdr:col>9</xdr:col>
      <xdr:colOff>1361520</xdr:colOff>
      <xdr:row>2</xdr:row>
      <xdr:rowOff>178920</xdr:rowOff>
    </xdr:to>
    <xdr:pic>
      <xdr:nvPicPr>
        <xdr:cNvPr id="89" name="Picture 6">
          <a:extLst>
            <a:ext uri="{FF2B5EF4-FFF2-40B4-BE49-F238E27FC236}">
              <a16:creationId xmlns:a16="http://schemas.microsoft.com/office/drawing/2014/main" id="{00000000-0008-0000-0B00-000059000000}"/>
            </a:ext>
          </a:extLst>
        </xdr:cNvPr>
        <xdr:cNvPicPr/>
      </xdr:nvPicPr>
      <xdr:blipFill>
        <a:blip xmlns:r="http://schemas.openxmlformats.org/officeDocument/2006/relationships" r:embed="rId1"/>
        <a:stretch/>
      </xdr:blipFill>
      <xdr:spPr>
        <a:xfrm>
          <a:off x="8880480" y="156960"/>
          <a:ext cx="957960" cy="1022040"/>
        </a:xfrm>
        <a:prstGeom prst="rect">
          <a:avLst/>
        </a:prstGeom>
        <a:ln w="0">
          <a:noFill/>
        </a:ln>
      </xdr:spPr>
    </xdr:pic>
    <xdr:clientData/>
  </xdr:twoCellAnchor>
  <xdr:twoCellAnchor>
    <xdr:from>
      <xdr:col>5</xdr:col>
      <xdr:colOff>183960</xdr:colOff>
      <xdr:row>32</xdr:row>
      <xdr:rowOff>919800</xdr:rowOff>
    </xdr:from>
    <xdr:to>
      <xdr:col>5</xdr:col>
      <xdr:colOff>452880</xdr:colOff>
      <xdr:row>33</xdr:row>
      <xdr:rowOff>196920</xdr:rowOff>
    </xdr:to>
    <xdr:sp macro="" textlink="">
      <xdr:nvSpPr>
        <xdr:cNvPr id="90" name="Rectangle 4">
          <a:extLst>
            <a:ext uri="{FF2B5EF4-FFF2-40B4-BE49-F238E27FC236}">
              <a16:creationId xmlns:a16="http://schemas.microsoft.com/office/drawing/2014/main" id="{00000000-0008-0000-0B00-00005A000000}"/>
            </a:ext>
          </a:extLst>
        </xdr:cNvPr>
        <xdr:cNvSpPr/>
      </xdr:nvSpPr>
      <xdr:spPr>
        <a:xfrm>
          <a:off x="4559040" y="10577880"/>
          <a:ext cx="268920" cy="21060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594000</xdr:colOff>
      <xdr:row>0</xdr:row>
      <xdr:rowOff>156960</xdr:rowOff>
    </xdr:from>
    <xdr:to>
      <xdr:col>10</xdr:col>
      <xdr:colOff>498600</xdr:colOff>
      <xdr:row>2</xdr:row>
      <xdr:rowOff>324720</xdr:rowOff>
    </xdr:to>
    <xdr:pic>
      <xdr:nvPicPr>
        <xdr:cNvPr id="91" name="Picture 3">
          <a:extLst>
            <a:ext uri="{FF2B5EF4-FFF2-40B4-BE49-F238E27FC236}">
              <a16:creationId xmlns:a16="http://schemas.microsoft.com/office/drawing/2014/main" id="{00000000-0008-0000-0C00-00005B000000}"/>
            </a:ext>
          </a:extLst>
        </xdr:cNvPr>
        <xdr:cNvPicPr/>
      </xdr:nvPicPr>
      <xdr:blipFill>
        <a:blip xmlns:r="http://schemas.openxmlformats.org/officeDocument/2006/relationships" r:embed="rId1"/>
        <a:stretch/>
      </xdr:blipFill>
      <xdr:spPr>
        <a:xfrm>
          <a:off x="8314920" y="156960"/>
          <a:ext cx="1013040" cy="102492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560160</xdr:colOff>
      <xdr:row>0</xdr:row>
      <xdr:rowOff>111960</xdr:rowOff>
    </xdr:from>
    <xdr:to>
      <xdr:col>10</xdr:col>
      <xdr:colOff>464760</xdr:colOff>
      <xdr:row>2</xdr:row>
      <xdr:rowOff>279720</xdr:rowOff>
    </xdr:to>
    <xdr:pic>
      <xdr:nvPicPr>
        <xdr:cNvPr id="92" name="Picture 3">
          <a:extLst>
            <a:ext uri="{FF2B5EF4-FFF2-40B4-BE49-F238E27FC236}">
              <a16:creationId xmlns:a16="http://schemas.microsoft.com/office/drawing/2014/main" id="{00000000-0008-0000-0D00-00005C000000}"/>
            </a:ext>
          </a:extLst>
        </xdr:cNvPr>
        <xdr:cNvPicPr/>
      </xdr:nvPicPr>
      <xdr:blipFill>
        <a:blip xmlns:r="http://schemas.openxmlformats.org/officeDocument/2006/relationships" r:embed="rId1"/>
        <a:stretch/>
      </xdr:blipFill>
      <xdr:spPr>
        <a:xfrm>
          <a:off x="8281080" y="111960"/>
          <a:ext cx="1013040" cy="102492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268920</xdr:colOff>
      <xdr:row>0</xdr:row>
      <xdr:rowOff>179280</xdr:rowOff>
    </xdr:from>
    <xdr:to>
      <xdr:col>13</xdr:col>
      <xdr:colOff>117360</xdr:colOff>
      <xdr:row>3</xdr:row>
      <xdr:rowOff>85320</xdr:rowOff>
    </xdr:to>
    <xdr:pic>
      <xdr:nvPicPr>
        <xdr:cNvPr id="93" name="Picture 2">
          <a:extLst>
            <a:ext uri="{FF2B5EF4-FFF2-40B4-BE49-F238E27FC236}">
              <a16:creationId xmlns:a16="http://schemas.microsoft.com/office/drawing/2014/main" id="{00000000-0008-0000-0E00-00005D000000}"/>
            </a:ext>
          </a:extLst>
        </xdr:cNvPr>
        <xdr:cNvPicPr/>
      </xdr:nvPicPr>
      <xdr:blipFill>
        <a:blip xmlns:r="http://schemas.openxmlformats.org/officeDocument/2006/relationships" r:embed="rId1"/>
        <a:stretch/>
      </xdr:blipFill>
      <xdr:spPr>
        <a:xfrm>
          <a:off x="9511200" y="179280"/>
          <a:ext cx="1027440" cy="102024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425880</xdr:colOff>
      <xdr:row>0</xdr:row>
      <xdr:rowOff>100800</xdr:rowOff>
    </xdr:from>
    <xdr:to>
      <xdr:col>9</xdr:col>
      <xdr:colOff>1383840</xdr:colOff>
      <xdr:row>4</xdr:row>
      <xdr:rowOff>21960</xdr:rowOff>
    </xdr:to>
    <xdr:pic>
      <xdr:nvPicPr>
        <xdr:cNvPr id="94" name="Picture 3">
          <a:extLst>
            <a:ext uri="{FF2B5EF4-FFF2-40B4-BE49-F238E27FC236}">
              <a16:creationId xmlns:a16="http://schemas.microsoft.com/office/drawing/2014/main" id="{00000000-0008-0000-0F00-00005E000000}"/>
            </a:ext>
          </a:extLst>
        </xdr:cNvPr>
        <xdr:cNvPicPr/>
      </xdr:nvPicPr>
      <xdr:blipFill>
        <a:blip xmlns:r="http://schemas.openxmlformats.org/officeDocument/2006/relationships" r:embed="rId1"/>
        <a:stretch/>
      </xdr:blipFill>
      <xdr:spPr>
        <a:xfrm>
          <a:off x="9548280" y="100800"/>
          <a:ext cx="957960" cy="101628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504360</xdr:colOff>
      <xdr:row>0</xdr:row>
      <xdr:rowOff>123120</xdr:rowOff>
    </xdr:from>
    <xdr:to>
      <xdr:col>6</xdr:col>
      <xdr:colOff>408960</xdr:colOff>
      <xdr:row>2</xdr:row>
      <xdr:rowOff>290880</xdr:rowOff>
    </xdr:to>
    <xdr:pic>
      <xdr:nvPicPr>
        <xdr:cNvPr id="95" name="Picture 2">
          <a:extLst>
            <a:ext uri="{FF2B5EF4-FFF2-40B4-BE49-F238E27FC236}">
              <a16:creationId xmlns:a16="http://schemas.microsoft.com/office/drawing/2014/main" id="{00000000-0008-0000-1000-00005F000000}"/>
            </a:ext>
          </a:extLst>
        </xdr:cNvPr>
        <xdr:cNvPicPr/>
      </xdr:nvPicPr>
      <xdr:blipFill>
        <a:blip xmlns:r="http://schemas.openxmlformats.org/officeDocument/2006/relationships" r:embed="rId1"/>
        <a:stretch/>
      </xdr:blipFill>
      <xdr:spPr>
        <a:xfrm>
          <a:off x="10261440" y="123120"/>
          <a:ext cx="1013400" cy="1024920"/>
        </a:xfrm>
        <a:prstGeom prst="rect">
          <a:avLst/>
        </a:prstGeom>
        <a:ln w="0">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403560</xdr:colOff>
      <xdr:row>0</xdr:row>
      <xdr:rowOff>280080</xdr:rowOff>
    </xdr:from>
    <xdr:to>
      <xdr:col>5</xdr:col>
      <xdr:colOff>610560</xdr:colOff>
      <xdr:row>2</xdr:row>
      <xdr:rowOff>447840</xdr:rowOff>
    </xdr:to>
    <xdr:pic>
      <xdr:nvPicPr>
        <xdr:cNvPr id="96" name="Picture 2">
          <a:extLst>
            <a:ext uri="{FF2B5EF4-FFF2-40B4-BE49-F238E27FC236}">
              <a16:creationId xmlns:a16="http://schemas.microsoft.com/office/drawing/2014/main" id="{00000000-0008-0000-1100-000060000000}"/>
            </a:ext>
          </a:extLst>
        </xdr:cNvPr>
        <xdr:cNvPicPr/>
      </xdr:nvPicPr>
      <xdr:blipFill>
        <a:blip xmlns:r="http://schemas.openxmlformats.org/officeDocument/2006/relationships" r:embed="rId1"/>
        <a:stretch/>
      </xdr:blipFill>
      <xdr:spPr>
        <a:xfrm>
          <a:off x="9485280" y="280080"/>
          <a:ext cx="1003320" cy="1024920"/>
        </a:xfrm>
        <a:prstGeom prst="rect">
          <a:avLst/>
        </a:prstGeom>
        <a:ln w="0">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1154160</xdr:colOff>
      <xdr:row>2</xdr:row>
      <xdr:rowOff>111960</xdr:rowOff>
    </xdr:from>
    <xdr:to>
      <xdr:col>6</xdr:col>
      <xdr:colOff>812160</xdr:colOff>
      <xdr:row>4</xdr:row>
      <xdr:rowOff>279720</xdr:rowOff>
    </xdr:to>
    <xdr:pic>
      <xdr:nvPicPr>
        <xdr:cNvPr id="97" name="Picture 2">
          <a:extLst>
            <a:ext uri="{FF2B5EF4-FFF2-40B4-BE49-F238E27FC236}">
              <a16:creationId xmlns:a16="http://schemas.microsoft.com/office/drawing/2014/main" id="{00000000-0008-0000-1200-000061000000}"/>
            </a:ext>
          </a:extLst>
        </xdr:cNvPr>
        <xdr:cNvPicPr/>
      </xdr:nvPicPr>
      <xdr:blipFill>
        <a:blip xmlns:r="http://schemas.openxmlformats.org/officeDocument/2006/relationships" r:embed="rId1"/>
        <a:stretch/>
      </xdr:blipFill>
      <xdr:spPr>
        <a:xfrm>
          <a:off x="7675560" y="111960"/>
          <a:ext cx="1038960" cy="10249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11160</xdr:colOff>
      <xdr:row>5</xdr:row>
      <xdr:rowOff>190440</xdr:rowOff>
    </xdr:from>
    <xdr:to>
      <xdr:col>22</xdr:col>
      <xdr:colOff>896040</xdr:colOff>
      <xdr:row>7</xdr:row>
      <xdr:rowOff>55440</xdr:rowOff>
    </xdr:to>
    <xdr:sp macro="" textlink="">
      <xdr:nvSpPr>
        <xdr:cNvPr id="5" name="Left Arrow 38">
          <a:extLst>
            <a:ext uri="{FF2B5EF4-FFF2-40B4-BE49-F238E27FC236}">
              <a16:creationId xmlns:a16="http://schemas.microsoft.com/office/drawing/2014/main" id="{00000000-0008-0000-0100-000005000000}"/>
            </a:ext>
          </a:extLst>
        </xdr:cNvPr>
        <xdr:cNvSpPr/>
      </xdr:nvSpPr>
      <xdr:spPr>
        <a:xfrm>
          <a:off x="16579440" y="2295360"/>
          <a:ext cx="3786120" cy="331560"/>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xdr:from>
      <xdr:col>1</xdr:col>
      <xdr:colOff>0</xdr:colOff>
      <xdr:row>2</xdr:row>
      <xdr:rowOff>537840</xdr:rowOff>
    </xdr:from>
    <xdr:to>
      <xdr:col>4</xdr:col>
      <xdr:colOff>805320</xdr:colOff>
      <xdr:row>7</xdr:row>
      <xdr:rowOff>25920</xdr:rowOff>
    </xdr:to>
    <xdr:sp macro="" textlink="">
      <xdr:nvSpPr>
        <xdr:cNvPr id="6" name="TextBox 2">
          <a:extLst>
            <a:ext uri="{FF2B5EF4-FFF2-40B4-BE49-F238E27FC236}">
              <a16:creationId xmlns:a16="http://schemas.microsoft.com/office/drawing/2014/main" id="{00000000-0008-0000-0100-000006000000}"/>
            </a:ext>
          </a:extLst>
        </xdr:cNvPr>
        <xdr:cNvSpPr/>
      </xdr:nvSpPr>
      <xdr:spPr>
        <a:xfrm>
          <a:off x="261360" y="1395000"/>
          <a:ext cx="2589840" cy="1202400"/>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noAutofit/>
        </a:bodyPr>
        <a:lstStyle/>
        <a:p>
          <a:pPr>
            <a:lnSpc>
              <a:spcPct val="100000"/>
            </a:lnSpc>
          </a:pPr>
          <a:r>
            <a:rPr lang="fr-CA" sz="1100" b="1" strike="noStrike" spc="-1">
              <a:solidFill>
                <a:srgbClr val="000000"/>
              </a:solidFill>
              <a:latin typeface="Calibri"/>
            </a:rPr>
            <a:t>ADJ</a:t>
          </a:r>
          <a:r>
            <a:rPr lang="fr-CA" sz="1100" b="0" strike="noStrike" spc="-1">
              <a:solidFill>
                <a:srgbClr val="000000"/>
              </a:solidFill>
              <a:latin typeface="Calibri"/>
            </a:rPr>
            <a:t> Adjustment / Ajustement</a:t>
          </a:r>
          <a:endParaRPr lang="en-CA" sz="1100" b="0" strike="noStrike" spc="-1">
            <a:latin typeface="Times New Roman"/>
          </a:endParaRPr>
        </a:p>
        <a:p>
          <a:pPr>
            <a:lnSpc>
              <a:spcPct val="100000"/>
            </a:lnSpc>
          </a:pPr>
          <a:r>
            <a:rPr lang="fr-CA" sz="1100" b="1" strike="noStrike" spc="-1">
              <a:solidFill>
                <a:srgbClr val="000000"/>
              </a:solidFill>
              <a:latin typeface="Calibri"/>
            </a:rPr>
            <a:t>BK</a:t>
          </a:r>
          <a:r>
            <a:rPr lang="fr-CA" sz="1100" b="0" strike="noStrike" spc="-1">
              <a:solidFill>
                <a:srgbClr val="000000"/>
              </a:solidFill>
              <a:latin typeface="Calibri"/>
            </a:rPr>
            <a:t>   Bank / Banque</a:t>
          </a:r>
          <a:endParaRPr lang="en-CA" sz="1100" b="0" strike="noStrike" spc="-1">
            <a:latin typeface="Times New Roman"/>
          </a:endParaRPr>
        </a:p>
        <a:p>
          <a:pPr>
            <a:lnSpc>
              <a:spcPct val="100000"/>
            </a:lnSpc>
          </a:pPr>
          <a:r>
            <a:rPr lang="fr-CA" sz="1100" b="1" strike="noStrike" spc="-1">
              <a:solidFill>
                <a:srgbClr val="000000"/>
              </a:solidFill>
              <a:latin typeface="Calibri"/>
            </a:rPr>
            <a:t>CC   </a:t>
          </a:r>
          <a:r>
            <a:rPr lang="fr-CA" sz="1100" b="0" strike="noStrike" spc="-1">
              <a:solidFill>
                <a:srgbClr val="000000"/>
              </a:solidFill>
              <a:latin typeface="Calibri"/>
            </a:rPr>
            <a:t>Credit Card / Carte de crédit</a:t>
          </a:r>
          <a:endParaRPr lang="en-CA" sz="1100" b="0" strike="noStrike" spc="-1">
            <a:latin typeface="Times New Roman"/>
          </a:endParaRPr>
        </a:p>
        <a:p>
          <a:pPr>
            <a:lnSpc>
              <a:spcPct val="100000"/>
            </a:lnSpc>
          </a:pPr>
          <a:r>
            <a:rPr lang="fr-CA" sz="1100" b="1" strike="noStrike" spc="-1">
              <a:solidFill>
                <a:srgbClr val="000000"/>
              </a:solidFill>
              <a:latin typeface="Calibri"/>
            </a:rPr>
            <a:t>DD</a:t>
          </a:r>
          <a:r>
            <a:rPr lang="fr-CA" sz="1100" b="0" strike="noStrike" spc="-1">
              <a:solidFill>
                <a:srgbClr val="000000"/>
              </a:solidFill>
              <a:latin typeface="Calibri"/>
            </a:rPr>
            <a:t>  Direct Deposit / Dépôt direct </a:t>
          </a:r>
          <a:endParaRPr lang="en-CA" sz="1100" b="0" strike="noStrike" spc="-1">
            <a:latin typeface="Times New Roman"/>
          </a:endParaRPr>
        </a:p>
        <a:p>
          <a:pPr>
            <a:lnSpc>
              <a:spcPct val="100000"/>
            </a:lnSpc>
          </a:pPr>
          <a:r>
            <a:rPr lang="fr-CA" sz="1100" b="1" strike="noStrike" spc="-1">
              <a:solidFill>
                <a:srgbClr val="000000"/>
              </a:solidFill>
              <a:latin typeface="Calibri"/>
            </a:rPr>
            <a:t>DP</a:t>
          </a:r>
          <a:r>
            <a:rPr lang="fr-CA" sz="1100" b="0" strike="noStrike" spc="-1">
              <a:solidFill>
                <a:srgbClr val="000000"/>
              </a:solidFill>
              <a:latin typeface="Calibri"/>
            </a:rPr>
            <a:t>   Deposit / Dépôt</a:t>
          </a:r>
          <a:endParaRPr lang="en-CA" sz="1100" b="0" strike="noStrike" spc="-1">
            <a:latin typeface="Times New Roman"/>
          </a:endParaRPr>
        </a:p>
        <a:p>
          <a:pPr>
            <a:lnSpc>
              <a:spcPct val="100000"/>
            </a:lnSpc>
          </a:pPr>
          <a:r>
            <a:rPr lang="fr-CA" sz="1100" b="1" strike="noStrike" spc="-1">
              <a:solidFill>
                <a:srgbClr val="000000"/>
              </a:solidFill>
              <a:latin typeface="Calibri"/>
            </a:rPr>
            <a:t>ET</a:t>
          </a:r>
          <a:r>
            <a:rPr lang="fr-CA" sz="1100" b="0" strike="noStrike" spc="-1">
              <a:solidFill>
                <a:srgbClr val="000000"/>
              </a:solidFill>
              <a:latin typeface="Calibri"/>
            </a:rPr>
            <a:t>   eTransfer / Transfert électronique</a:t>
          </a:r>
          <a:endParaRPr lang="en-CA" sz="1100" b="0" strike="noStrike" spc="-1">
            <a:latin typeface="Times New Roman"/>
          </a:endParaRPr>
        </a:p>
        <a:p>
          <a:pPr>
            <a:lnSpc>
              <a:spcPct val="100000"/>
            </a:lnSpc>
          </a:pPr>
          <a:r>
            <a:rPr lang="fr-CA" sz="1100" b="1" strike="noStrike" spc="-1">
              <a:solidFill>
                <a:srgbClr val="000000"/>
              </a:solidFill>
              <a:latin typeface="Calibri"/>
            </a:rPr>
            <a:t>PC</a:t>
          </a:r>
          <a:r>
            <a:rPr lang="fr-CA" sz="1100" b="0" strike="noStrike" spc="-1">
              <a:solidFill>
                <a:srgbClr val="000000"/>
              </a:solidFill>
              <a:latin typeface="Calibri"/>
            </a:rPr>
            <a:t>   Petty Cash / Petite caisse</a:t>
          </a:r>
          <a:endParaRPr lang="en-CA" sz="1100" b="0" strike="noStrike" spc="-1">
            <a:latin typeface="Times New Roman"/>
          </a:endParaRPr>
        </a:p>
      </xdr:txBody>
    </xdr:sp>
    <xdr:clientData/>
  </xdr:twoCellAnchor>
  <xdr:twoCellAnchor editAs="oneCell">
    <xdr:from>
      <xdr:col>7</xdr:col>
      <xdr:colOff>1221480</xdr:colOff>
      <xdr:row>0</xdr:row>
      <xdr:rowOff>190440</xdr:rowOff>
    </xdr:from>
    <xdr:to>
      <xdr:col>9</xdr:col>
      <xdr:colOff>767520</xdr:colOff>
      <xdr:row>2</xdr:row>
      <xdr:rowOff>358200</xdr:rowOff>
    </xdr:to>
    <xdr:pic>
      <xdr:nvPicPr>
        <xdr:cNvPr id="7" name="Picture 3">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xdr:blipFill>
      <xdr:spPr>
        <a:xfrm>
          <a:off x="8810280" y="190440"/>
          <a:ext cx="1037520" cy="10249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4845" descr="Edit">
          <a:extLst>
            <a:ext uri="{FF2B5EF4-FFF2-40B4-BE49-F238E27FC236}">
              <a16:creationId xmlns:a16="http://schemas.microsoft.com/office/drawing/2014/main" id="{00000000-0008-0000-0100-000002000000}"/>
            </a:ext>
          </a:extLst>
        </xdr:cNvPr>
        <xdr:cNvSpPr/>
      </xdr:nvSpPr>
      <xdr:spPr>
        <a:xfrm>
          <a:off x="0" y="0"/>
          <a:ext cx="0" cy="0"/>
        </a:xfrm>
        <a:prstGeom prst="rect">
          <a:avLst/>
        </a:prstGeom>
      </xdr:spPr>
      <xdr:txBody>
        <a:bodyPr anchor="ctr">
          <a:noAutofit/>
        </a:bodyPr>
        <a:lstStyle/>
        <a:p>
          <a:r>
            <a:t>Edit</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1344600</xdr:colOff>
      <xdr:row>0</xdr:row>
      <xdr:rowOff>67320</xdr:rowOff>
    </xdr:from>
    <xdr:to>
      <xdr:col>8</xdr:col>
      <xdr:colOff>946440</xdr:colOff>
      <xdr:row>2</xdr:row>
      <xdr:rowOff>235080</xdr:rowOff>
    </xdr:to>
    <xdr:pic>
      <xdr:nvPicPr>
        <xdr:cNvPr id="98" name="Picture 2">
          <a:extLst>
            <a:ext uri="{FF2B5EF4-FFF2-40B4-BE49-F238E27FC236}">
              <a16:creationId xmlns:a16="http://schemas.microsoft.com/office/drawing/2014/main" id="{00000000-0008-0000-1300-000062000000}"/>
            </a:ext>
          </a:extLst>
        </xdr:cNvPr>
        <xdr:cNvPicPr/>
      </xdr:nvPicPr>
      <xdr:blipFill>
        <a:blip xmlns:r="http://schemas.openxmlformats.org/officeDocument/2006/relationships" r:embed="rId1"/>
        <a:stretch/>
      </xdr:blipFill>
      <xdr:spPr>
        <a:xfrm>
          <a:off x="11111400" y="67320"/>
          <a:ext cx="1033200" cy="1024920"/>
        </a:xfrm>
        <a:prstGeom prst="rect">
          <a:avLst/>
        </a:prstGeom>
        <a:ln w="0">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416520</xdr:colOff>
      <xdr:row>9</xdr:row>
      <xdr:rowOff>208080</xdr:rowOff>
    </xdr:from>
    <xdr:to>
      <xdr:col>6</xdr:col>
      <xdr:colOff>635400</xdr:colOff>
      <xdr:row>9</xdr:row>
      <xdr:rowOff>398160</xdr:rowOff>
    </xdr:to>
    <xdr:sp macro="" textlink="">
      <xdr:nvSpPr>
        <xdr:cNvPr id="99" name="Bent Arrow 1">
          <a:extLst>
            <a:ext uri="{FF2B5EF4-FFF2-40B4-BE49-F238E27FC236}">
              <a16:creationId xmlns:a16="http://schemas.microsoft.com/office/drawing/2014/main" id="{00000000-0008-0000-1400-000063000000}"/>
            </a:ext>
          </a:extLst>
        </xdr:cNvPr>
        <xdr:cNvSpPr/>
      </xdr:nvSpPr>
      <xdr:spPr>
        <a:xfrm>
          <a:off x="11836080" y="362736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343080</xdr:colOff>
      <xdr:row>79</xdr:row>
      <xdr:rowOff>204120</xdr:rowOff>
    </xdr:from>
    <xdr:to>
      <xdr:col>6</xdr:col>
      <xdr:colOff>561960</xdr:colOff>
      <xdr:row>79</xdr:row>
      <xdr:rowOff>394200</xdr:rowOff>
    </xdr:to>
    <xdr:sp macro="" textlink="">
      <xdr:nvSpPr>
        <xdr:cNvPr id="100" name="Bent Arrow 6">
          <a:extLst>
            <a:ext uri="{FF2B5EF4-FFF2-40B4-BE49-F238E27FC236}">
              <a16:creationId xmlns:a16="http://schemas.microsoft.com/office/drawing/2014/main" id="{00000000-0008-0000-1400-000064000000}"/>
            </a:ext>
          </a:extLst>
        </xdr:cNvPr>
        <xdr:cNvSpPr/>
      </xdr:nvSpPr>
      <xdr:spPr>
        <a:xfrm>
          <a:off x="11762640" y="3829428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9</xdr:col>
      <xdr:colOff>1344600</xdr:colOff>
      <xdr:row>0</xdr:row>
      <xdr:rowOff>123120</xdr:rowOff>
    </xdr:from>
    <xdr:to>
      <xdr:col>9</xdr:col>
      <xdr:colOff>2302560</xdr:colOff>
      <xdr:row>2</xdr:row>
      <xdr:rowOff>290880</xdr:rowOff>
    </xdr:to>
    <xdr:pic>
      <xdr:nvPicPr>
        <xdr:cNvPr id="101" name="Picture 4">
          <a:extLst>
            <a:ext uri="{FF2B5EF4-FFF2-40B4-BE49-F238E27FC236}">
              <a16:creationId xmlns:a16="http://schemas.microsoft.com/office/drawing/2014/main" id="{00000000-0008-0000-1400-000065000000}"/>
            </a:ext>
          </a:extLst>
        </xdr:cNvPr>
        <xdr:cNvPicPr/>
      </xdr:nvPicPr>
      <xdr:blipFill>
        <a:blip xmlns:r="http://schemas.openxmlformats.org/officeDocument/2006/relationships" r:embed="rId1"/>
        <a:stretch/>
      </xdr:blipFill>
      <xdr:spPr>
        <a:xfrm>
          <a:off x="15818040" y="123120"/>
          <a:ext cx="957960" cy="102492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35</xdr:col>
      <xdr:colOff>22320</xdr:colOff>
      <xdr:row>6</xdr:row>
      <xdr:rowOff>201600</xdr:rowOff>
    </xdr:from>
    <xdr:to>
      <xdr:col>41</xdr:col>
      <xdr:colOff>896040</xdr:colOff>
      <xdr:row>7</xdr:row>
      <xdr:rowOff>306360</xdr:rowOff>
    </xdr:to>
    <xdr:sp macro="" textlink="">
      <xdr:nvSpPr>
        <xdr:cNvPr id="8" name="Left Arrow 1">
          <a:extLst>
            <a:ext uri="{FF2B5EF4-FFF2-40B4-BE49-F238E27FC236}">
              <a16:creationId xmlns:a16="http://schemas.microsoft.com/office/drawing/2014/main" id="{00000000-0008-0000-0200-000008000000}"/>
            </a:ext>
          </a:extLst>
        </xdr:cNvPr>
        <xdr:cNvSpPr/>
      </xdr:nvSpPr>
      <xdr:spPr>
        <a:xfrm>
          <a:off x="32064120" y="2525400"/>
          <a:ext cx="6676560" cy="333360"/>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xdr:from>
      <xdr:col>0</xdr:col>
      <xdr:colOff>250200</xdr:colOff>
      <xdr:row>2</xdr:row>
      <xdr:rowOff>526680</xdr:rowOff>
    </xdr:from>
    <xdr:to>
      <xdr:col>4</xdr:col>
      <xdr:colOff>803160</xdr:colOff>
      <xdr:row>7</xdr:row>
      <xdr:rowOff>27000</xdr:rowOff>
    </xdr:to>
    <xdr:sp macro="" textlink="">
      <xdr:nvSpPr>
        <xdr:cNvPr id="9" name="TextBox 51">
          <a:extLst>
            <a:ext uri="{FF2B5EF4-FFF2-40B4-BE49-F238E27FC236}">
              <a16:creationId xmlns:a16="http://schemas.microsoft.com/office/drawing/2014/main" id="{00000000-0008-0000-0200-000009000000}"/>
            </a:ext>
          </a:extLst>
        </xdr:cNvPr>
        <xdr:cNvSpPr/>
      </xdr:nvSpPr>
      <xdr:spPr>
        <a:xfrm>
          <a:off x="250200" y="1383840"/>
          <a:ext cx="2598840" cy="1195560"/>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noAutofit/>
        </a:bodyPr>
        <a:lstStyle/>
        <a:p>
          <a:pPr>
            <a:lnSpc>
              <a:spcPct val="100000"/>
            </a:lnSpc>
          </a:pPr>
          <a:r>
            <a:rPr lang="fr-CA" sz="1100" b="1" strike="noStrike" spc="-1">
              <a:solidFill>
                <a:srgbClr val="000000"/>
              </a:solidFill>
              <a:latin typeface="Calibri"/>
            </a:rPr>
            <a:t>ADJ</a:t>
          </a:r>
          <a:r>
            <a:rPr lang="fr-CA" sz="1100" b="0" strike="noStrike" spc="-1">
              <a:solidFill>
                <a:srgbClr val="000000"/>
              </a:solidFill>
              <a:latin typeface="Calibri"/>
            </a:rPr>
            <a:t> Adjustment / Ajustement</a:t>
          </a:r>
          <a:endParaRPr lang="en-CA" sz="1100" b="0" strike="noStrike" spc="-1">
            <a:latin typeface="Times New Roman"/>
          </a:endParaRPr>
        </a:p>
        <a:p>
          <a:pPr>
            <a:lnSpc>
              <a:spcPct val="100000"/>
            </a:lnSpc>
          </a:pPr>
          <a:r>
            <a:rPr lang="fr-CA" sz="1100" b="1" strike="noStrike" spc="-1">
              <a:solidFill>
                <a:srgbClr val="000000"/>
              </a:solidFill>
              <a:latin typeface="Calibri"/>
            </a:rPr>
            <a:t>AT</a:t>
          </a:r>
          <a:r>
            <a:rPr lang="fr-CA" sz="1100" b="0" strike="noStrike" spc="-1">
              <a:solidFill>
                <a:srgbClr val="000000"/>
              </a:solidFill>
              <a:latin typeface="Calibri"/>
            </a:rPr>
            <a:t>    Auto. Payment / Paiement auto.</a:t>
          </a:r>
          <a:endParaRPr lang="en-CA" sz="1100" b="0" strike="noStrike" spc="-1">
            <a:latin typeface="Times New Roman"/>
          </a:endParaRPr>
        </a:p>
        <a:p>
          <a:pPr>
            <a:lnSpc>
              <a:spcPct val="100000"/>
            </a:lnSpc>
          </a:pPr>
          <a:r>
            <a:rPr lang="fr-CA" sz="1100" b="1" strike="noStrike" spc="-1">
              <a:solidFill>
                <a:srgbClr val="000000"/>
              </a:solidFill>
              <a:latin typeface="Calibri"/>
            </a:rPr>
            <a:t>BK</a:t>
          </a:r>
          <a:r>
            <a:rPr lang="fr-CA" sz="1100" b="0" strike="noStrike" spc="-1">
              <a:solidFill>
                <a:srgbClr val="000000"/>
              </a:solidFill>
              <a:latin typeface="Calibri"/>
            </a:rPr>
            <a:t>   Bank / Banque</a:t>
          </a:r>
          <a:endParaRPr lang="en-CA" sz="1100" b="0" strike="noStrike" spc="-1">
            <a:latin typeface="Times New Roman"/>
          </a:endParaRPr>
        </a:p>
        <a:p>
          <a:pPr>
            <a:lnSpc>
              <a:spcPct val="100000"/>
            </a:lnSpc>
          </a:pPr>
          <a:r>
            <a:rPr lang="fr-CA" sz="1100" b="1" strike="noStrike" spc="-1">
              <a:solidFill>
                <a:srgbClr val="000000"/>
              </a:solidFill>
              <a:latin typeface="Calibri"/>
            </a:rPr>
            <a:t>CC </a:t>
          </a:r>
          <a:r>
            <a:rPr lang="fr-CA" sz="1100" b="0" strike="noStrike" spc="-1">
              <a:solidFill>
                <a:srgbClr val="000000"/>
              </a:solidFill>
              <a:latin typeface="Calibri"/>
            </a:rPr>
            <a:t>  Credit Card / Carte de crédit</a:t>
          </a:r>
          <a:endParaRPr lang="en-CA" sz="1100" b="0" strike="noStrike" spc="-1">
            <a:latin typeface="Times New Roman"/>
          </a:endParaRPr>
        </a:p>
        <a:p>
          <a:pPr>
            <a:lnSpc>
              <a:spcPct val="100000"/>
            </a:lnSpc>
          </a:pPr>
          <a:r>
            <a:rPr lang="fr-CA" sz="1100" b="1" strike="noStrike" spc="-1">
              <a:solidFill>
                <a:srgbClr val="000000"/>
              </a:solidFill>
              <a:latin typeface="Calibri"/>
            </a:rPr>
            <a:t>CH</a:t>
          </a:r>
          <a:r>
            <a:rPr lang="fr-CA" sz="1100" b="0" strike="noStrike" spc="-1">
              <a:solidFill>
                <a:srgbClr val="000000"/>
              </a:solidFill>
              <a:latin typeface="Calibri"/>
            </a:rPr>
            <a:t>   Cheque / Chèque </a:t>
          </a:r>
          <a:endParaRPr lang="en-CA" sz="1100" b="0" strike="noStrike" spc="-1">
            <a:latin typeface="Times New Roman"/>
          </a:endParaRPr>
        </a:p>
        <a:p>
          <a:pPr>
            <a:lnSpc>
              <a:spcPct val="100000"/>
            </a:lnSpc>
          </a:pPr>
          <a:r>
            <a:rPr lang="fr-CA" sz="1100" b="1" strike="noStrike" spc="-1">
              <a:solidFill>
                <a:srgbClr val="000000"/>
              </a:solidFill>
              <a:latin typeface="Calibri"/>
            </a:rPr>
            <a:t>ET</a:t>
          </a:r>
          <a:r>
            <a:rPr lang="fr-CA" sz="1100" b="0" strike="noStrike" spc="-1">
              <a:solidFill>
                <a:srgbClr val="000000"/>
              </a:solidFill>
              <a:latin typeface="Calibri"/>
            </a:rPr>
            <a:t>   eTransfer / Transfert électronique</a:t>
          </a:r>
          <a:endParaRPr lang="en-CA" sz="1100" b="0" strike="noStrike" spc="-1">
            <a:latin typeface="Times New Roman"/>
          </a:endParaRPr>
        </a:p>
        <a:p>
          <a:pPr>
            <a:lnSpc>
              <a:spcPct val="100000"/>
            </a:lnSpc>
          </a:pPr>
          <a:r>
            <a:rPr lang="fr-CA" sz="1100" b="1" strike="noStrike" spc="-1">
              <a:solidFill>
                <a:srgbClr val="000000"/>
              </a:solidFill>
              <a:latin typeface="Calibri"/>
            </a:rPr>
            <a:t>PC</a:t>
          </a:r>
          <a:r>
            <a:rPr lang="fr-CA" sz="1100" b="0" strike="noStrike" spc="-1">
              <a:solidFill>
                <a:srgbClr val="000000"/>
              </a:solidFill>
              <a:latin typeface="Calibri"/>
            </a:rPr>
            <a:t>   Petty Cash / Petite caisse</a:t>
          </a:r>
          <a:endParaRPr lang="en-CA" sz="1100" b="0" strike="noStrike" spc="-1">
            <a:latin typeface="Times New Roman"/>
          </a:endParaRPr>
        </a:p>
      </xdr:txBody>
    </xdr:sp>
    <xdr:clientData/>
  </xdr:twoCellAnchor>
  <xdr:twoCellAnchor>
    <xdr:from>
      <xdr:col>52</xdr:col>
      <xdr:colOff>11160</xdr:colOff>
      <xdr:row>6</xdr:row>
      <xdr:rowOff>179280</xdr:rowOff>
    </xdr:from>
    <xdr:to>
      <xdr:col>58</xdr:col>
      <xdr:colOff>896040</xdr:colOff>
      <xdr:row>7</xdr:row>
      <xdr:rowOff>284040</xdr:rowOff>
    </xdr:to>
    <xdr:sp macro="" textlink="">
      <xdr:nvSpPr>
        <xdr:cNvPr id="10" name="Left Arrow 52">
          <a:extLst>
            <a:ext uri="{FF2B5EF4-FFF2-40B4-BE49-F238E27FC236}">
              <a16:creationId xmlns:a16="http://schemas.microsoft.com/office/drawing/2014/main" id="{00000000-0008-0000-0200-00000A000000}"/>
            </a:ext>
          </a:extLst>
        </xdr:cNvPr>
        <xdr:cNvSpPr/>
      </xdr:nvSpPr>
      <xdr:spPr>
        <a:xfrm>
          <a:off x="48493800" y="2503080"/>
          <a:ext cx="6687720" cy="333360"/>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7</xdr:col>
      <xdr:colOff>1120680</xdr:colOff>
      <xdr:row>0</xdr:row>
      <xdr:rowOff>212760</xdr:rowOff>
    </xdr:from>
    <xdr:to>
      <xdr:col>9</xdr:col>
      <xdr:colOff>655200</xdr:colOff>
      <xdr:row>2</xdr:row>
      <xdr:rowOff>380520</xdr:rowOff>
    </xdr:to>
    <xdr:pic>
      <xdr:nvPicPr>
        <xdr:cNvPr id="11" name="Picture 5">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1"/>
        <a:stretch/>
      </xdr:blipFill>
      <xdr:spPr>
        <a:xfrm>
          <a:off x="8699760" y="212760"/>
          <a:ext cx="1036440" cy="10249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2860200</xdr:colOff>
      <xdr:row>6</xdr:row>
      <xdr:rowOff>212760</xdr:rowOff>
    </xdr:from>
    <xdr:to>
      <xdr:col>6</xdr:col>
      <xdr:colOff>55440</xdr:colOff>
      <xdr:row>7</xdr:row>
      <xdr:rowOff>21960</xdr:rowOff>
    </xdr:to>
    <xdr:sp macro="" textlink="">
      <xdr:nvSpPr>
        <xdr:cNvPr id="12" name="Rectangle 6">
          <a:extLst>
            <a:ext uri="{FF2B5EF4-FFF2-40B4-BE49-F238E27FC236}">
              <a16:creationId xmlns:a16="http://schemas.microsoft.com/office/drawing/2014/main" id="{00000000-0008-0000-0300-00000C000000}"/>
            </a:ext>
          </a:extLst>
        </xdr:cNvPr>
        <xdr:cNvSpPr/>
      </xdr:nvSpPr>
      <xdr:spPr>
        <a:xfrm>
          <a:off x="6085080" y="1946160"/>
          <a:ext cx="1025640" cy="2379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930240</xdr:colOff>
      <xdr:row>6</xdr:row>
      <xdr:rowOff>212760</xdr:rowOff>
    </xdr:from>
    <xdr:to>
      <xdr:col>11</xdr:col>
      <xdr:colOff>100800</xdr:colOff>
      <xdr:row>7</xdr:row>
      <xdr:rowOff>33120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1352240" y="1946160"/>
          <a:ext cx="420480" cy="2491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930240</xdr:colOff>
      <xdr:row>6</xdr:row>
      <xdr:rowOff>190440</xdr:rowOff>
    </xdr:from>
    <xdr:to>
      <xdr:col>3</xdr:col>
      <xdr:colOff>178920</xdr:colOff>
      <xdr:row>6</xdr:row>
      <xdr:rowOff>414360</xdr:rowOff>
    </xdr:to>
    <xdr:sp macro="" textlink="">
      <xdr:nvSpPr>
        <xdr:cNvPr id="14" name="Rectangle 10">
          <a:extLst>
            <a:ext uri="{FF2B5EF4-FFF2-40B4-BE49-F238E27FC236}">
              <a16:creationId xmlns:a16="http://schemas.microsoft.com/office/drawing/2014/main" id="{00000000-0008-0000-0300-00000E000000}"/>
            </a:ext>
          </a:extLst>
        </xdr:cNvPr>
        <xdr:cNvSpPr/>
      </xdr:nvSpPr>
      <xdr:spPr>
        <a:xfrm>
          <a:off x="1867320" y="1923840"/>
          <a:ext cx="448200" cy="2239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963720</xdr:colOff>
      <xdr:row>6</xdr:row>
      <xdr:rowOff>212760</xdr:rowOff>
    </xdr:from>
    <xdr:to>
      <xdr:col>14</xdr:col>
      <xdr:colOff>10800</xdr:colOff>
      <xdr:row>7</xdr:row>
      <xdr:rowOff>10800</xdr:rowOff>
    </xdr:to>
    <xdr:sp macro="" textlink="">
      <xdr:nvSpPr>
        <xdr:cNvPr id="15" name="Rectangle 5">
          <a:extLst>
            <a:ext uri="{FF2B5EF4-FFF2-40B4-BE49-F238E27FC236}">
              <a16:creationId xmlns:a16="http://schemas.microsoft.com/office/drawing/2014/main" id="{00000000-0008-0000-0300-00000F000000}"/>
            </a:ext>
          </a:extLst>
        </xdr:cNvPr>
        <xdr:cNvSpPr/>
      </xdr:nvSpPr>
      <xdr:spPr>
        <a:xfrm>
          <a:off x="12635640" y="1946160"/>
          <a:ext cx="29664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750960</xdr:colOff>
      <xdr:row>6</xdr:row>
      <xdr:rowOff>212760</xdr:rowOff>
    </xdr:from>
    <xdr:to>
      <xdr:col>4</xdr:col>
      <xdr:colOff>100800</xdr:colOff>
      <xdr:row>7</xdr:row>
      <xdr:rowOff>10800</xdr:rowOff>
    </xdr:to>
    <xdr:sp macro="" textlink="">
      <xdr:nvSpPr>
        <xdr:cNvPr id="16" name="Rectangle 7">
          <a:extLst>
            <a:ext uri="{FF2B5EF4-FFF2-40B4-BE49-F238E27FC236}">
              <a16:creationId xmlns:a16="http://schemas.microsoft.com/office/drawing/2014/main" id="{00000000-0008-0000-0300-000010000000}"/>
            </a:ext>
          </a:extLst>
        </xdr:cNvPr>
        <xdr:cNvSpPr/>
      </xdr:nvSpPr>
      <xdr:spPr>
        <a:xfrm>
          <a:off x="2887560" y="1946160"/>
          <a:ext cx="43812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10</xdr:col>
      <xdr:colOff>963720</xdr:colOff>
      <xdr:row>0</xdr:row>
      <xdr:rowOff>190440</xdr:rowOff>
    </xdr:from>
    <xdr:to>
      <xdr:col>11</xdr:col>
      <xdr:colOff>744840</xdr:colOff>
      <xdr:row>2</xdr:row>
      <xdr:rowOff>335880</xdr:rowOff>
    </xdr:to>
    <xdr:pic>
      <xdr:nvPicPr>
        <xdr:cNvPr id="17" name="Picture 8">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
        <a:stretch/>
      </xdr:blipFill>
      <xdr:spPr>
        <a:xfrm>
          <a:off x="11385720" y="190440"/>
          <a:ext cx="1031040" cy="10216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425520</xdr:colOff>
      <xdr:row>72</xdr:row>
      <xdr:rowOff>123120</xdr:rowOff>
    </xdr:from>
    <xdr:to>
      <xdr:col>12</xdr:col>
      <xdr:colOff>940680</xdr:colOff>
      <xdr:row>72</xdr:row>
      <xdr:rowOff>124560</xdr:rowOff>
    </xdr:to>
    <xdr:sp macro="" textlink="">
      <xdr:nvSpPr>
        <xdr:cNvPr id="18" name="Line 6">
          <a:extLst>
            <a:ext uri="{FF2B5EF4-FFF2-40B4-BE49-F238E27FC236}">
              <a16:creationId xmlns:a16="http://schemas.microsoft.com/office/drawing/2014/main" id="{00000000-0008-0000-0400-000012000000}"/>
            </a:ext>
          </a:extLst>
        </xdr:cNvPr>
        <xdr:cNvSpPr/>
      </xdr:nvSpPr>
      <xdr:spPr>
        <a:xfrm>
          <a:off x="11976120" y="2446884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541080</xdr:colOff>
      <xdr:row>68</xdr:row>
      <xdr:rowOff>111960</xdr:rowOff>
    </xdr:from>
    <xdr:to>
      <xdr:col>13</xdr:col>
      <xdr:colOff>894600</xdr:colOff>
      <xdr:row>71</xdr:row>
      <xdr:rowOff>94680</xdr:rowOff>
    </xdr:to>
    <xdr:sp macro="" textlink="">
      <xdr:nvSpPr>
        <xdr:cNvPr id="19" name="Down Arrow 2">
          <a:extLst>
            <a:ext uri="{FF2B5EF4-FFF2-40B4-BE49-F238E27FC236}">
              <a16:creationId xmlns:a16="http://schemas.microsoft.com/office/drawing/2014/main" id="{00000000-0008-0000-0400-000013000000}"/>
            </a:ext>
          </a:extLst>
        </xdr:cNvPr>
        <xdr:cNvSpPr/>
      </xdr:nvSpPr>
      <xdr:spPr>
        <a:xfrm>
          <a:off x="13200120" y="23162400"/>
          <a:ext cx="353520" cy="95400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72</xdr:row>
      <xdr:rowOff>2880</xdr:rowOff>
    </xdr:from>
    <xdr:to>
      <xdr:col>12</xdr:col>
      <xdr:colOff>830520</xdr:colOff>
      <xdr:row>73</xdr:row>
      <xdr:rowOff>26280</xdr:rowOff>
    </xdr:to>
    <xdr:sp macro="" textlink="">
      <xdr:nvSpPr>
        <xdr:cNvPr id="20" name="Down Arrow 3">
          <a:extLst>
            <a:ext uri="{FF2B5EF4-FFF2-40B4-BE49-F238E27FC236}">
              <a16:creationId xmlns:a16="http://schemas.microsoft.com/office/drawing/2014/main" id="{00000000-0008-0000-0400-000014000000}"/>
            </a:ext>
          </a:extLst>
        </xdr:cNvPr>
        <xdr:cNvSpPr/>
      </xdr:nvSpPr>
      <xdr:spPr>
        <a:xfrm rot="5400000">
          <a:off x="9916560" y="22231440"/>
          <a:ext cx="34740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86</xdr:row>
      <xdr:rowOff>123120</xdr:rowOff>
    </xdr:from>
    <xdr:to>
      <xdr:col>12</xdr:col>
      <xdr:colOff>940680</xdr:colOff>
      <xdr:row>86</xdr:row>
      <xdr:rowOff>124560</xdr:rowOff>
    </xdr:to>
    <xdr:sp macro="" textlink="">
      <xdr:nvSpPr>
        <xdr:cNvPr id="21" name="Line 6">
          <a:extLst>
            <a:ext uri="{FF2B5EF4-FFF2-40B4-BE49-F238E27FC236}">
              <a16:creationId xmlns:a16="http://schemas.microsoft.com/office/drawing/2014/main" id="{00000000-0008-0000-0400-000015000000}"/>
            </a:ext>
          </a:extLst>
        </xdr:cNvPr>
        <xdr:cNvSpPr/>
      </xdr:nvSpPr>
      <xdr:spPr>
        <a:xfrm>
          <a:off x="11976120" y="2908836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608400</xdr:colOff>
      <xdr:row>82</xdr:row>
      <xdr:rowOff>78480</xdr:rowOff>
    </xdr:from>
    <xdr:to>
      <xdr:col>13</xdr:col>
      <xdr:colOff>961920</xdr:colOff>
      <xdr:row>85</xdr:row>
      <xdr:rowOff>223920</xdr:rowOff>
    </xdr:to>
    <xdr:sp macro="" textlink="">
      <xdr:nvSpPr>
        <xdr:cNvPr id="22" name="Down Arrow 6">
          <a:extLst>
            <a:ext uri="{FF2B5EF4-FFF2-40B4-BE49-F238E27FC236}">
              <a16:creationId xmlns:a16="http://schemas.microsoft.com/office/drawing/2014/main" id="{00000000-0008-0000-0400-000016000000}"/>
            </a:ext>
          </a:extLst>
        </xdr:cNvPr>
        <xdr:cNvSpPr/>
      </xdr:nvSpPr>
      <xdr:spPr>
        <a:xfrm>
          <a:off x="13267440" y="27748440"/>
          <a:ext cx="353520" cy="11170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86</xdr:row>
      <xdr:rowOff>2880</xdr:rowOff>
    </xdr:from>
    <xdr:to>
      <xdr:col>12</xdr:col>
      <xdr:colOff>830520</xdr:colOff>
      <xdr:row>87</xdr:row>
      <xdr:rowOff>25920</xdr:rowOff>
    </xdr:to>
    <xdr:sp macro="" textlink="">
      <xdr:nvSpPr>
        <xdr:cNvPr id="23" name="Down Arrow 7">
          <a:extLst>
            <a:ext uri="{FF2B5EF4-FFF2-40B4-BE49-F238E27FC236}">
              <a16:creationId xmlns:a16="http://schemas.microsoft.com/office/drawing/2014/main" id="{00000000-0008-0000-0400-000017000000}"/>
            </a:ext>
          </a:extLst>
        </xdr:cNvPr>
        <xdr:cNvSpPr/>
      </xdr:nvSpPr>
      <xdr:spPr>
        <a:xfrm rot="5400000">
          <a:off x="9916560" y="2685096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128</xdr:row>
      <xdr:rowOff>123120</xdr:rowOff>
    </xdr:from>
    <xdr:to>
      <xdr:col>12</xdr:col>
      <xdr:colOff>940680</xdr:colOff>
      <xdr:row>128</xdr:row>
      <xdr:rowOff>124560</xdr:rowOff>
    </xdr:to>
    <xdr:sp macro="" textlink="">
      <xdr:nvSpPr>
        <xdr:cNvPr id="24" name="Line 6">
          <a:extLst>
            <a:ext uri="{FF2B5EF4-FFF2-40B4-BE49-F238E27FC236}">
              <a16:creationId xmlns:a16="http://schemas.microsoft.com/office/drawing/2014/main" id="{00000000-0008-0000-0400-000018000000}"/>
            </a:ext>
          </a:extLst>
        </xdr:cNvPr>
        <xdr:cNvSpPr/>
      </xdr:nvSpPr>
      <xdr:spPr>
        <a:xfrm>
          <a:off x="11976120" y="4294728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541080</xdr:colOff>
      <xdr:row>124</xdr:row>
      <xdr:rowOff>122400</xdr:rowOff>
    </xdr:from>
    <xdr:to>
      <xdr:col>13</xdr:col>
      <xdr:colOff>894600</xdr:colOff>
      <xdr:row>127</xdr:row>
      <xdr:rowOff>94680</xdr:rowOff>
    </xdr:to>
    <xdr:sp macro="" textlink="">
      <xdr:nvSpPr>
        <xdr:cNvPr id="25" name="Down Arrow 15">
          <a:extLst>
            <a:ext uri="{FF2B5EF4-FFF2-40B4-BE49-F238E27FC236}">
              <a16:creationId xmlns:a16="http://schemas.microsoft.com/office/drawing/2014/main" id="{00000000-0008-0000-0400-000019000000}"/>
            </a:ext>
          </a:extLst>
        </xdr:cNvPr>
        <xdr:cNvSpPr/>
      </xdr:nvSpPr>
      <xdr:spPr>
        <a:xfrm>
          <a:off x="13200120" y="41651280"/>
          <a:ext cx="353520" cy="94392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128</xdr:row>
      <xdr:rowOff>2880</xdr:rowOff>
    </xdr:from>
    <xdr:to>
      <xdr:col>12</xdr:col>
      <xdr:colOff>830520</xdr:colOff>
      <xdr:row>129</xdr:row>
      <xdr:rowOff>25920</xdr:rowOff>
    </xdr:to>
    <xdr:sp macro="" textlink="">
      <xdr:nvSpPr>
        <xdr:cNvPr id="26" name="Down Arrow 16">
          <a:extLst>
            <a:ext uri="{FF2B5EF4-FFF2-40B4-BE49-F238E27FC236}">
              <a16:creationId xmlns:a16="http://schemas.microsoft.com/office/drawing/2014/main" id="{00000000-0008-0000-0400-00001A000000}"/>
            </a:ext>
          </a:extLst>
        </xdr:cNvPr>
        <xdr:cNvSpPr/>
      </xdr:nvSpPr>
      <xdr:spPr>
        <a:xfrm rot="5400000">
          <a:off x="9916560" y="4070988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173</xdr:row>
      <xdr:rowOff>123120</xdr:rowOff>
    </xdr:from>
    <xdr:to>
      <xdr:col>12</xdr:col>
      <xdr:colOff>940680</xdr:colOff>
      <xdr:row>173</xdr:row>
      <xdr:rowOff>124560</xdr:rowOff>
    </xdr:to>
    <xdr:sp macro="" textlink="">
      <xdr:nvSpPr>
        <xdr:cNvPr id="27" name="Line 6">
          <a:extLst>
            <a:ext uri="{FF2B5EF4-FFF2-40B4-BE49-F238E27FC236}">
              <a16:creationId xmlns:a16="http://schemas.microsoft.com/office/drawing/2014/main" id="{00000000-0008-0000-0400-00001B000000}"/>
            </a:ext>
          </a:extLst>
        </xdr:cNvPr>
        <xdr:cNvSpPr/>
      </xdr:nvSpPr>
      <xdr:spPr>
        <a:xfrm>
          <a:off x="11976120" y="5760648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563400</xdr:colOff>
      <xdr:row>144</xdr:row>
      <xdr:rowOff>179280</xdr:rowOff>
    </xdr:from>
    <xdr:to>
      <xdr:col>13</xdr:col>
      <xdr:colOff>916920</xdr:colOff>
      <xdr:row>172</xdr:row>
      <xdr:rowOff>95040</xdr:rowOff>
    </xdr:to>
    <xdr:sp macro="" textlink="">
      <xdr:nvSpPr>
        <xdr:cNvPr id="28" name="Down Arrow 18">
          <a:extLst>
            <a:ext uri="{FF2B5EF4-FFF2-40B4-BE49-F238E27FC236}">
              <a16:creationId xmlns:a16="http://schemas.microsoft.com/office/drawing/2014/main" id="{00000000-0008-0000-0400-00001C000000}"/>
            </a:ext>
          </a:extLst>
        </xdr:cNvPr>
        <xdr:cNvSpPr/>
      </xdr:nvSpPr>
      <xdr:spPr>
        <a:xfrm>
          <a:off x="13222440" y="48270960"/>
          <a:ext cx="353520" cy="898344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173</xdr:row>
      <xdr:rowOff>2520</xdr:rowOff>
    </xdr:from>
    <xdr:to>
      <xdr:col>12</xdr:col>
      <xdr:colOff>830520</xdr:colOff>
      <xdr:row>174</xdr:row>
      <xdr:rowOff>25920</xdr:rowOff>
    </xdr:to>
    <xdr:sp macro="" textlink="">
      <xdr:nvSpPr>
        <xdr:cNvPr id="29" name="Down Arrow 19">
          <a:extLst>
            <a:ext uri="{FF2B5EF4-FFF2-40B4-BE49-F238E27FC236}">
              <a16:creationId xmlns:a16="http://schemas.microsoft.com/office/drawing/2014/main" id="{00000000-0008-0000-0400-00001D000000}"/>
            </a:ext>
          </a:extLst>
        </xdr:cNvPr>
        <xdr:cNvSpPr/>
      </xdr:nvSpPr>
      <xdr:spPr>
        <a:xfrm rot="5400000">
          <a:off x="9916560" y="5536872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218</xdr:row>
      <xdr:rowOff>123120</xdr:rowOff>
    </xdr:from>
    <xdr:to>
      <xdr:col>12</xdr:col>
      <xdr:colOff>940680</xdr:colOff>
      <xdr:row>218</xdr:row>
      <xdr:rowOff>124560</xdr:rowOff>
    </xdr:to>
    <xdr:sp macro="" textlink="">
      <xdr:nvSpPr>
        <xdr:cNvPr id="30" name="Line 6">
          <a:extLst>
            <a:ext uri="{FF2B5EF4-FFF2-40B4-BE49-F238E27FC236}">
              <a16:creationId xmlns:a16="http://schemas.microsoft.com/office/drawing/2014/main" id="{00000000-0008-0000-0400-00001E000000}"/>
            </a:ext>
          </a:extLst>
        </xdr:cNvPr>
        <xdr:cNvSpPr/>
      </xdr:nvSpPr>
      <xdr:spPr>
        <a:xfrm>
          <a:off x="11976120" y="7226532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563400</xdr:colOff>
      <xdr:row>189</xdr:row>
      <xdr:rowOff>123120</xdr:rowOff>
    </xdr:from>
    <xdr:to>
      <xdr:col>13</xdr:col>
      <xdr:colOff>916920</xdr:colOff>
      <xdr:row>217</xdr:row>
      <xdr:rowOff>94680</xdr:rowOff>
    </xdr:to>
    <xdr:sp macro="" textlink="">
      <xdr:nvSpPr>
        <xdr:cNvPr id="31" name="Down Arrow 21">
          <a:extLst>
            <a:ext uri="{FF2B5EF4-FFF2-40B4-BE49-F238E27FC236}">
              <a16:creationId xmlns:a16="http://schemas.microsoft.com/office/drawing/2014/main" id="{00000000-0008-0000-0400-00001F000000}"/>
            </a:ext>
          </a:extLst>
        </xdr:cNvPr>
        <xdr:cNvSpPr/>
      </xdr:nvSpPr>
      <xdr:spPr>
        <a:xfrm>
          <a:off x="13222440" y="62873640"/>
          <a:ext cx="353520" cy="903924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218</xdr:row>
      <xdr:rowOff>2880</xdr:rowOff>
    </xdr:from>
    <xdr:to>
      <xdr:col>12</xdr:col>
      <xdr:colOff>830520</xdr:colOff>
      <xdr:row>219</xdr:row>
      <xdr:rowOff>26280</xdr:rowOff>
    </xdr:to>
    <xdr:sp macro="" textlink="">
      <xdr:nvSpPr>
        <xdr:cNvPr id="32" name="Down Arrow 22">
          <a:extLst>
            <a:ext uri="{FF2B5EF4-FFF2-40B4-BE49-F238E27FC236}">
              <a16:creationId xmlns:a16="http://schemas.microsoft.com/office/drawing/2014/main" id="{00000000-0008-0000-0400-000020000000}"/>
            </a:ext>
          </a:extLst>
        </xdr:cNvPr>
        <xdr:cNvSpPr/>
      </xdr:nvSpPr>
      <xdr:spPr>
        <a:xfrm rot="5400000">
          <a:off x="9916560" y="70027920"/>
          <a:ext cx="34740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263</xdr:row>
      <xdr:rowOff>123120</xdr:rowOff>
    </xdr:from>
    <xdr:to>
      <xdr:col>12</xdr:col>
      <xdr:colOff>940680</xdr:colOff>
      <xdr:row>263</xdr:row>
      <xdr:rowOff>124560</xdr:rowOff>
    </xdr:to>
    <xdr:sp macro="" textlink="">
      <xdr:nvSpPr>
        <xdr:cNvPr id="33" name="Line 6">
          <a:extLst>
            <a:ext uri="{FF2B5EF4-FFF2-40B4-BE49-F238E27FC236}">
              <a16:creationId xmlns:a16="http://schemas.microsoft.com/office/drawing/2014/main" id="{00000000-0008-0000-0400-000021000000}"/>
            </a:ext>
          </a:extLst>
        </xdr:cNvPr>
        <xdr:cNvSpPr/>
      </xdr:nvSpPr>
      <xdr:spPr>
        <a:xfrm>
          <a:off x="11976120" y="8692416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552240</xdr:colOff>
      <xdr:row>234</xdr:row>
      <xdr:rowOff>190440</xdr:rowOff>
    </xdr:from>
    <xdr:to>
      <xdr:col>13</xdr:col>
      <xdr:colOff>905760</xdr:colOff>
      <xdr:row>262</xdr:row>
      <xdr:rowOff>94680</xdr:rowOff>
    </xdr:to>
    <xdr:sp macro="" textlink="">
      <xdr:nvSpPr>
        <xdr:cNvPr id="34" name="Down Arrow 24">
          <a:extLst>
            <a:ext uri="{FF2B5EF4-FFF2-40B4-BE49-F238E27FC236}">
              <a16:creationId xmlns:a16="http://schemas.microsoft.com/office/drawing/2014/main" id="{00000000-0008-0000-0400-000022000000}"/>
            </a:ext>
          </a:extLst>
        </xdr:cNvPr>
        <xdr:cNvSpPr/>
      </xdr:nvSpPr>
      <xdr:spPr>
        <a:xfrm>
          <a:off x="13211280" y="77599800"/>
          <a:ext cx="353520" cy="89722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263</xdr:row>
      <xdr:rowOff>2880</xdr:rowOff>
    </xdr:from>
    <xdr:to>
      <xdr:col>12</xdr:col>
      <xdr:colOff>830520</xdr:colOff>
      <xdr:row>264</xdr:row>
      <xdr:rowOff>25920</xdr:rowOff>
    </xdr:to>
    <xdr:sp macro="" textlink="">
      <xdr:nvSpPr>
        <xdr:cNvPr id="35" name="Down Arrow 25">
          <a:extLst>
            <a:ext uri="{FF2B5EF4-FFF2-40B4-BE49-F238E27FC236}">
              <a16:creationId xmlns:a16="http://schemas.microsoft.com/office/drawing/2014/main" id="{00000000-0008-0000-0400-000023000000}"/>
            </a:ext>
          </a:extLst>
        </xdr:cNvPr>
        <xdr:cNvSpPr/>
      </xdr:nvSpPr>
      <xdr:spPr>
        <a:xfrm rot="5400000">
          <a:off x="9916560" y="8468676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308</xdr:row>
      <xdr:rowOff>123120</xdr:rowOff>
    </xdr:from>
    <xdr:to>
      <xdr:col>12</xdr:col>
      <xdr:colOff>940680</xdr:colOff>
      <xdr:row>308</xdr:row>
      <xdr:rowOff>124560</xdr:rowOff>
    </xdr:to>
    <xdr:sp macro="" textlink="">
      <xdr:nvSpPr>
        <xdr:cNvPr id="36" name="Line 6">
          <a:extLst>
            <a:ext uri="{FF2B5EF4-FFF2-40B4-BE49-F238E27FC236}">
              <a16:creationId xmlns:a16="http://schemas.microsoft.com/office/drawing/2014/main" id="{00000000-0008-0000-0400-000024000000}"/>
            </a:ext>
          </a:extLst>
        </xdr:cNvPr>
        <xdr:cNvSpPr/>
      </xdr:nvSpPr>
      <xdr:spPr>
        <a:xfrm>
          <a:off x="11976120" y="10158336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586080</xdr:colOff>
      <xdr:row>279</xdr:row>
      <xdr:rowOff>89640</xdr:rowOff>
    </xdr:from>
    <xdr:to>
      <xdr:col>13</xdr:col>
      <xdr:colOff>939600</xdr:colOff>
      <xdr:row>307</xdr:row>
      <xdr:rowOff>95040</xdr:rowOff>
    </xdr:to>
    <xdr:sp macro="" textlink="">
      <xdr:nvSpPr>
        <xdr:cNvPr id="37" name="Down Arrow 27">
          <a:extLst>
            <a:ext uri="{FF2B5EF4-FFF2-40B4-BE49-F238E27FC236}">
              <a16:creationId xmlns:a16="http://schemas.microsoft.com/office/drawing/2014/main" id="{00000000-0008-0000-0400-000025000000}"/>
            </a:ext>
          </a:extLst>
        </xdr:cNvPr>
        <xdr:cNvSpPr/>
      </xdr:nvSpPr>
      <xdr:spPr>
        <a:xfrm>
          <a:off x="13245120" y="92158200"/>
          <a:ext cx="353520" cy="90730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308</xdr:row>
      <xdr:rowOff>2520</xdr:rowOff>
    </xdr:from>
    <xdr:to>
      <xdr:col>12</xdr:col>
      <xdr:colOff>830520</xdr:colOff>
      <xdr:row>309</xdr:row>
      <xdr:rowOff>25920</xdr:rowOff>
    </xdr:to>
    <xdr:sp macro="" textlink="">
      <xdr:nvSpPr>
        <xdr:cNvPr id="38" name="Down Arrow 28">
          <a:extLst>
            <a:ext uri="{FF2B5EF4-FFF2-40B4-BE49-F238E27FC236}">
              <a16:creationId xmlns:a16="http://schemas.microsoft.com/office/drawing/2014/main" id="{00000000-0008-0000-0400-000026000000}"/>
            </a:ext>
          </a:extLst>
        </xdr:cNvPr>
        <xdr:cNvSpPr/>
      </xdr:nvSpPr>
      <xdr:spPr>
        <a:xfrm rot="5400000">
          <a:off x="9916560" y="9934560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353</xdr:row>
      <xdr:rowOff>123120</xdr:rowOff>
    </xdr:from>
    <xdr:to>
      <xdr:col>12</xdr:col>
      <xdr:colOff>940680</xdr:colOff>
      <xdr:row>353</xdr:row>
      <xdr:rowOff>124560</xdr:rowOff>
    </xdr:to>
    <xdr:sp macro="" textlink="">
      <xdr:nvSpPr>
        <xdr:cNvPr id="39" name="Line 6">
          <a:extLst>
            <a:ext uri="{FF2B5EF4-FFF2-40B4-BE49-F238E27FC236}">
              <a16:creationId xmlns:a16="http://schemas.microsoft.com/office/drawing/2014/main" id="{00000000-0008-0000-0400-000027000000}"/>
            </a:ext>
          </a:extLst>
        </xdr:cNvPr>
        <xdr:cNvSpPr/>
      </xdr:nvSpPr>
      <xdr:spPr>
        <a:xfrm>
          <a:off x="11976120" y="11624220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552240</xdr:colOff>
      <xdr:row>325</xdr:row>
      <xdr:rowOff>0</xdr:rowOff>
    </xdr:from>
    <xdr:to>
      <xdr:col>13</xdr:col>
      <xdr:colOff>905760</xdr:colOff>
      <xdr:row>352</xdr:row>
      <xdr:rowOff>95040</xdr:rowOff>
    </xdr:to>
    <xdr:sp macro="" textlink="">
      <xdr:nvSpPr>
        <xdr:cNvPr id="40" name="Down Arrow 30">
          <a:extLst>
            <a:ext uri="{FF2B5EF4-FFF2-40B4-BE49-F238E27FC236}">
              <a16:creationId xmlns:a16="http://schemas.microsoft.com/office/drawing/2014/main" id="{00000000-0008-0000-0400-000028000000}"/>
            </a:ext>
          </a:extLst>
        </xdr:cNvPr>
        <xdr:cNvSpPr/>
      </xdr:nvSpPr>
      <xdr:spPr>
        <a:xfrm>
          <a:off x="13211280" y="107051400"/>
          <a:ext cx="353520" cy="883872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353</xdr:row>
      <xdr:rowOff>2880</xdr:rowOff>
    </xdr:from>
    <xdr:to>
      <xdr:col>12</xdr:col>
      <xdr:colOff>830520</xdr:colOff>
      <xdr:row>354</xdr:row>
      <xdr:rowOff>26280</xdr:rowOff>
    </xdr:to>
    <xdr:sp macro="" textlink="">
      <xdr:nvSpPr>
        <xdr:cNvPr id="41" name="Down Arrow 31">
          <a:extLst>
            <a:ext uri="{FF2B5EF4-FFF2-40B4-BE49-F238E27FC236}">
              <a16:creationId xmlns:a16="http://schemas.microsoft.com/office/drawing/2014/main" id="{00000000-0008-0000-0400-000029000000}"/>
            </a:ext>
          </a:extLst>
        </xdr:cNvPr>
        <xdr:cNvSpPr/>
      </xdr:nvSpPr>
      <xdr:spPr>
        <a:xfrm rot="5400000">
          <a:off x="9916560" y="114004800"/>
          <a:ext cx="34740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13</xdr:row>
      <xdr:rowOff>123120</xdr:rowOff>
    </xdr:from>
    <xdr:to>
      <xdr:col>12</xdr:col>
      <xdr:colOff>940680</xdr:colOff>
      <xdr:row>13</xdr:row>
      <xdr:rowOff>124560</xdr:rowOff>
    </xdr:to>
    <xdr:sp macro="" textlink="">
      <xdr:nvSpPr>
        <xdr:cNvPr id="42" name="Line 6">
          <a:extLst>
            <a:ext uri="{FF2B5EF4-FFF2-40B4-BE49-F238E27FC236}">
              <a16:creationId xmlns:a16="http://schemas.microsoft.com/office/drawing/2014/main" id="{00000000-0008-0000-0400-00002A000000}"/>
            </a:ext>
          </a:extLst>
        </xdr:cNvPr>
        <xdr:cNvSpPr/>
      </xdr:nvSpPr>
      <xdr:spPr>
        <a:xfrm>
          <a:off x="11976120" y="497124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552240</xdr:colOff>
      <xdr:row>9</xdr:row>
      <xdr:rowOff>145800</xdr:rowOff>
    </xdr:from>
    <xdr:to>
      <xdr:col>13</xdr:col>
      <xdr:colOff>905760</xdr:colOff>
      <xdr:row>12</xdr:row>
      <xdr:rowOff>95040</xdr:rowOff>
    </xdr:to>
    <xdr:sp macro="" textlink="">
      <xdr:nvSpPr>
        <xdr:cNvPr id="43" name="Down Arrow 33">
          <a:extLst>
            <a:ext uri="{FF2B5EF4-FFF2-40B4-BE49-F238E27FC236}">
              <a16:creationId xmlns:a16="http://schemas.microsoft.com/office/drawing/2014/main" id="{00000000-0008-0000-0400-00002B000000}"/>
            </a:ext>
          </a:extLst>
        </xdr:cNvPr>
        <xdr:cNvSpPr/>
      </xdr:nvSpPr>
      <xdr:spPr>
        <a:xfrm>
          <a:off x="13211280" y="3698280"/>
          <a:ext cx="353520" cy="9208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13</xdr:row>
      <xdr:rowOff>2520</xdr:rowOff>
    </xdr:from>
    <xdr:to>
      <xdr:col>12</xdr:col>
      <xdr:colOff>830520</xdr:colOff>
      <xdr:row>14</xdr:row>
      <xdr:rowOff>25920</xdr:rowOff>
    </xdr:to>
    <xdr:sp macro="" textlink="">
      <xdr:nvSpPr>
        <xdr:cNvPr id="44" name="Down Arrow 34">
          <a:extLst>
            <a:ext uri="{FF2B5EF4-FFF2-40B4-BE49-F238E27FC236}">
              <a16:creationId xmlns:a16="http://schemas.microsoft.com/office/drawing/2014/main" id="{00000000-0008-0000-0400-00002C000000}"/>
            </a:ext>
          </a:extLst>
        </xdr:cNvPr>
        <xdr:cNvSpPr/>
      </xdr:nvSpPr>
      <xdr:spPr>
        <a:xfrm rot="5400000">
          <a:off x="9916560" y="273348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58</xdr:row>
      <xdr:rowOff>123120</xdr:rowOff>
    </xdr:from>
    <xdr:to>
      <xdr:col>12</xdr:col>
      <xdr:colOff>940680</xdr:colOff>
      <xdr:row>58</xdr:row>
      <xdr:rowOff>124560</xdr:rowOff>
    </xdr:to>
    <xdr:sp macro="" textlink="">
      <xdr:nvSpPr>
        <xdr:cNvPr id="45" name="Line 6">
          <a:extLst>
            <a:ext uri="{FF2B5EF4-FFF2-40B4-BE49-F238E27FC236}">
              <a16:creationId xmlns:a16="http://schemas.microsoft.com/office/drawing/2014/main" id="{00000000-0008-0000-0400-00002D000000}"/>
            </a:ext>
          </a:extLst>
        </xdr:cNvPr>
        <xdr:cNvSpPr/>
      </xdr:nvSpPr>
      <xdr:spPr>
        <a:xfrm>
          <a:off x="11976120" y="1963008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541080</xdr:colOff>
      <xdr:row>30</xdr:row>
      <xdr:rowOff>0</xdr:rowOff>
    </xdr:from>
    <xdr:to>
      <xdr:col>13</xdr:col>
      <xdr:colOff>906480</xdr:colOff>
      <xdr:row>57</xdr:row>
      <xdr:rowOff>95040</xdr:rowOff>
    </xdr:to>
    <xdr:sp macro="" textlink="">
      <xdr:nvSpPr>
        <xdr:cNvPr id="46" name="Down Arrow 36">
          <a:extLst>
            <a:ext uri="{FF2B5EF4-FFF2-40B4-BE49-F238E27FC236}">
              <a16:creationId xmlns:a16="http://schemas.microsoft.com/office/drawing/2014/main" id="{00000000-0008-0000-0400-00002E000000}"/>
            </a:ext>
          </a:extLst>
        </xdr:cNvPr>
        <xdr:cNvSpPr/>
      </xdr:nvSpPr>
      <xdr:spPr>
        <a:xfrm>
          <a:off x="13200120" y="10439280"/>
          <a:ext cx="365400" cy="88390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58</xdr:row>
      <xdr:rowOff>24480</xdr:rowOff>
    </xdr:from>
    <xdr:to>
      <xdr:col>12</xdr:col>
      <xdr:colOff>830520</xdr:colOff>
      <xdr:row>59</xdr:row>
      <xdr:rowOff>48600</xdr:rowOff>
    </xdr:to>
    <xdr:sp macro="" textlink="">
      <xdr:nvSpPr>
        <xdr:cNvPr id="47" name="Down Arrow 37">
          <a:extLst>
            <a:ext uri="{FF2B5EF4-FFF2-40B4-BE49-F238E27FC236}">
              <a16:creationId xmlns:a16="http://schemas.microsoft.com/office/drawing/2014/main" id="{00000000-0008-0000-0400-00002F000000}"/>
            </a:ext>
          </a:extLst>
        </xdr:cNvPr>
        <xdr:cNvSpPr/>
      </xdr:nvSpPr>
      <xdr:spPr>
        <a:xfrm rot="5400000">
          <a:off x="9916200" y="17414640"/>
          <a:ext cx="34812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398</xdr:row>
      <xdr:rowOff>123120</xdr:rowOff>
    </xdr:from>
    <xdr:to>
      <xdr:col>12</xdr:col>
      <xdr:colOff>940680</xdr:colOff>
      <xdr:row>398</xdr:row>
      <xdr:rowOff>124560</xdr:rowOff>
    </xdr:to>
    <xdr:sp macro="" textlink="">
      <xdr:nvSpPr>
        <xdr:cNvPr id="48" name="Line 6">
          <a:extLst>
            <a:ext uri="{FF2B5EF4-FFF2-40B4-BE49-F238E27FC236}">
              <a16:creationId xmlns:a16="http://schemas.microsoft.com/office/drawing/2014/main" id="{00000000-0008-0000-0400-000030000000}"/>
            </a:ext>
          </a:extLst>
        </xdr:cNvPr>
        <xdr:cNvSpPr/>
      </xdr:nvSpPr>
      <xdr:spPr>
        <a:xfrm>
          <a:off x="11976120" y="13090104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552240</xdr:colOff>
      <xdr:row>370</xdr:row>
      <xdr:rowOff>0</xdr:rowOff>
    </xdr:from>
    <xdr:to>
      <xdr:col>13</xdr:col>
      <xdr:colOff>905760</xdr:colOff>
      <xdr:row>397</xdr:row>
      <xdr:rowOff>95040</xdr:rowOff>
    </xdr:to>
    <xdr:sp macro="" textlink="">
      <xdr:nvSpPr>
        <xdr:cNvPr id="49" name="Down Arrow 51">
          <a:extLst>
            <a:ext uri="{FF2B5EF4-FFF2-40B4-BE49-F238E27FC236}">
              <a16:creationId xmlns:a16="http://schemas.microsoft.com/office/drawing/2014/main" id="{00000000-0008-0000-0400-000031000000}"/>
            </a:ext>
          </a:extLst>
        </xdr:cNvPr>
        <xdr:cNvSpPr/>
      </xdr:nvSpPr>
      <xdr:spPr>
        <a:xfrm>
          <a:off x="13211280" y="121710240"/>
          <a:ext cx="353520" cy="88390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398</xdr:row>
      <xdr:rowOff>2880</xdr:rowOff>
    </xdr:from>
    <xdr:to>
      <xdr:col>12</xdr:col>
      <xdr:colOff>830520</xdr:colOff>
      <xdr:row>399</xdr:row>
      <xdr:rowOff>25920</xdr:rowOff>
    </xdr:to>
    <xdr:sp macro="" textlink="">
      <xdr:nvSpPr>
        <xdr:cNvPr id="50" name="Down Arrow 52">
          <a:extLst>
            <a:ext uri="{FF2B5EF4-FFF2-40B4-BE49-F238E27FC236}">
              <a16:creationId xmlns:a16="http://schemas.microsoft.com/office/drawing/2014/main" id="{00000000-0008-0000-0400-000032000000}"/>
            </a:ext>
          </a:extLst>
        </xdr:cNvPr>
        <xdr:cNvSpPr/>
      </xdr:nvSpPr>
      <xdr:spPr>
        <a:xfrm rot="5400000">
          <a:off x="9916560" y="12866364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443</xdr:row>
      <xdr:rowOff>123120</xdr:rowOff>
    </xdr:from>
    <xdr:to>
      <xdr:col>12</xdr:col>
      <xdr:colOff>940680</xdr:colOff>
      <xdr:row>443</xdr:row>
      <xdr:rowOff>124560</xdr:rowOff>
    </xdr:to>
    <xdr:sp macro="" textlink="">
      <xdr:nvSpPr>
        <xdr:cNvPr id="51" name="Line 6">
          <a:extLst>
            <a:ext uri="{FF2B5EF4-FFF2-40B4-BE49-F238E27FC236}">
              <a16:creationId xmlns:a16="http://schemas.microsoft.com/office/drawing/2014/main" id="{00000000-0008-0000-0400-000033000000}"/>
            </a:ext>
          </a:extLst>
        </xdr:cNvPr>
        <xdr:cNvSpPr/>
      </xdr:nvSpPr>
      <xdr:spPr>
        <a:xfrm>
          <a:off x="11976120" y="14556024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552240</xdr:colOff>
      <xdr:row>415</xdr:row>
      <xdr:rowOff>0</xdr:rowOff>
    </xdr:from>
    <xdr:to>
      <xdr:col>13</xdr:col>
      <xdr:colOff>905760</xdr:colOff>
      <xdr:row>442</xdr:row>
      <xdr:rowOff>95040</xdr:rowOff>
    </xdr:to>
    <xdr:sp macro="" textlink="">
      <xdr:nvSpPr>
        <xdr:cNvPr id="52" name="Down Arrow 55">
          <a:extLst>
            <a:ext uri="{FF2B5EF4-FFF2-40B4-BE49-F238E27FC236}">
              <a16:creationId xmlns:a16="http://schemas.microsoft.com/office/drawing/2014/main" id="{00000000-0008-0000-0400-000034000000}"/>
            </a:ext>
          </a:extLst>
        </xdr:cNvPr>
        <xdr:cNvSpPr/>
      </xdr:nvSpPr>
      <xdr:spPr>
        <a:xfrm>
          <a:off x="13211280" y="136369080"/>
          <a:ext cx="353520" cy="88390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443</xdr:row>
      <xdr:rowOff>2520</xdr:rowOff>
    </xdr:from>
    <xdr:to>
      <xdr:col>12</xdr:col>
      <xdr:colOff>830520</xdr:colOff>
      <xdr:row>444</xdr:row>
      <xdr:rowOff>25920</xdr:rowOff>
    </xdr:to>
    <xdr:sp macro="" textlink="">
      <xdr:nvSpPr>
        <xdr:cNvPr id="53" name="Down Arrow 56">
          <a:extLst>
            <a:ext uri="{FF2B5EF4-FFF2-40B4-BE49-F238E27FC236}">
              <a16:creationId xmlns:a16="http://schemas.microsoft.com/office/drawing/2014/main" id="{00000000-0008-0000-0400-000035000000}"/>
            </a:ext>
          </a:extLst>
        </xdr:cNvPr>
        <xdr:cNvSpPr/>
      </xdr:nvSpPr>
      <xdr:spPr>
        <a:xfrm rot="5400000">
          <a:off x="9916560" y="14332248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488</xdr:row>
      <xdr:rowOff>123120</xdr:rowOff>
    </xdr:from>
    <xdr:to>
      <xdr:col>12</xdr:col>
      <xdr:colOff>940680</xdr:colOff>
      <xdr:row>488</xdr:row>
      <xdr:rowOff>124560</xdr:rowOff>
    </xdr:to>
    <xdr:sp macro="" textlink="">
      <xdr:nvSpPr>
        <xdr:cNvPr id="54" name="Line 6">
          <a:extLst>
            <a:ext uri="{FF2B5EF4-FFF2-40B4-BE49-F238E27FC236}">
              <a16:creationId xmlns:a16="http://schemas.microsoft.com/office/drawing/2014/main" id="{00000000-0008-0000-0400-000036000000}"/>
            </a:ext>
          </a:extLst>
        </xdr:cNvPr>
        <xdr:cNvSpPr/>
      </xdr:nvSpPr>
      <xdr:spPr>
        <a:xfrm>
          <a:off x="11976120" y="16021908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529920</xdr:colOff>
      <xdr:row>460</xdr:row>
      <xdr:rowOff>0</xdr:rowOff>
    </xdr:from>
    <xdr:to>
      <xdr:col>13</xdr:col>
      <xdr:colOff>883440</xdr:colOff>
      <xdr:row>487</xdr:row>
      <xdr:rowOff>95040</xdr:rowOff>
    </xdr:to>
    <xdr:sp macro="" textlink="">
      <xdr:nvSpPr>
        <xdr:cNvPr id="55" name="Down Arrow 59">
          <a:extLst>
            <a:ext uri="{FF2B5EF4-FFF2-40B4-BE49-F238E27FC236}">
              <a16:creationId xmlns:a16="http://schemas.microsoft.com/office/drawing/2014/main" id="{00000000-0008-0000-0400-000037000000}"/>
            </a:ext>
          </a:extLst>
        </xdr:cNvPr>
        <xdr:cNvSpPr/>
      </xdr:nvSpPr>
      <xdr:spPr>
        <a:xfrm>
          <a:off x="13188960" y="151028280"/>
          <a:ext cx="353520" cy="88390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488</xdr:row>
      <xdr:rowOff>2880</xdr:rowOff>
    </xdr:from>
    <xdr:to>
      <xdr:col>12</xdr:col>
      <xdr:colOff>830520</xdr:colOff>
      <xdr:row>489</xdr:row>
      <xdr:rowOff>25920</xdr:rowOff>
    </xdr:to>
    <xdr:sp macro="" textlink="">
      <xdr:nvSpPr>
        <xdr:cNvPr id="56" name="Down Arrow 60">
          <a:extLst>
            <a:ext uri="{FF2B5EF4-FFF2-40B4-BE49-F238E27FC236}">
              <a16:creationId xmlns:a16="http://schemas.microsoft.com/office/drawing/2014/main" id="{00000000-0008-0000-0400-000038000000}"/>
            </a:ext>
          </a:extLst>
        </xdr:cNvPr>
        <xdr:cNvSpPr/>
      </xdr:nvSpPr>
      <xdr:spPr>
        <a:xfrm rot="5400000">
          <a:off x="9916560" y="15798168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533</xdr:row>
      <xdr:rowOff>123120</xdr:rowOff>
    </xdr:from>
    <xdr:to>
      <xdr:col>12</xdr:col>
      <xdr:colOff>940680</xdr:colOff>
      <xdr:row>533</xdr:row>
      <xdr:rowOff>124560</xdr:rowOff>
    </xdr:to>
    <xdr:sp macro="" textlink="">
      <xdr:nvSpPr>
        <xdr:cNvPr id="57" name="Line 6">
          <a:extLst>
            <a:ext uri="{FF2B5EF4-FFF2-40B4-BE49-F238E27FC236}">
              <a16:creationId xmlns:a16="http://schemas.microsoft.com/office/drawing/2014/main" id="{00000000-0008-0000-0400-000039000000}"/>
            </a:ext>
          </a:extLst>
        </xdr:cNvPr>
        <xdr:cNvSpPr/>
      </xdr:nvSpPr>
      <xdr:spPr>
        <a:xfrm>
          <a:off x="11976120" y="17487828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563400</xdr:colOff>
      <xdr:row>505</xdr:row>
      <xdr:rowOff>0</xdr:rowOff>
    </xdr:from>
    <xdr:to>
      <xdr:col>13</xdr:col>
      <xdr:colOff>916920</xdr:colOff>
      <xdr:row>532</xdr:row>
      <xdr:rowOff>95040</xdr:rowOff>
    </xdr:to>
    <xdr:sp macro="" textlink="">
      <xdr:nvSpPr>
        <xdr:cNvPr id="58" name="Down Arrow 63">
          <a:extLst>
            <a:ext uri="{FF2B5EF4-FFF2-40B4-BE49-F238E27FC236}">
              <a16:creationId xmlns:a16="http://schemas.microsoft.com/office/drawing/2014/main" id="{00000000-0008-0000-0400-00003A000000}"/>
            </a:ext>
          </a:extLst>
        </xdr:cNvPr>
        <xdr:cNvSpPr/>
      </xdr:nvSpPr>
      <xdr:spPr>
        <a:xfrm>
          <a:off x="13222440" y="165687120"/>
          <a:ext cx="353520" cy="88390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533</xdr:row>
      <xdr:rowOff>2520</xdr:rowOff>
    </xdr:from>
    <xdr:to>
      <xdr:col>12</xdr:col>
      <xdr:colOff>830520</xdr:colOff>
      <xdr:row>534</xdr:row>
      <xdr:rowOff>25920</xdr:rowOff>
    </xdr:to>
    <xdr:sp macro="" textlink="">
      <xdr:nvSpPr>
        <xdr:cNvPr id="59" name="Down Arrow 64">
          <a:extLst>
            <a:ext uri="{FF2B5EF4-FFF2-40B4-BE49-F238E27FC236}">
              <a16:creationId xmlns:a16="http://schemas.microsoft.com/office/drawing/2014/main" id="{00000000-0008-0000-0400-00003B000000}"/>
            </a:ext>
          </a:extLst>
        </xdr:cNvPr>
        <xdr:cNvSpPr/>
      </xdr:nvSpPr>
      <xdr:spPr>
        <a:xfrm rot="5400000">
          <a:off x="9916560" y="17264052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578</xdr:row>
      <xdr:rowOff>123120</xdr:rowOff>
    </xdr:from>
    <xdr:to>
      <xdr:col>12</xdr:col>
      <xdr:colOff>940680</xdr:colOff>
      <xdr:row>578</xdr:row>
      <xdr:rowOff>124560</xdr:rowOff>
    </xdr:to>
    <xdr:sp macro="" textlink="">
      <xdr:nvSpPr>
        <xdr:cNvPr id="60" name="Line 6">
          <a:extLst>
            <a:ext uri="{FF2B5EF4-FFF2-40B4-BE49-F238E27FC236}">
              <a16:creationId xmlns:a16="http://schemas.microsoft.com/office/drawing/2014/main" id="{00000000-0008-0000-0400-00003C000000}"/>
            </a:ext>
          </a:extLst>
        </xdr:cNvPr>
        <xdr:cNvSpPr/>
      </xdr:nvSpPr>
      <xdr:spPr>
        <a:xfrm>
          <a:off x="11976120" y="18953712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552240</xdr:colOff>
      <xdr:row>550</xdr:row>
      <xdr:rowOff>0</xdr:rowOff>
    </xdr:from>
    <xdr:to>
      <xdr:col>13</xdr:col>
      <xdr:colOff>905760</xdr:colOff>
      <xdr:row>577</xdr:row>
      <xdr:rowOff>95040</xdr:rowOff>
    </xdr:to>
    <xdr:sp macro="" textlink="">
      <xdr:nvSpPr>
        <xdr:cNvPr id="61" name="Down Arrow 67">
          <a:extLst>
            <a:ext uri="{FF2B5EF4-FFF2-40B4-BE49-F238E27FC236}">
              <a16:creationId xmlns:a16="http://schemas.microsoft.com/office/drawing/2014/main" id="{00000000-0008-0000-0400-00003D000000}"/>
            </a:ext>
          </a:extLst>
        </xdr:cNvPr>
        <xdr:cNvSpPr/>
      </xdr:nvSpPr>
      <xdr:spPr>
        <a:xfrm>
          <a:off x="13211280" y="180346320"/>
          <a:ext cx="353520" cy="883872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578</xdr:row>
      <xdr:rowOff>2880</xdr:rowOff>
    </xdr:from>
    <xdr:to>
      <xdr:col>12</xdr:col>
      <xdr:colOff>830520</xdr:colOff>
      <xdr:row>579</xdr:row>
      <xdr:rowOff>26280</xdr:rowOff>
    </xdr:to>
    <xdr:sp macro="" textlink="">
      <xdr:nvSpPr>
        <xdr:cNvPr id="62" name="Down Arrow 68">
          <a:extLst>
            <a:ext uri="{FF2B5EF4-FFF2-40B4-BE49-F238E27FC236}">
              <a16:creationId xmlns:a16="http://schemas.microsoft.com/office/drawing/2014/main" id="{00000000-0008-0000-0400-00003E000000}"/>
            </a:ext>
          </a:extLst>
        </xdr:cNvPr>
        <xdr:cNvSpPr/>
      </xdr:nvSpPr>
      <xdr:spPr>
        <a:xfrm rot="5400000">
          <a:off x="9916560" y="187299720"/>
          <a:ext cx="34740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623</xdr:row>
      <xdr:rowOff>123120</xdr:rowOff>
    </xdr:from>
    <xdr:to>
      <xdr:col>12</xdr:col>
      <xdr:colOff>940680</xdr:colOff>
      <xdr:row>623</xdr:row>
      <xdr:rowOff>124560</xdr:rowOff>
    </xdr:to>
    <xdr:sp macro="" textlink="">
      <xdr:nvSpPr>
        <xdr:cNvPr id="63" name="Line 6">
          <a:extLst>
            <a:ext uri="{FF2B5EF4-FFF2-40B4-BE49-F238E27FC236}">
              <a16:creationId xmlns:a16="http://schemas.microsoft.com/office/drawing/2014/main" id="{00000000-0008-0000-0400-00003F000000}"/>
            </a:ext>
          </a:extLst>
        </xdr:cNvPr>
        <xdr:cNvSpPr/>
      </xdr:nvSpPr>
      <xdr:spPr>
        <a:xfrm>
          <a:off x="11976120" y="20419596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597240</xdr:colOff>
      <xdr:row>595</xdr:row>
      <xdr:rowOff>0</xdr:rowOff>
    </xdr:from>
    <xdr:to>
      <xdr:col>13</xdr:col>
      <xdr:colOff>950760</xdr:colOff>
      <xdr:row>622</xdr:row>
      <xdr:rowOff>95040</xdr:rowOff>
    </xdr:to>
    <xdr:sp macro="" textlink="">
      <xdr:nvSpPr>
        <xdr:cNvPr id="64" name="Down Arrow 71">
          <a:extLst>
            <a:ext uri="{FF2B5EF4-FFF2-40B4-BE49-F238E27FC236}">
              <a16:creationId xmlns:a16="http://schemas.microsoft.com/office/drawing/2014/main" id="{00000000-0008-0000-0400-000040000000}"/>
            </a:ext>
          </a:extLst>
        </xdr:cNvPr>
        <xdr:cNvSpPr/>
      </xdr:nvSpPr>
      <xdr:spPr>
        <a:xfrm>
          <a:off x="13256280" y="195005160"/>
          <a:ext cx="353520" cy="88390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623</xdr:row>
      <xdr:rowOff>2880</xdr:rowOff>
    </xdr:from>
    <xdr:to>
      <xdr:col>12</xdr:col>
      <xdr:colOff>830520</xdr:colOff>
      <xdr:row>624</xdr:row>
      <xdr:rowOff>25920</xdr:rowOff>
    </xdr:to>
    <xdr:sp macro="" textlink="">
      <xdr:nvSpPr>
        <xdr:cNvPr id="65" name="Down Arrow 72">
          <a:extLst>
            <a:ext uri="{FF2B5EF4-FFF2-40B4-BE49-F238E27FC236}">
              <a16:creationId xmlns:a16="http://schemas.microsoft.com/office/drawing/2014/main" id="{00000000-0008-0000-0400-000041000000}"/>
            </a:ext>
          </a:extLst>
        </xdr:cNvPr>
        <xdr:cNvSpPr/>
      </xdr:nvSpPr>
      <xdr:spPr>
        <a:xfrm rot="5400000">
          <a:off x="9916560" y="20195856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100</xdr:row>
      <xdr:rowOff>123120</xdr:rowOff>
    </xdr:from>
    <xdr:to>
      <xdr:col>12</xdr:col>
      <xdr:colOff>940680</xdr:colOff>
      <xdr:row>100</xdr:row>
      <xdr:rowOff>124560</xdr:rowOff>
    </xdr:to>
    <xdr:sp macro="" textlink="">
      <xdr:nvSpPr>
        <xdr:cNvPr id="66" name="Line 6">
          <a:extLst>
            <a:ext uri="{FF2B5EF4-FFF2-40B4-BE49-F238E27FC236}">
              <a16:creationId xmlns:a16="http://schemas.microsoft.com/office/drawing/2014/main" id="{00000000-0008-0000-0400-000042000000}"/>
            </a:ext>
          </a:extLst>
        </xdr:cNvPr>
        <xdr:cNvSpPr/>
      </xdr:nvSpPr>
      <xdr:spPr>
        <a:xfrm>
          <a:off x="11976120" y="3370824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513720</xdr:colOff>
      <xdr:row>96</xdr:row>
      <xdr:rowOff>54360</xdr:rowOff>
    </xdr:from>
    <xdr:to>
      <xdr:col>13</xdr:col>
      <xdr:colOff>867240</xdr:colOff>
      <xdr:row>99</xdr:row>
      <xdr:rowOff>203760</xdr:rowOff>
    </xdr:to>
    <xdr:sp macro="" textlink="">
      <xdr:nvSpPr>
        <xdr:cNvPr id="67" name="Down Arrow 73">
          <a:extLst>
            <a:ext uri="{FF2B5EF4-FFF2-40B4-BE49-F238E27FC236}">
              <a16:creationId xmlns:a16="http://schemas.microsoft.com/office/drawing/2014/main" id="{00000000-0008-0000-0400-000043000000}"/>
            </a:ext>
          </a:extLst>
        </xdr:cNvPr>
        <xdr:cNvSpPr/>
      </xdr:nvSpPr>
      <xdr:spPr>
        <a:xfrm>
          <a:off x="13172760" y="32343840"/>
          <a:ext cx="353520" cy="112104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100</xdr:row>
      <xdr:rowOff>2520</xdr:rowOff>
    </xdr:from>
    <xdr:to>
      <xdr:col>12</xdr:col>
      <xdr:colOff>830520</xdr:colOff>
      <xdr:row>101</xdr:row>
      <xdr:rowOff>25920</xdr:rowOff>
    </xdr:to>
    <xdr:sp macro="" textlink="">
      <xdr:nvSpPr>
        <xdr:cNvPr id="68" name="Down Arrow 74">
          <a:extLst>
            <a:ext uri="{FF2B5EF4-FFF2-40B4-BE49-F238E27FC236}">
              <a16:creationId xmlns:a16="http://schemas.microsoft.com/office/drawing/2014/main" id="{00000000-0008-0000-0400-000044000000}"/>
            </a:ext>
          </a:extLst>
        </xdr:cNvPr>
        <xdr:cNvSpPr/>
      </xdr:nvSpPr>
      <xdr:spPr>
        <a:xfrm rot="5400000">
          <a:off x="9916560" y="3147048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12</xdr:col>
      <xdr:colOff>425520</xdr:colOff>
      <xdr:row>114</xdr:row>
      <xdr:rowOff>123120</xdr:rowOff>
    </xdr:from>
    <xdr:to>
      <xdr:col>12</xdr:col>
      <xdr:colOff>940680</xdr:colOff>
      <xdr:row>114</xdr:row>
      <xdr:rowOff>124560</xdr:rowOff>
    </xdr:to>
    <xdr:sp macro="" textlink="">
      <xdr:nvSpPr>
        <xdr:cNvPr id="69" name="Line 6">
          <a:extLst>
            <a:ext uri="{FF2B5EF4-FFF2-40B4-BE49-F238E27FC236}">
              <a16:creationId xmlns:a16="http://schemas.microsoft.com/office/drawing/2014/main" id="{00000000-0008-0000-0400-000045000000}"/>
            </a:ext>
          </a:extLst>
        </xdr:cNvPr>
        <xdr:cNvSpPr/>
      </xdr:nvSpPr>
      <xdr:spPr>
        <a:xfrm>
          <a:off x="11976120" y="38327760"/>
          <a:ext cx="515160" cy="144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13</xdr:col>
      <xdr:colOff>541080</xdr:colOff>
      <xdr:row>110</xdr:row>
      <xdr:rowOff>136080</xdr:rowOff>
    </xdr:from>
    <xdr:to>
      <xdr:col>13</xdr:col>
      <xdr:colOff>894600</xdr:colOff>
      <xdr:row>113</xdr:row>
      <xdr:rowOff>95040</xdr:rowOff>
    </xdr:to>
    <xdr:sp macro="" textlink="">
      <xdr:nvSpPr>
        <xdr:cNvPr id="70" name="Down Arrow 76">
          <a:extLst>
            <a:ext uri="{FF2B5EF4-FFF2-40B4-BE49-F238E27FC236}">
              <a16:creationId xmlns:a16="http://schemas.microsoft.com/office/drawing/2014/main" id="{00000000-0008-0000-0400-000046000000}"/>
            </a:ext>
          </a:extLst>
        </xdr:cNvPr>
        <xdr:cNvSpPr/>
      </xdr:nvSpPr>
      <xdr:spPr>
        <a:xfrm>
          <a:off x="13200120" y="37045440"/>
          <a:ext cx="353520" cy="93024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114</xdr:row>
      <xdr:rowOff>2520</xdr:rowOff>
    </xdr:from>
    <xdr:to>
      <xdr:col>12</xdr:col>
      <xdr:colOff>830520</xdr:colOff>
      <xdr:row>115</xdr:row>
      <xdr:rowOff>25920</xdr:rowOff>
    </xdr:to>
    <xdr:sp macro="" textlink="">
      <xdr:nvSpPr>
        <xdr:cNvPr id="71" name="Down Arrow 77">
          <a:extLst>
            <a:ext uri="{FF2B5EF4-FFF2-40B4-BE49-F238E27FC236}">
              <a16:creationId xmlns:a16="http://schemas.microsoft.com/office/drawing/2014/main" id="{00000000-0008-0000-0400-000047000000}"/>
            </a:ext>
          </a:extLst>
        </xdr:cNvPr>
        <xdr:cNvSpPr/>
      </xdr:nvSpPr>
      <xdr:spPr>
        <a:xfrm rot="5400000">
          <a:off x="9916560" y="3609000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13</xdr:col>
      <xdr:colOff>111960</xdr:colOff>
      <xdr:row>0</xdr:row>
      <xdr:rowOff>257760</xdr:rowOff>
    </xdr:from>
    <xdr:to>
      <xdr:col>13</xdr:col>
      <xdr:colOff>1069920</xdr:colOff>
      <xdr:row>3</xdr:row>
      <xdr:rowOff>122760</xdr:rowOff>
    </xdr:to>
    <xdr:pic>
      <xdr:nvPicPr>
        <xdr:cNvPr id="72" name="Picture 57">
          <a:extLst>
            <a:ext uri="{FF2B5EF4-FFF2-40B4-BE49-F238E27FC236}">
              <a16:creationId xmlns:a16="http://schemas.microsoft.com/office/drawing/2014/main" id="{00000000-0008-0000-0400-000048000000}"/>
            </a:ext>
          </a:extLst>
        </xdr:cNvPr>
        <xdr:cNvPicPr/>
      </xdr:nvPicPr>
      <xdr:blipFill>
        <a:blip xmlns:r="http://schemas.openxmlformats.org/officeDocument/2006/relationships" r:embed="rId1"/>
        <a:stretch/>
      </xdr:blipFill>
      <xdr:spPr>
        <a:xfrm>
          <a:off x="12771000" y="257760"/>
          <a:ext cx="957960" cy="10267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Rec1055" descr="Hide Details">
          <a:extLst>
            <a:ext uri="{FF2B5EF4-FFF2-40B4-BE49-F238E27FC236}">
              <a16:creationId xmlns:a16="http://schemas.microsoft.com/office/drawing/2014/main" id="{00000000-0008-0000-0400-000002000000}"/>
            </a:ext>
          </a:extLst>
        </xdr:cNvPr>
        <xdr:cNvSpPr/>
      </xdr:nvSpPr>
      <xdr:spPr>
        <a:xfrm>
          <a:off x="0" y="0"/>
          <a:ext cx="0" cy="0"/>
        </a:xfrm>
        <a:prstGeom prst="rect">
          <a:avLst/>
        </a:prstGeom>
      </xdr:spPr>
      <xdr:txBody>
        <a:bodyPr anchor="ctr">
          <a:noAutofit/>
        </a:bodyPr>
        <a:lstStyle/>
        <a:p>
          <a:r>
            <a:t>Hide Details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493200</xdr:colOff>
      <xdr:row>0</xdr:row>
      <xdr:rowOff>145800</xdr:rowOff>
    </xdr:from>
    <xdr:to>
      <xdr:col>13</xdr:col>
      <xdr:colOff>397800</xdr:colOff>
      <xdr:row>3</xdr:row>
      <xdr:rowOff>10800</xdr:rowOff>
    </xdr:to>
    <xdr:pic>
      <xdr:nvPicPr>
        <xdr:cNvPr id="73" name="Picture 2">
          <a:extLst>
            <a:ext uri="{FF2B5EF4-FFF2-40B4-BE49-F238E27FC236}">
              <a16:creationId xmlns:a16="http://schemas.microsoft.com/office/drawing/2014/main" id="{00000000-0008-0000-0500-000049000000}"/>
            </a:ext>
          </a:extLst>
        </xdr:cNvPr>
        <xdr:cNvPicPr/>
      </xdr:nvPicPr>
      <xdr:blipFill>
        <a:blip xmlns:r="http://schemas.openxmlformats.org/officeDocument/2006/relationships" r:embed="rId1"/>
        <a:stretch/>
      </xdr:blipFill>
      <xdr:spPr>
        <a:xfrm>
          <a:off x="13595760" y="145800"/>
          <a:ext cx="1013040" cy="102672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541800</xdr:colOff>
      <xdr:row>5</xdr:row>
      <xdr:rowOff>56520</xdr:rowOff>
    </xdr:from>
    <xdr:to>
      <xdr:col>7</xdr:col>
      <xdr:colOff>1274520</xdr:colOff>
      <xdr:row>5</xdr:row>
      <xdr:rowOff>437040</xdr:rowOff>
    </xdr:to>
    <xdr:sp macro="" textlink="">
      <xdr:nvSpPr>
        <xdr:cNvPr id="74" name="Virage 2">
          <a:extLst>
            <a:ext uri="{FF2B5EF4-FFF2-40B4-BE49-F238E27FC236}">
              <a16:creationId xmlns:a16="http://schemas.microsoft.com/office/drawing/2014/main" id="{00000000-0008-0000-0600-00004A000000}"/>
            </a:ext>
          </a:extLst>
        </xdr:cNvPr>
        <xdr:cNvSpPr/>
      </xdr:nvSpPr>
      <xdr:spPr>
        <a:xfrm rot="16200000" flipH="1">
          <a:off x="11459880" y="1222920"/>
          <a:ext cx="380520" cy="808920"/>
        </a:xfrm>
        <a:prstGeom prst="bentArrow">
          <a:avLst>
            <a:gd name="adj1" fmla="val 25000"/>
            <a:gd name="adj2" fmla="val 25000"/>
            <a:gd name="adj3" fmla="val 25000"/>
            <a:gd name="adj4" fmla="val 43750"/>
          </a:avLst>
        </a:prstGeom>
        <a:gradFill rotWithShape="0">
          <a:gsLst>
            <a:gs pos="42000">
              <a:srgbClr val="B3A2C7"/>
            </a:gs>
            <a:gs pos="100000">
              <a:srgbClr val="E0E8F5"/>
            </a:gs>
          </a:gsLst>
          <a:lin ang="0"/>
        </a:gradFill>
        <a:ln>
          <a:solidFill>
            <a:srgbClr val="4F81BD">
              <a:shade val="50000"/>
            </a:srgbClr>
          </a:solidFill>
          <a:round/>
        </a:ln>
        <a:effectLst>
          <a:outerShdw blurRad="50760" dist="50760" dir="5400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6</xdr:col>
      <xdr:colOff>496440</xdr:colOff>
      <xdr:row>11</xdr:row>
      <xdr:rowOff>95400</xdr:rowOff>
    </xdr:from>
    <xdr:to>
      <xdr:col>6</xdr:col>
      <xdr:colOff>715320</xdr:colOff>
      <xdr:row>11</xdr:row>
      <xdr:rowOff>285480</xdr:rowOff>
    </xdr:to>
    <xdr:sp macro="" textlink="">
      <xdr:nvSpPr>
        <xdr:cNvPr id="75" name="Bent Arrow 4">
          <a:extLst>
            <a:ext uri="{FF2B5EF4-FFF2-40B4-BE49-F238E27FC236}">
              <a16:creationId xmlns:a16="http://schemas.microsoft.com/office/drawing/2014/main" id="{00000000-0008-0000-0600-00004B000000}"/>
            </a:ext>
          </a:extLst>
        </xdr:cNvPr>
        <xdr:cNvSpPr/>
      </xdr:nvSpPr>
      <xdr:spPr>
        <a:xfrm>
          <a:off x="10022040" y="384804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81</xdr:row>
      <xdr:rowOff>104760</xdr:rowOff>
    </xdr:from>
    <xdr:to>
      <xdr:col>6</xdr:col>
      <xdr:colOff>694440</xdr:colOff>
      <xdr:row>81</xdr:row>
      <xdr:rowOff>294840</xdr:rowOff>
    </xdr:to>
    <xdr:sp macro="" textlink="">
      <xdr:nvSpPr>
        <xdr:cNvPr id="76" name="Bent Arrow 5">
          <a:extLst>
            <a:ext uri="{FF2B5EF4-FFF2-40B4-BE49-F238E27FC236}">
              <a16:creationId xmlns:a16="http://schemas.microsoft.com/office/drawing/2014/main" id="{00000000-0008-0000-0600-00004C000000}"/>
            </a:ext>
          </a:extLst>
        </xdr:cNvPr>
        <xdr:cNvSpPr/>
      </xdr:nvSpPr>
      <xdr:spPr>
        <a:xfrm>
          <a:off x="10001160" y="3231828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522360</xdr:colOff>
      <xdr:row>98</xdr:row>
      <xdr:rowOff>115920</xdr:rowOff>
    </xdr:from>
    <xdr:to>
      <xdr:col>6</xdr:col>
      <xdr:colOff>741240</xdr:colOff>
      <xdr:row>98</xdr:row>
      <xdr:rowOff>306000</xdr:rowOff>
    </xdr:to>
    <xdr:sp macro="" textlink="">
      <xdr:nvSpPr>
        <xdr:cNvPr id="77" name="Bent Arrow 7">
          <a:extLst>
            <a:ext uri="{FF2B5EF4-FFF2-40B4-BE49-F238E27FC236}">
              <a16:creationId xmlns:a16="http://schemas.microsoft.com/office/drawing/2014/main" id="{00000000-0008-0000-0600-00004D000000}"/>
            </a:ext>
          </a:extLst>
        </xdr:cNvPr>
        <xdr:cNvSpPr/>
      </xdr:nvSpPr>
      <xdr:spPr>
        <a:xfrm>
          <a:off x="10047960" y="3945384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8</xdr:col>
      <xdr:colOff>560160</xdr:colOff>
      <xdr:row>0</xdr:row>
      <xdr:rowOff>145800</xdr:rowOff>
    </xdr:from>
    <xdr:to>
      <xdr:col>9</xdr:col>
      <xdr:colOff>240480</xdr:colOff>
      <xdr:row>2</xdr:row>
      <xdr:rowOff>313560</xdr:rowOff>
    </xdr:to>
    <xdr:pic>
      <xdr:nvPicPr>
        <xdr:cNvPr id="79" name="Picture 8">
          <a:extLst>
            <a:ext uri="{FF2B5EF4-FFF2-40B4-BE49-F238E27FC236}">
              <a16:creationId xmlns:a16="http://schemas.microsoft.com/office/drawing/2014/main" id="{00000000-0008-0000-0600-00004F000000}"/>
            </a:ext>
          </a:extLst>
        </xdr:cNvPr>
        <xdr:cNvPicPr/>
      </xdr:nvPicPr>
      <xdr:blipFill>
        <a:blip xmlns:r="http://schemas.openxmlformats.org/officeDocument/2006/relationships" r:embed="rId1"/>
        <a:stretch/>
      </xdr:blipFill>
      <xdr:spPr>
        <a:xfrm>
          <a:off x="12615480" y="145800"/>
          <a:ext cx="1031040" cy="102492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55440</xdr:colOff>
      <xdr:row>28</xdr:row>
      <xdr:rowOff>152640</xdr:rowOff>
    </xdr:from>
    <xdr:to>
      <xdr:col>6</xdr:col>
      <xdr:colOff>448200</xdr:colOff>
      <xdr:row>28</xdr:row>
      <xdr:rowOff>156600</xdr:rowOff>
    </xdr:to>
    <xdr:sp macro="" textlink="">
      <xdr:nvSpPr>
        <xdr:cNvPr id="80" name="Line 1">
          <a:extLst>
            <a:ext uri="{FF2B5EF4-FFF2-40B4-BE49-F238E27FC236}">
              <a16:creationId xmlns:a16="http://schemas.microsoft.com/office/drawing/2014/main" id="{00000000-0008-0000-0700-000050000000}"/>
            </a:ext>
          </a:extLst>
        </xdr:cNvPr>
        <xdr:cNvSpPr/>
      </xdr:nvSpPr>
      <xdr:spPr>
        <a:xfrm flipH="1" flipV="1">
          <a:off x="9589680" y="9391680"/>
          <a:ext cx="392760" cy="396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6</xdr:col>
      <xdr:colOff>124200</xdr:colOff>
      <xdr:row>58</xdr:row>
      <xdr:rowOff>154440</xdr:rowOff>
    </xdr:from>
    <xdr:to>
      <xdr:col>6</xdr:col>
      <xdr:colOff>571320</xdr:colOff>
      <xdr:row>58</xdr:row>
      <xdr:rowOff>156600</xdr:rowOff>
    </xdr:to>
    <xdr:sp macro="" textlink="">
      <xdr:nvSpPr>
        <xdr:cNvPr id="81" name="Line 2">
          <a:extLst>
            <a:ext uri="{FF2B5EF4-FFF2-40B4-BE49-F238E27FC236}">
              <a16:creationId xmlns:a16="http://schemas.microsoft.com/office/drawing/2014/main" id="{00000000-0008-0000-0700-000051000000}"/>
            </a:ext>
          </a:extLst>
        </xdr:cNvPr>
        <xdr:cNvSpPr/>
      </xdr:nvSpPr>
      <xdr:spPr>
        <a:xfrm flipH="1" flipV="1">
          <a:off x="9658440" y="18375480"/>
          <a:ext cx="447120" cy="216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9</xdr:col>
      <xdr:colOff>784080</xdr:colOff>
      <xdr:row>28</xdr:row>
      <xdr:rowOff>162360</xdr:rowOff>
    </xdr:from>
    <xdr:to>
      <xdr:col>9</xdr:col>
      <xdr:colOff>1431360</xdr:colOff>
      <xdr:row>28</xdr:row>
      <xdr:rowOff>167760</xdr:rowOff>
    </xdr:to>
    <xdr:sp macro="" textlink="">
      <xdr:nvSpPr>
        <xdr:cNvPr id="82" name="Line 1">
          <a:extLst>
            <a:ext uri="{FF2B5EF4-FFF2-40B4-BE49-F238E27FC236}">
              <a16:creationId xmlns:a16="http://schemas.microsoft.com/office/drawing/2014/main" id="{00000000-0008-0000-0700-000052000000}"/>
            </a:ext>
          </a:extLst>
        </xdr:cNvPr>
        <xdr:cNvSpPr/>
      </xdr:nvSpPr>
      <xdr:spPr>
        <a:xfrm flipV="1">
          <a:off x="14340600" y="9401400"/>
          <a:ext cx="647280" cy="540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9</xdr:col>
      <xdr:colOff>884520</xdr:colOff>
      <xdr:row>58</xdr:row>
      <xdr:rowOff>152640</xdr:rowOff>
    </xdr:from>
    <xdr:to>
      <xdr:col>9</xdr:col>
      <xdr:colOff>1284480</xdr:colOff>
      <xdr:row>58</xdr:row>
      <xdr:rowOff>152640</xdr:rowOff>
    </xdr:to>
    <xdr:sp macro="" textlink="">
      <xdr:nvSpPr>
        <xdr:cNvPr id="83" name="Line 1">
          <a:extLst>
            <a:ext uri="{FF2B5EF4-FFF2-40B4-BE49-F238E27FC236}">
              <a16:creationId xmlns:a16="http://schemas.microsoft.com/office/drawing/2014/main" id="{00000000-0008-0000-0700-000053000000}"/>
            </a:ext>
          </a:extLst>
        </xdr:cNvPr>
        <xdr:cNvSpPr/>
      </xdr:nvSpPr>
      <xdr:spPr>
        <a:xfrm>
          <a:off x="14441040" y="18373680"/>
          <a:ext cx="399960" cy="0"/>
        </a:xfrm>
        <a:prstGeom prst="line">
          <a:avLst/>
        </a:prstGeom>
        <a:ln w="9525">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xdr:col>
      <xdr:colOff>885240</xdr:colOff>
      <xdr:row>0</xdr:row>
      <xdr:rowOff>190440</xdr:rowOff>
    </xdr:from>
    <xdr:to>
      <xdr:col>12</xdr:col>
      <xdr:colOff>621720</xdr:colOff>
      <xdr:row>2</xdr:row>
      <xdr:rowOff>358200</xdr:rowOff>
    </xdr:to>
    <xdr:pic>
      <xdr:nvPicPr>
        <xdr:cNvPr id="84" name="Picture 6">
          <a:extLst>
            <a:ext uri="{FF2B5EF4-FFF2-40B4-BE49-F238E27FC236}">
              <a16:creationId xmlns:a16="http://schemas.microsoft.com/office/drawing/2014/main" id="{00000000-0008-0000-0700-000054000000}"/>
            </a:ext>
          </a:extLst>
        </xdr:cNvPr>
        <xdr:cNvPicPr/>
      </xdr:nvPicPr>
      <xdr:blipFill>
        <a:blip xmlns:r="http://schemas.openxmlformats.org/officeDocument/2006/relationships" r:embed="rId1"/>
        <a:stretch/>
      </xdr:blipFill>
      <xdr:spPr>
        <a:xfrm>
          <a:off x="17163360" y="190440"/>
          <a:ext cx="1026720" cy="102492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20</xdr:col>
      <xdr:colOff>481680</xdr:colOff>
      <xdr:row>3</xdr:row>
      <xdr:rowOff>56160</xdr:rowOff>
    </xdr:from>
    <xdr:to>
      <xdr:col>20</xdr:col>
      <xdr:colOff>873360</xdr:colOff>
      <xdr:row>3</xdr:row>
      <xdr:rowOff>542520</xdr:rowOff>
    </xdr:to>
    <xdr:sp macro="" textlink="">
      <xdr:nvSpPr>
        <xdr:cNvPr id="85" name="Up Arrow 4">
          <a:extLst>
            <a:ext uri="{FF2B5EF4-FFF2-40B4-BE49-F238E27FC236}">
              <a16:creationId xmlns:a16="http://schemas.microsoft.com/office/drawing/2014/main" id="{00000000-0008-0000-0800-000055000000}"/>
            </a:ext>
          </a:extLst>
        </xdr:cNvPr>
        <xdr:cNvSpPr/>
      </xdr:nvSpPr>
      <xdr:spPr>
        <a:xfrm>
          <a:off x="29245680" y="1294200"/>
          <a:ext cx="391680" cy="486360"/>
        </a:xfrm>
        <a:prstGeom prst="upArrow">
          <a:avLst>
            <a:gd name="adj1" fmla="val 50000"/>
            <a:gd name="adj2" fmla="val 50000"/>
          </a:avLst>
        </a:prstGeom>
        <a:solidFill>
          <a:srgbClr val="FF0000"/>
        </a:solidFill>
        <a:ln>
          <a:solidFill>
            <a:srgbClr val="3A5F8B"/>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12</xdr:col>
      <xdr:colOff>1378440</xdr:colOff>
      <xdr:row>0</xdr:row>
      <xdr:rowOff>134640</xdr:rowOff>
    </xdr:from>
    <xdr:to>
      <xdr:col>13</xdr:col>
      <xdr:colOff>352800</xdr:colOff>
      <xdr:row>2</xdr:row>
      <xdr:rowOff>179280</xdr:rowOff>
    </xdr:to>
    <xdr:pic>
      <xdr:nvPicPr>
        <xdr:cNvPr id="86" name="Picture 3">
          <a:extLst>
            <a:ext uri="{FF2B5EF4-FFF2-40B4-BE49-F238E27FC236}">
              <a16:creationId xmlns:a16="http://schemas.microsoft.com/office/drawing/2014/main" id="{00000000-0008-0000-0800-000056000000}"/>
            </a:ext>
          </a:extLst>
        </xdr:cNvPr>
        <xdr:cNvPicPr/>
      </xdr:nvPicPr>
      <xdr:blipFill>
        <a:blip xmlns:r="http://schemas.openxmlformats.org/officeDocument/2006/relationships" r:embed="rId1"/>
        <a:stretch/>
      </xdr:blipFill>
      <xdr:spPr>
        <a:xfrm>
          <a:off x="18007560" y="134640"/>
          <a:ext cx="1070640" cy="1025640"/>
        </a:xfrm>
        <a:prstGeom prst="rect">
          <a:avLst/>
        </a:prstGeom>
        <a:ln w="0">
          <a:noFill/>
        </a:ln>
      </xdr:spPr>
    </xdr:pic>
    <xdr:clientData/>
  </xdr:twoCellAnchor>
</xdr:wsDr>
</file>

<file path=xl/tables/table1.xml><?xml version="1.0" encoding="utf-8"?>
<table xmlns="http://schemas.openxmlformats.org/spreadsheetml/2006/main" id="1" name="List1" displayName="List1" ref="R11:R26" totalsRowShown="0">
  <tableColumns count="1">
    <tableColumn id="1" name="Column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pageSetUpPr fitToPage="1"/>
  </sheetPr>
  <dimension ref="A1:AMJ104"/>
  <sheetViews>
    <sheetView showGridLines="0" showRowColHeaders="0" showZeros="0" tabSelected="1" zoomScale="85" zoomScaleNormal="85" workbookViewId="0">
      <selection activeCell="I22" sqref="I22"/>
    </sheetView>
  </sheetViews>
  <sheetFormatPr defaultColWidth="16.42578125" defaultRowHeight="12.75" x14ac:dyDescent="0.2"/>
  <cols>
    <col min="1" max="1" width="10.28515625" style="1" customWidth="1"/>
    <col min="2" max="2" width="50.28515625" style="1" customWidth="1"/>
    <col min="3" max="3" width="20.7109375" style="1" customWidth="1"/>
    <col min="4" max="4" width="18" style="1" customWidth="1"/>
    <col min="5" max="5" width="28" style="1" customWidth="1"/>
    <col min="6" max="6" width="17.85546875" style="1" customWidth="1"/>
    <col min="7" max="7" width="14.85546875" style="1" customWidth="1"/>
    <col min="8" max="8" width="7.28515625" style="1" customWidth="1"/>
    <col min="9" max="9" width="40.5703125" style="1" customWidth="1"/>
    <col min="10" max="10" width="5.7109375" style="2" hidden="1" customWidth="1"/>
    <col min="11" max="11" width="8.7109375" style="3" hidden="1" customWidth="1"/>
    <col min="12" max="12" width="10.5703125" style="2" hidden="1" customWidth="1"/>
    <col min="13" max="19" width="5.7109375" style="2" hidden="1" customWidth="1"/>
    <col min="20" max="20" width="16.5703125" style="2" hidden="1" customWidth="1"/>
    <col min="21" max="21" width="15.85546875" style="2" hidden="1" customWidth="1"/>
    <col min="22" max="22" width="24.7109375" style="2" hidden="1" customWidth="1"/>
    <col min="23" max="23" width="29.140625" style="2" hidden="1" customWidth="1"/>
    <col min="24" max="31" width="5.7109375" style="2" hidden="1" customWidth="1"/>
    <col min="32" max="33" width="9.140625" style="2" hidden="1" customWidth="1"/>
    <col min="34" max="34" width="0.7109375" style="1" hidden="1" customWidth="1"/>
    <col min="35" max="35" width="6.42578125" style="1" hidden="1" customWidth="1"/>
    <col min="36" max="36" width="6.5703125" style="1" hidden="1" customWidth="1"/>
    <col min="37" max="37" width="7.85546875" hidden="1" customWidth="1"/>
    <col min="38" max="260" width="9.140625" style="1" customWidth="1"/>
    <col min="261" max="1024" width="16.42578125" style="1"/>
  </cols>
  <sheetData>
    <row r="1" spans="1:42" ht="33.75" customHeight="1" x14ac:dyDescent="0.4">
      <c r="B1" s="1452" t="str">
        <f>IF(K10=2, "Configuration des données","Data Set up")</f>
        <v>Data Set up</v>
      </c>
      <c r="C1" s="1452"/>
      <c r="D1" s="1452"/>
      <c r="E1" s="1452"/>
      <c r="F1" s="1452"/>
      <c r="G1" s="1452"/>
      <c r="H1" s="1452"/>
      <c r="I1" s="1452"/>
      <c r="J1" s="4"/>
      <c r="K1" s="5"/>
      <c r="L1" s="4"/>
      <c r="M1" s="4"/>
      <c r="N1" s="4"/>
      <c r="O1" s="4"/>
      <c r="P1" s="4"/>
      <c r="Q1" s="4"/>
      <c r="R1" s="4"/>
      <c r="S1" s="4"/>
      <c r="T1" s="4"/>
      <c r="U1" s="4"/>
      <c r="V1" s="4"/>
      <c r="W1" s="4"/>
      <c r="X1" s="4"/>
      <c r="Y1" s="4"/>
      <c r="Z1" s="4"/>
      <c r="AA1" s="4"/>
      <c r="AB1" s="4"/>
      <c r="AC1" s="4"/>
      <c r="AD1" s="4"/>
      <c r="AE1" s="4"/>
      <c r="AF1" s="4"/>
      <c r="AH1" s="2"/>
      <c r="AI1" s="2"/>
      <c r="AJ1" s="2"/>
      <c r="AK1" s="2">
        <v>0</v>
      </c>
    </row>
    <row r="2" spans="1:42" ht="33.75" customHeight="1" x14ac:dyDescent="0.2">
      <c r="B2" s="1453">
        <f>C10</f>
        <v>0</v>
      </c>
      <c r="C2" s="1453"/>
      <c r="D2" s="1453"/>
      <c r="E2" s="1453"/>
      <c r="F2" s="1453"/>
      <c r="G2" s="1453"/>
      <c r="H2" s="1453"/>
      <c r="I2" s="1453"/>
      <c r="J2" s="4"/>
      <c r="K2" s="5"/>
      <c r="L2" s="4"/>
      <c r="M2" s="4"/>
      <c r="N2" s="4" t="s">
        <v>0</v>
      </c>
      <c r="O2" s="4"/>
      <c r="P2" s="4" t="s">
        <v>1</v>
      </c>
      <c r="Q2" s="4"/>
      <c r="R2" s="6"/>
      <c r="S2" s="6"/>
      <c r="T2" s="4"/>
      <c r="U2" s="4"/>
      <c r="V2" s="4" t="s">
        <v>2</v>
      </c>
      <c r="W2" s="4" t="s">
        <v>3</v>
      </c>
      <c r="X2" s="4"/>
      <c r="Y2" s="4"/>
      <c r="Z2" s="4"/>
      <c r="AA2" s="4" t="s">
        <v>4</v>
      </c>
      <c r="AB2" s="4" t="s">
        <v>5</v>
      </c>
      <c r="AC2" s="4"/>
      <c r="AD2" s="4"/>
      <c r="AE2" s="4"/>
      <c r="AF2" s="4"/>
      <c r="AH2" s="2"/>
      <c r="AI2" s="2"/>
      <c r="AJ2" s="2"/>
      <c r="AK2" s="2"/>
    </row>
    <row r="3" spans="1:42" ht="38.25" customHeight="1" x14ac:dyDescent="0.2">
      <c r="B3" s="1454" t="str">
        <f>IF(K10=2,"Année d'entraînement "&amp;F39&amp;" - "&amp;G39,"Training Year "&amp;F39&amp;" - "&amp;G39)</f>
        <v>Training Year 2023 - 2024</v>
      </c>
      <c r="C3" s="1454"/>
      <c r="D3" s="1454"/>
      <c r="E3" s="1454"/>
      <c r="F3" s="1454"/>
      <c r="G3" s="1454"/>
      <c r="H3" s="1454"/>
      <c r="I3" s="1454"/>
      <c r="J3" s="4"/>
      <c r="K3" s="7">
        <f>'ACC9 (Page 6) Balance Sheet'!Q54</f>
        <v>0</v>
      </c>
      <c r="L3" s="4"/>
      <c r="M3" s="4"/>
      <c r="N3" s="4" t="s">
        <v>6</v>
      </c>
      <c r="O3" s="4"/>
      <c r="P3" s="4" t="s">
        <v>7</v>
      </c>
      <c r="Q3" s="8"/>
      <c r="R3" s="4" t="s">
        <v>8</v>
      </c>
      <c r="S3" s="4" t="s">
        <v>9</v>
      </c>
      <c r="T3" s="4" t="str">
        <f>$Y3</f>
        <v>Aircrafts</v>
      </c>
      <c r="U3" s="4" t="str">
        <f>$Z3</f>
        <v>Aéronefs</v>
      </c>
      <c r="V3" s="4" t="str">
        <f>$X3&amp;$Y3</f>
        <v>1510 - Aircrafts</v>
      </c>
      <c r="W3" s="4" t="str">
        <f>$X3&amp;$Z3</f>
        <v>1510 - Aéronefs</v>
      </c>
      <c r="X3" s="4" t="s">
        <v>10</v>
      </c>
      <c r="Y3" s="4" t="s">
        <v>11</v>
      </c>
      <c r="Z3" s="8" t="s">
        <v>12</v>
      </c>
      <c r="AA3" s="4"/>
      <c r="AB3" s="4"/>
      <c r="AC3" s="4"/>
      <c r="AD3" s="4"/>
      <c r="AE3" s="4"/>
      <c r="AF3" s="4"/>
      <c r="AH3" s="2"/>
      <c r="AI3" s="2"/>
      <c r="AJ3" s="2"/>
      <c r="AK3" s="9"/>
    </row>
    <row r="4" spans="1:42" s="16" customFormat="1" ht="18.75" customHeight="1" x14ac:dyDescent="0.2">
      <c r="A4" s="1"/>
      <c r="B4" s="1455" t="str">
        <f>IF(K10=2,"Entrez les données de l'ACC9 de l`année précédente, l'info sur le CRE et les soldes de vos actifs.
Remplissez toutes les cases grises qui suivent.","Enter information from last year's ACC9, the info on SSC and balances of your assets.
Please fill in all of the grey boxes below.")</f>
        <v>Enter information from last year's ACC9, the info on SSC and balances of your assets.
Please fill in all of the grey boxes below.</v>
      </c>
      <c r="C4" s="1455"/>
      <c r="D4" s="10"/>
      <c r="E4" s="11"/>
      <c r="F4" s="1456"/>
      <c r="G4" s="1456"/>
      <c r="H4" s="12"/>
      <c r="I4" s="11"/>
      <c r="J4" s="13"/>
      <c r="K4" s="14" t="e">
        <f>'Acct Summ Reconcil'!#REF!</f>
        <v>#REF!</v>
      </c>
      <c r="L4" s="13"/>
      <c r="M4" s="8"/>
      <c r="N4" s="4" t="s">
        <v>13</v>
      </c>
      <c r="O4" s="4"/>
      <c r="P4" s="4" t="s">
        <v>14</v>
      </c>
      <c r="Q4" s="4"/>
      <c r="R4" s="4" t="s">
        <v>15</v>
      </c>
      <c r="S4" s="4" t="s">
        <v>16</v>
      </c>
      <c r="T4" s="4" t="str">
        <f>$Y4</f>
        <v>Land &amp; Property</v>
      </c>
      <c r="U4" s="4" t="str">
        <f>$Z4</f>
        <v>Terrains &amp; Propriétés</v>
      </c>
      <c r="V4" s="4" t="str">
        <f>$X4&amp;$Y4</f>
        <v>1520 - Land &amp; Property</v>
      </c>
      <c r="W4" s="4" t="str">
        <f>$X4&amp;$Z4</f>
        <v>1520 - Terrains &amp; Propriétés</v>
      </c>
      <c r="X4" s="8" t="s">
        <v>17</v>
      </c>
      <c r="Y4" s="8" t="s">
        <v>18</v>
      </c>
      <c r="Z4" s="8" t="s">
        <v>19</v>
      </c>
      <c r="AA4" s="4"/>
      <c r="AB4" s="4"/>
      <c r="AC4" s="8"/>
      <c r="AD4" s="8"/>
      <c r="AE4" s="8"/>
      <c r="AF4" s="4" t="s">
        <v>20</v>
      </c>
      <c r="AG4" s="15"/>
      <c r="AH4" s="15"/>
      <c r="AI4" s="15"/>
      <c r="AJ4" s="15"/>
      <c r="AK4" s="15"/>
      <c r="AP4" s="17"/>
    </row>
    <row r="5" spans="1:42" ht="11.25" customHeight="1" x14ac:dyDescent="0.2">
      <c r="A5" s="16"/>
      <c r="B5" s="1455"/>
      <c r="C5" s="1455"/>
      <c r="D5" s="10"/>
      <c r="F5" s="1457"/>
      <c r="G5" s="1457"/>
      <c r="H5" s="12"/>
      <c r="J5" s="4"/>
      <c r="K5" s="5"/>
      <c r="L5" s="4"/>
      <c r="M5" s="4"/>
      <c r="N5" s="4" t="s">
        <v>21</v>
      </c>
      <c r="O5" s="4"/>
      <c r="P5" s="4" t="s">
        <v>22</v>
      </c>
      <c r="Q5" s="4"/>
      <c r="R5" s="4"/>
      <c r="S5" s="4"/>
      <c r="T5" s="4" t="str">
        <f>$Y5</f>
        <v>Buildings</v>
      </c>
      <c r="U5" s="4" t="str">
        <f>$Z5</f>
        <v>Bâtiments</v>
      </c>
      <c r="V5" s="4" t="str">
        <f>$X5&amp;$Y5</f>
        <v>1530 - Buildings</v>
      </c>
      <c r="W5" s="4" t="str">
        <f>$X5&amp;$Z5</f>
        <v>1530 - Bâtiments</v>
      </c>
      <c r="X5" s="4" t="s">
        <v>23</v>
      </c>
      <c r="Y5" s="4" t="s">
        <v>24</v>
      </c>
      <c r="Z5" s="8" t="s">
        <v>25</v>
      </c>
      <c r="AA5" s="4"/>
      <c r="AB5" s="4"/>
      <c r="AC5" s="4"/>
      <c r="AD5" s="4"/>
      <c r="AE5" s="18"/>
      <c r="AF5" s="4" t="s">
        <v>26</v>
      </c>
      <c r="AG5" s="18"/>
      <c r="AH5" s="2"/>
      <c r="AI5" s="2"/>
      <c r="AJ5" s="2"/>
      <c r="AK5" s="9"/>
    </row>
    <row r="6" spans="1:42" ht="32.25" customHeight="1" x14ac:dyDescent="0.2">
      <c r="B6" s="1455"/>
      <c r="C6" s="1455"/>
      <c r="D6" s="10"/>
      <c r="E6" s="19"/>
      <c r="F6" s="1457"/>
      <c r="G6" s="1457"/>
      <c r="H6" s="12"/>
      <c r="I6" s="20" t="s">
        <v>713</v>
      </c>
      <c r="J6" s="4"/>
      <c r="K6" s="21" t="s">
        <v>27</v>
      </c>
      <c r="L6" s="4"/>
      <c r="M6" s="4"/>
      <c r="N6" s="4" t="s">
        <v>28</v>
      </c>
      <c r="O6" s="4"/>
      <c r="P6" s="4" t="s">
        <v>29</v>
      </c>
      <c r="Q6" s="4"/>
      <c r="R6" s="4" t="s">
        <v>30</v>
      </c>
      <c r="S6" s="4" t="s">
        <v>31</v>
      </c>
      <c r="T6" s="4" t="str">
        <f>$Y6</f>
        <v>Vehicles</v>
      </c>
      <c r="U6" s="4" t="str">
        <f>$Z6</f>
        <v>Véhicules</v>
      </c>
      <c r="V6" s="4" t="str">
        <f>$X6&amp;$Y6</f>
        <v>1540 - Vehicles</v>
      </c>
      <c r="W6" s="4" t="str">
        <f>$X6&amp;$Z6</f>
        <v>1540 - Véhicules</v>
      </c>
      <c r="X6" s="4" t="s">
        <v>32</v>
      </c>
      <c r="Y6" s="4" t="s">
        <v>33</v>
      </c>
      <c r="Z6" s="8" t="s">
        <v>34</v>
      </c>
      <c r="AA6" s="4"/>
      <c r="AB6" s="4"/>
      <c r="AC6" s="4"/>
      <c r="AD6" s="4"/>
      <c r="AE6" s="4"/>
      <c r="AF6" s="4" t="s">
        <v>35</v>
      </c>
      <c r="AH6" s="2"/>
      <c r="AI6" s="2"/>
      <c r="AJ6" s="2"/>
      <c r="AK6" s="9"/>
    </row>
    <row r="7" spans="1:42" ht="27" customHeight="1" x14ac:dyDescent="0.2">
      <c r="E7" s="22"/>
      <c r="F7" s="22"/>
      <c r="J7" s="4"/>
      <c r="K7" s="21" t="s">
        <v>36</v>
      </c>
      <c r="L7" s="4"/>
      <c r="M7" s="4"/>
      <c r="N7" s="4" t="s">
        <v>37</v>
      </c>
      <c r="O7" s="4"/>
      <c r="P7" s="4" t="s">
        <v>38</v>
      </c>
      <c r="Q7" s="4"/>
      <c r="R7" s="4"/>
      <c r="S7" s="4"/>
      <c r="T7" s="4" t="str">
        <f t="shared" ref="T7:T14" si="0">IF(AND($Y7="",$Z7=""),$AB7,IF($Y7="",$Z7,$Y7))</f>
        <v>Office Equipment</v>
      </c>
      <c r="U7" s="4" t="str">
        <f t="shared" ref="U7:U14" si="1">IF(AND($Y7="",$Z7=""),$AA7,IF($Z7="",$Y7,$Z7))</f>
        <v>Équipement de bureau</v>
      </c>
      <c r="V7" s="4" t="str">
        <f t="shared" ref="V7:V13" si="2">IF(AND($Y7="",$Z7=""),$X7&amp;$AB7,IF($Y7="",$X7&amp;$Z7,$X7&amp;$Y7))</f>
        <v>1550 - Office Equipment</v>
      </c>
      <c r="W7" s="4" t="str">
        <f t="shared" ref="W7:W13" si="3">IF(AND($Y7="",$Z7=""),$X7&amp;$AA7,IF($Z7="",$X7&amp;$Y7,$X7&amp;$Z7))</f>
        <v>1550 - Équipement de bureau</v>
      </c>
      <c r="X7" s="4" t="s">
        <v>39</v>
      </c>
      <c r="Y7" s="4" t="s">
        <v>40</v>
      </c>
      <c r="Z7" s="8" t="s">
        <v>41</v>
      </c>
      <c r="AA7" s="4" t="s">
        <v>42</v>
      </c>
      <c r="AB7" s="4" t="s">
        <v>43</v>
      </c>
      <c r="AC7" s="4"/>
      <c r="AD7" s="4"/>
      <c r="AE7" s="4"/>
      <c r="AF7" s="4" t="s">
        <v>44</v>
      </c>
      <c r="AH7" s="2"/>
      <c r="AI7" s="2"/>
      <c r="AJ7" s="2"/>
      <c r="AK7" s="9"/>
    </row>
    <row r="8" spans="1:42" ht="18" customHeight="1" x14ac:dyDescent="0.2">
      <c r="B8" s="1458" t="str">
        <f>IF(K10=2,"Comité répondant d'escadron (CRE)","Squadron Sponsored Committee (SSC)")</f>
        <v>Squadron Sponsored Committee (SSC)</v>
      </c>
      <c r="C8" s="1458"/>
      <c r="D8" s="1458"/>
      <c r="E8" s="23"/>
      <c r="G8" s="22"/>
      <c r="J8" s="4"/>
      <c r="K8" s="5" t="str">
        <f>IF(K41=6,"1 juillet "&amp;F39,"1 septembre "&amp;F39)</f>
        <v>1 septembre 2023</v>
      </c>
      <c r="L8" s="4"/>
      <c r="M8" s="4"/>
      <c r="N8" s="4" t="s">
        <v>45</v>
      </c>
      <c r="O8" s="4"/>
      <c r="P8" s="4" t="s">
        <v>46</v>
      </c>
      <c r="Q8" s="4"/>
      <c r="R8" s="4"/>
      <c r="S8" s="4"/>
      <c r="T8" s="4" t="str">
        <f t="shared" si="0"/>
        <v>Biathlon &amp; Shooting Eqpt</v>
      </c>
      <c r="U8" s="4" t="str">
        <f t="shared" si="1"/>
        <v>Équipement Tir &amp; Biathlo</v>
      </c>
      <c r="V8" s="4" t="str">
        <f t="shared" si="2"/>
        <v>1560 - Biathlon &amp; Shooting Eqpt</v>
      </c>
      <c r="W8" s="4" t="str">
        <f t="shared" si="3"/>
        <v>1560 - Équipement Tir &amp; Biathlo</v>
      </c>
      <c r="X8" s="4" t="s">
        <v>47</v>
      </c>
      <c r="Y8" s="4" t="s">
        <v>48</v>
      </c>
      <c r="Z8" s="8" t="s">
        <v>49</v>
      </c>
      <c r="AA8" s="4" t="s">
        <v>42</v>
      </c>
      <c r="AB8" s="4" t="s">
        <v>43</v>
      </c>
      <c r="AC8" s="4"/>
      <c r="AD8" s="4"/>
      <c r="AE8" s="4"/>
      <c r="AF8" s="4" t="s">
        <v>50</v>
      </c>
      <c r="AH8" s="2"/>
      <c r="AI8" s="2"/>
      <c r="AJ8" s="2"/>
      <c r="AK8" s="9"/>
    </row>
    <row r="9" spans="1:42" ht="8.25" customHeight="1" x14ac:dyDescent="0.2">
      <c r="B9" s="24"/>
      <c r="E9" s="23"/>
      <c r="F9" s="25"/>
      <c r="G9" s="22"/>
      <c r="J9" s="4"/>
      <c r="K9" s="5" t="str">
        <f>IF(K41=6,"1 July "&amp;F39,"1 september "&amp;F39)</f>
        <v>1 september 2023</v>
      </c>
      <c r="L9" s="4" t="b">
        <f>TRUE()</f>
        <v>1</v>
      </c>
      <c r="M9" s="4"/>
      <c r="N9" s="4" t="s">
        <v>51</v>
      </c>
      <c r="O9" s="4"/>
      <c r="P9" s="4" t="s">
        <v>52</v>
      </c>
      <c r="Q9" s="4"/>
      <c r="R9" s="4"/>
      <c r="S9" s="4"/>
      <c r="T9" s="4" t="str">
        <f t="shared" si="0"/>
        <v>Photography Eqpt</v>
      </c>
      <c r="U9" s="4" t="str">
        <f t="shared" si="1"/>
        <v>Éqpt de photographie</v>
      </c>
      <c r="V9" s="4" t="str">
        <f t="shared" si="2"/>
        <v>1570 - Photography Eqpt</v>
      </c>
      <c r="W9" s="4" t="str">
        <f t="shared" si="3"/>
        <v>1570 - Éqpt de photographie</v>
      </c>
      <c r="X9" s="4" t="s">
        <v>53</v>
      </c>
      <c r="Y9" s="4" t="s">
        <v>54</v>
      </c>
      <c r="Z9" s="8" t="s">
        <v>55</v>
      </c>
      <c r="AA9" s="4" t="s">
        <v>42</v>
      </c>
      <c r="AB9" s="4" t="s">
        <v>43</v>
      </c>
      <c r="AC9" s="4"/>
      <c r="AD9" s="4"/>
      <c r="AE9" s="4"/>
      <c r="AF9" s="4" t="s">
        <v>56</v>
      </c>
      <c r="AH9" s="2"/>
      <c r="AI9" s="2"/>
      <c r="AJ9" s="2"/>
      <c r="AK9" s="9"/>
    </row>
    <row r="10" spans="1:42" ht="27" customHeight="1" x14ac:dyDescent="0.2">
      <c r="B10" s="26" t="str">
        <f>IF(K10=2,"Nom du CRE","SSC`s Name")</f>
        <v>SSC`s Name</v>
      </c>
      <c r="C10" s="1459"/>
      <c r="D10" s="1459"/>
      <c r="E10" s="27" t="str">
        <f>IF(K10=2,"Numéro d'escadron :","Squadron Number :")</f>
        <v>Squadron Number :</v>
      </c>
      <c r="F10" s="28"/>
      <c r="G10" s="29"/>
      <c r="H10" s="29"/>
      <c r="I10" s="29"/>
      <c r="J10" s="4"/>
      <c r="K10" s="30">
        <f>IF(F5="Français",2,1)</f>
        <v>1</v>
      </c>
      <c r="L10" s="4" t="b">
        <f>TRUE()</f>
        <v>1</v>
      </c>
      <c r="M10" s="4"/>
      <c r="N10" s="4" t="s">
        <v>57</v>
      </c>
      <c r="O10" s="4"/>
      <c r="P10" s="4" t="s">
        <v>58</v>
      </c>
      <c r="Q10" s="4"/>
      <c r="R10" s="4"/>
      <c r="S10" s="4"/>
      <c r="T10" s="4" t="str">
        <f t="shared" si="0"/>
        <v>Field Equipment</v>
      </c>
      <c r="U10" s="4" t="str">
        <f t="shared" si="1"/>
        <v>Équipement de campagne</v>
      </c>
      <c r="V10" s="4" t="str">
        <f t="shared" si="2"/>
        <v>1580 - Field Equipment</v>
      </c>
      <c r="W10" s="4" t="str">
        <f t="shared" si="3"/>
        <v>1580 - Équipement de campagne</v>
      </c>
      <c r="X10" s="4" t="s">
        <v>59</v>
      </c>
      <c r="Y10" s="4" t="s">
        <v>60</v>
      </c>
      <c r="Z10" s="8" t="s">
        <v>61</v>
      </c>
      <c r="AA10" s="4" t="s">
        <v>42</v>
      </c>
      <c r="AB10" s="4" t="s">
        <v>43</v>
      </c>
      <c r="AC10" s="4"/>
      <c r="AD10" s="4"/>
      <c r="AE10" s="4"/>
      <c r="AF10" s="4" t="s">
        <v>62</v>
      </c>
      <c r="AH10" s="2"/>
      <c r="AI10" s="2"/>
      <c r="AJ10" s="2"/>
      <c r="AK10" s="9"/>
    </row>
    <row r="11" spans="1:42" ht="27" customHeight="1" x14ac:dyDescent="0.2">
      <c r="B11" s="31" t="str">
        <f>IF(K10=2,"Adresse postale","Mailing Address")</f>
        <v>Mailing Address</v>
      </c>
      <c r="C11" s="1460"/>
      <c r="D11" s="1460"/>
      <c r="E11" s="23"/>
      <c r="F11" s="32"/>
      <c r="G11" s="29"/>
      <c r="H11" s="29"/>
      <c r="I11" s="29"/>
      <c r="J11" s="4"/>
      <c r="K11" s="33"/>
      <c r="L11" s="4"/>
      <c r="M11" s="4"/>
      <c r="N11" s="4" t="s">
        <v>63</v>
      </c>
      <c r="O11" s="4"/>
      <c r="P11" s="4" t="s">
        <v>64</v>
      </c>
      <c r="Q11" s="4"/>
      <c r="R11" s="4"/>
      <c r="S11" s="4"/>
      <c r="T11" s="4" t="str">
        <f t="shared" si="0"/>
        <v>Electronic Equipment</v>
      </c>
      <c r="U11" s="4" t="str">
        <f t="shared" si="1"/>
        <v>Équipement électronique</v>
      </c>
      <c r="V11" s="4" t="str">
        <f t="shared" si="2"/>
        <v>1590 - Electronic Equipment</v>
      </c>
      <c r="W11" s="4" t="str">
        <f t="shared" si="3"/>
        <v>1590 - Équipement électronique</v>
      </c>
      <c r="X11" s="4" t="s">
        <v>65</v>
      </c>
      <c r="Y11" s="4" t="s">
        <v>66</v>
      </c>
      <c r="Z11" s="8" t="s">
        <v>67</v>
      </c>
      <c r="AA11" s="4" t="s">
        <v>42</v>
      </c>
      <c r="AB11" s="4" t="s">
        <v>43</v>
      </c>
      <c r="AC11" s="4"/>
      <c r="AD11" s="4"/>
      <c r="AE11" s="4"/>
      <c r="AF11" s="4" t="s">
        <v>68</v>
      </c>
      <c r="AH11" s="2"/>
      <c r="AI11" s="2"/>
      <c r="AJ11" s="2"/>
      <c r="AK11" s="2"/>
    </row>
    <row r="12" spans="1:42" ht="27" customHeight="1" x14ac:dyDescent="0.2">
      <c r="B12" s="34" t="str">
        <f>IF(K10=2," Ville, Prov","City,  Prov.")</f>
        <v>City,  Prov.</v>
      </c>
      <c r="C12" s="1460"/>
      <c r="D12" s="1460"/>
      <c r="E12" s="27" t="str">
        <f>IF(K10=2,"Nom de l'escadron :","Squadron Name :")</f>
        <v>Squadron Name :</v>
      </c>
      <c r="F12" s="1461"/>
      <c r="G12" s="1461"/>
      <c r="H12" s="1461"/>
      <c r="I12" s="1461"/>
      <c r="J12" s="4"/>
      <c r="K12" s="5" t="str">
        <f>F40&amp;" "&amp;G40&amp;" "&amp;G39</f>
        <v>31 August 2024</v>
      </c>
      <c r="L12" s="4">
        <f ca="1">TODAY()-K12</f>
        <v>-381</v>
      </c>
      <c r="M12" s="4"/>
      <c r="N12" s="4" t="s">
        <v>69</v>
      </c>
      <c r="O12" s="4"/>
      <c r="P12" s="4" t="s">
        <v>70</v>
      </c>
      <c r="Q12" s="4"/>
      <c r="R12" s="4"/>
      <c r="S12" s="4"/>
      <c r="T12" s="4" t="str">
        <f t="shared" si="0"/>
        <v>Instrument &amp; Acc musique</v>
      </c>
      <c r="U12" s="4" t="str">
        <f t="shared" si="1"/>
        <v>Music Instr &amp; Acc.</v>
      </c>
      <c r="V12" s="4" t="str">
        <f t="shared" si="2"/>
        <v>1600 - Instrument &amp; Acc musique</v>
      </c>
      <c r="W12" s="4" t="str">
        <f t="shared" si="3"/>
        <v>1600 - Music Instr &amp; Acc.</v>
      </c>
      <c r="X12" s="4" t="s">
        <v>71</v>
      </c>
      <c r="Y12" s="4" t="s">
        <v>72</v>
      </c>
      <c r="Z12" s="8" t="s">
        <v>73</v>
      </c>
      <c r="AA12" s="4" t="s">
        <v>42</v>
      </c>
      <c r="AB12" s="4" t="s">
        <v>43</v>
      </c>
      <c r="AC12" s="35"/>
      <c r="AD12" s="4"/>
      <c r="AE12" s="4"/>
      <c r="AF12" s="4"/>
      <c r="AH12" s="2"/>
      <c r="AI12" s="2"/>
      <c r="AJ12" s="2"/>
      <c r="AK12" s="2"/>
    </row>
    <row r="13" spans="1:42" ht="27" customHeight="1" x14ac:dyDescent="0.2">
      <c r="B13" s="34" t="str">
        <f>IF(K10=2,"Code Postal","Postal Code")</f>
        <v>Postal Code</v>
      </c>
      <c r="C13" s="1460"/>
      <c r="D13" s="1460"/>
      <c r="E13" s="23"/>
      <c r="F13" s="36"/>
      <c r="G13" s="36"/>
      <c r="H13" s="36"/>
      <c r="I13" s="36"/>
      <c r="J13" s="4"/>
      <c r="K13" s="5"/>
      <c r="L13" s="4"/>
      <c r="M13" s="4"/>
      <c r="N13" s="4" t="s">
        <v>74</v>
      </c>
      <c r="O13" s="4"/>
      <c r="P13" s="4" t="s">
        <v>75</v>
      </c>
      <c r="Q13" s="4"/>
      <c r="R13" s="4"/>
      <c r="S13" s="4"/>
      <c r="T13" s="4" t="str">
        <f t="shared" si="0"/>
        <v>Trophies &amp; Award</v>
      </c>
      <c r="U13" s="4" t="str">
        <f t="shared" si="1"/>
        <v>Trophées &amp; Récompenses</v>
      </c>
      <c r="V13" s="4" t="str">
        <f t="shared" si="2"/>
        <v>1610 - Trophies &amp; Award</v>
      </c>
      <c r="W13" s="4" t="str">
        <f t="shared" si="3"/>
        <v>1610 - Trophées &amp; Récompenses</v>
      </c>
      <c r="X13" s="4" t="s">
        <v>76</v>
      </c>
      <c r="Y13" s="4" t="s">
        <v>77</v>
      </c>
      <c r="Z13" s="8" t="s">
        <v>78</v>
      </c>
      <c r="AA13" s="4" t="s">
        <v>42</v>
      </c>
      <c r="AB13" s="4" t="s">
        <v>43</v>
      </c>
      <c r="AC13" s="35"/>
      <c r="AD13" s="4"/>
      <c r="AE13" s="4"/>
      <c r="AF13" s="4"/>
      <c r="AH13" s="2"/>
      <c r="AI13" s="2"/>
      <c r="AJ13" s="2"/>
      <c r="AK13" s="9"/>
    </row>
    <row r="14" spans="1:42" ht="27" customHeight="1" x14ac:dyDescent="0.2">
      <c r="B14" s="37" t="str">
        <f>IF(K10=2,"Nom du président","SSC Chairperson`s Name")</f>
        <v>SSC Chairperson`s Name</v>
      </c>
      <c r="C14" s="1462"/>
      <c r="D14" s="1462"/>
      <c r="E14" s="27" t="str">
        <f>IF(K10=2,"Nombre de cadets :","Number of Cadets :")</f>
        <v>Number of Cadets :</v>
      </c>
      <c r="F14" s="38"/>
      <c r="G14" s="39"/>
      <c r="H14" s="39"/>
      <c r="I14" s="39"/>
      <c r="J14" s="4"/>
      <c r="K14" s="5"/>
      <c r="L14" s="4"/>
      <c r="M14" s="4"/>
      <c r="N14" s="4" t="s">
        <v>79</v>
      </c>
      <c r="O14" s="4"/>
      <c r="P14" s="4" t="s">
        <v>80</v>
      </c>
      <c r="Q14" s="4"/>
      <c r="R14" s="4"/>
      <c r="S14" s="4"/>
      <c r="T14" s="4" t="str">
        <f t="shared" si="0"/>
        <v>Miscellaneous</v>
      </c>
      <c r="U14" s="4" t="str">
        <f t="shared" si="1"/>
        <v>Divers</v>
      </c>
      <c r="V14" s="4" t="str">
        <f>$X14&amp;$Y14</f>
        <v>1620 - Miscellaneous</v>
      </c>
      <c r="W14" s="4" t="str">
        <f>$X14&amp;$Z14</f>
        <v>1620 - Divers</v>
      </c>
      <c r="X14" s="4" t="s">
        <v>81</v>
      </c>
      <c r="Y14" s="4" t="s">
        <v>82</v>
      </c>
      <c r="Z14" s="8" t="s">
        <v>83</v>
      </c>
      <c r="AA14" s="4" t="s">
        <v>42</v>
      </c>
      <c r="AB14" s="4" t="s">
        <v>43</v>
      </c>
      <c r="AC14" s="4"/>
      <c r="AD14" s="4"/>
      <c r="AE14" s="4"/>
      <c r="AF14" s="4"/>
      <c r="AH14" s="2"/>
      <c r="AI14" s="2"/>
      <c r="AJ14" s="2"/>
      <c r="AK14" s="9"/>
    </row>
    <row r="15" spans="1:42" ht="27" customHeight="1" x14ac:dyDescent="0.2">
      <c r="B15" s="40" t="str">
        <f>IF(K10=2,"Courriel  du président","SSC Chairperson`s  email")</f>
        <v>SSC Chairperson`s  email</v>
      </c>
      <c r="C15" s="1463"/>
      <c r="D15" s="1463"/>
      <c r="E15" s="23"/>
      <c r="F15" s="41"/>
      <c r="G15" s="39"/>
      <c r="H15" s="39"/>
      <c r="I15" s="39"/>
      <c r="J15" s="4">
        <v>2013</v>
      </c>
      <c r="K15" s="42"/>
      <c r="L15" s="43" t="str">
        <f t="shared" ref="L15:L25" si="4">LEFT(H18,4)</f>
        <v>1010</v>
      </c>
      <c r="M15" s="4"/>
      <c r="N15" s="4" t="s">
        <v>84</v>
      </c>
      <c r="O15" s="4"/>
      <c r="P15" s="4" t="s">
        <v>85</v>
      </c>
      <c r="Q15" s="4" t="s">
        <v>86</v>
      </c>
      <c r="R15" s="4" t="s">
        <v>87</v>
      </c>
      <c r="S15" s="4" t="s">
        <v>88</v>
      </c>
      <c r="T15" s="4"/>
      <c r="U15" s="4"/>
      <c r="V15" s="4" t="s">
        <v>89</v>
      </c>
      <c r="W15" s="4" t="s">
        <v>90</v>
      </c>
      <c r="X15" s="4"/>
      <c r="Y15" s="4"/>
      <c r="Z15" s="4"/>
      <c r="AA15" s="4"/>
      <c r="AB15" s="4"/>
      <c r="AC15" s="4"/>
      <c r="AD15" s="4"/>
      <c r="AE15" s="4"/>
      <c r="AF15" s="4"/>
      <c r="AH15" s="2"/>
      <c r="AI15" s="2"/>
      <c r="AJ15" s="2"/>
      <c r="AK15" s="9"/>
    </row>
    <row r="16" spans="1:42" ht="27" customHeight="1" x14ac:dyDescent="0.2">
      <c r="B16" s="44" t="str">
        <f>IF(K10=2,"L'escadron est-il un organisme sans but lucratif enregistré (Agence du revenu du Canada)?","Is the Squadron Sponsoring Committee a Registered Canadian Charity (CRA)?")</f>
        <v>Is the Squadron Sponsoring Committee a Registered Canadian Charity (CRA)?</v>
      </c>
      <c r="C16" s="1464"/>
      <c r="D16" s="1464"/>
      <c r="F16" s="1465" t="str">
        <f>IF(K10=2, "Informations de l'année courante","Current Year's ACC-9 Information")</f>
        <v>Current Year's ACC-9 Information</v>
      </c>
      <c r="G16" s="1465"/>
      <c r="H16" s="1465"/>
      <c r="I16" s="1465"/>
      <c r="J16" s="4">
        <v>2014</v>
      </c>
      <c r="K16" s="45"/>
      <c r="L16" s="43" t="str">
        <f t="shared" si="4"/>
        <v>1020</v>
      </c>
      <c r="M16" s="4"/>
      <c r="N16" s="4" t="s">
        <v>91</v>
      </c>
      <c r="O16" s="4"/>
      <c r="P16" s="4" t="s">
        <v>92</v>
      </c>
      <c r="Q16" s="4"/>
      <c r="R16" s="4"/>
      <c r="S16" s="4" t="s">
        <v>93</v>
      </c>
      <c r="T16" s="4"/>
      <c r="U16" s="4"/>
      <c r="V16" s="4" t="s">
        <v>94</v>
      </c>
      <c r="W16" s="4" t="s">
        <v>95</v>
      </c>
      <c r="X16" s="4"/>
      <c r="Y16" s="4"/>
      <c r="Z16" s="4"/>
      <c r="AA16" s="4"/>
      <c r="AB16" s="4"/>
      <c r="AC16" s="4"/>
      <c r="AD16" s="4"/>
      <c r="AE16" s="4"/>
      <c r="AF16" s="4"/>
      <c r="AH16" s="2"/>
      <c r="AI16" s="2"/>
      <c r="AJ16" s="2"/>
      <c r="AK16" s="9"/>
    </row>
    <row r="17" spans="2:37" ht="27" customHeight="1" x14ac:dyDescent="0.2">
      <c r="B17" s="46" t="str">
        <f>IF(K10=2,"Si oui,  inscrire le numéro ici:","If yes,  insert number here:")</f>
        <v>If yes,  insert number here:</v>
      </c>
      <c r="C17" s="1466"/>
      <c r="D17" s="1466"/>
      <c r="E17" s="23"/>
      <c r="F17" s="47" t="str">
        <f>IF(K10=2,"Soldes à l'ouverture","Opening Balances")</f>
        <v>Opening Balances</v>
      </c>
      <c r="G17" s="48"/>
      <c r="H17" s="1467" t="str">
        <f>IF(K10=2,"Comptes d'actif","Asset Accounts")</f>
        <v>Asset Accounts</v>
      </c>
      <c r="I17" s="1467"/>
      <c r="J17" s="4">
        <v>2015</v>
      </c>
      <c r="K17" s="45"/>
      <c r="L17" s="43" t="str">
        <f t="shared" si="4"/>
        <v>1030</v>
      </c>
      <c r="M17" s="4"/>
      <c r="N17" s="4" t="s">
        <v>96</v>
      </c>
      <c r="O17" s="4"/>
      <c r="P17" s="4" t="s">
        <v>97</v>
      </c>
      <c r="Q17" s="4"/>
      <c r="R17" s="4"/>
      <c r="S17" s="4" t="s">
        <v>15</v>
      </c>
      <c r="T17" s="4"/>
      <c r="U17" s="4"/>
      <c r="V17" s="4" t="s">
        <v>98</v>
      </c>
      <c r="W17" s="4" t="s">
        <v>99</v>
      </c>
      <c r="X17" s="4"/>
      <c r="Y17" s="4"/>
      <c r="Z17" s="4"/>
      <c r="AA17" s="4"/>
      <c r="AB17" s="4"/>
      <c r="AC17" s="4"/>
      <c r="AD17" s="4"/>
      <c r="AE17" s="4"/>
      <c r="AF17" s="4"/>
      <c r="AH17" s="2"/>
      <c r="AI17" s="2"/>
      <c r="AJ17" s="2"/>
      <c r="AK17" s="9"/>
    </row>
    <row r="18" spans="2:37" ht="27" customHeight="1" x14ac:dyDescent="0.2">
      <c r="B18" s="49" t="str">
        <f>IF(K10=2,"No. D'entreprise (RT), si applicable","Business # (RT), if applicable")</f>
        <v>Business # (RT), if applicable</v>
      </c>
      <c r="C18" s="1468"/>
      <c r="D18" s="1468"/>
      <c r="E18" s="27"/>
      <c r="F18" s="50"/>
      <c r="H18" s="51" t="s">
        <v>100</v>
      </c>
      <c r="I18" s="52" t="str">
        <f>IF(K10=2,"Autres argents en main","Other Cash in hand")</f>
        <v>Other Cash in hand</v>
      </c>
      <c r="J18" s="4">
        <v>2016</v>
      </c>
      <c r="K18" s="45"/>
      <c r="L18" s="43" t="str">
        <f t="shared" si="4"/>
        <v>1040</v>
      </c>
      <c r="M18" s="4"/>
      <c r="N18" s="4" t="s">
        <v>101</v>
      </c>
      <c r="O18" s="4"/>
      <c r="P18" s="4" t="s">
        <v>102</v>
      </c>
      <c r="Q18" s="4"/>
      <c r="R18" s="4"/>
      <c r="S18" s="4" t="s">
        <v>43</v>
      </c>
      <c r="T18" s="4"/>
      <c r="U18" s="4"/>
      <c r="V18" s="4"/>
      <c r="W18" s="4"/>
      <c r="X18" s="4"/>
      <c r="Y18" s="4"/>
      <c r="Z18" s="4"/>
      <c r="AA18" s="4"/>
      <c r="AB18" s="4"/>
      <c r="AC18" s="4"/>
      <c r="AD18" s="4"/>
      <c r="AE18" s="4"/>
      <c r="AF18" s="4"/>
      <c r="AH18" s="2"/>
      <c r="AI18" s="2"/>
      <c r="AJ18" s="2"/>
      <c r="AK18" s="9"/>
    </row>
    <row r="19" spans="2:37" ht="27" customHeight="1" x14ac:dyDescent="0.2">
      <c r="B19" s="53" t="str">
        <f>IF(K10=2,"Décl. renseignements des org. de bienfaisance enr. (T3010/TP-985.22-V) a-t-elle été soumise?","Was the past year's Registered Charity Information Return (Form T3010/TP-985.22-V) submitted?")</f>
        <v>Was the past year's Registered Charity Information Return (Form T3010/TP-985.22-V) submitted?</v>
      </c>
      <c r="C19" s="1469"/>
      <c r="D19" s="1469"/>
      <c r="E19" s="54"/>
      <c r="F19" s="55"/>
      <c r="G19" s="48"/>
      <c r="H19" s="51" t="s">
        <v>103</v>
      </c>
      <c r="I19" s="52" t="str">
        <f>IF(K10=2,"Compte bancaire principal","Main Bank Account")</f>
        <v>Main Bank Account</v>
      </c>
      <c r="J19" s="4">
        <v>2017</v>
      </c>
      <c r="K19" s="45"/>
      <c r="L19" s="43" t="str">
        <f t="shared" si="4"/>
        <v>1050</v>
      </c>
      <c r="M19" s="4"/>
      <c r="N19" s="56" t="s">
        <v>104</v>
      </c>
      <c r="O19" s="4"/>
      <c r="P19" s="4"/>
      <c r="Q19" s="4"/>
      <c r="R19" s="4"/>
      <c r="S19" s="4" t="s">
        <v>43</v>
      </c>
      <c r="T19" s="4"/>
      <c r="U19" s="4"/>
      <c r="V19" s="5" t="s">
        <v>105</v>
      </c>
      <c r="W19" s="5" t="s">
        <v>106</v>
      </c>
      <c r="X19" s="4" t="s">
        <v>4</v>
      </c>
      <c r="Y19" s="4" t="s">
        <v>5</v>
      </c>
      <c r="Z19" s="4"/>
      <c r="AA19" s="4"/>
      <c r="AB19" s="4"/>
      <c r="AC19" s="4"/>
      <c r="AD19" s="4"/>
      <c r="AE19" s="4"/>
      <c r="AF19" s="4"/>
      <c r="AH19" s="2"/>
      <c r="AI19" s="2"/>
      <c r="AJ19" s="2"/>
      <c r="AK19" s="9"/>
    </row>
    <row r="20" spans="2:37" ht="27" customHeight="1" x14ac:dyDescent="0.2">
      <c r="B20" s="57" t="str">
        <f>IF(K10=2,"Juridiction provinciale du Comité","Provincial Committee Jurisdiction")</f>
        <v>Provincial Committee Jurisdiction</v>
      </c>
      <c r="C20" s="1470" t="s">
        <v>724</v>
      </c>
      <c r="D20" s="1470"/>
      <c r="E20" s="58"/>
      <c r="F20" s="59"/>
      <c r="G20" s="48"/>
      <c r="H20" s="51" t="s">
        <v>107</v>
      </c>
      <c r="I20" s="52" t="str">
        <f>IF(K10=2,"Cantine","Canteen")</f>
        <v>Canteen</v>
      </c>
      <c r="J20" s="4">
        <v>2018</v>
      </c>
      <c r="K20" s="45"/>
      <c r="L20" s="43" t="str">
        <f t="shared" si="4"/>
        <v>1060</v>
      </c>
      <c r="M20" s="4"/>
      <c r="N20" s="60" t="s">
        <v>108</v>
      </c>
      <c r="O20" s="4"/>
      <c r="P20" s="4"/>
      <c r="Q20" s="60" t="s">
        <v>109</v>
      </c>
      <c r="R20" s="4" t="s">
        <v>110</v>
      </c>
      <c r="S20" s="4"/>
      <c r="T20" s="4"/>
      <c r="U20" s="4"/>
      <c r="V20" s="5" t="s">
        <v>111</v>
      </c>
      <c r="W20" s="5" t="s">
        <v>112</v>
      </c>
      <c r="X20" s="4" t="s">
        <v>42</v>
      </c>
      <c r="Y20" s="4" t="s">
        <v>43</v>
      </c>
      <c r="Z20" s="4"/>
      <c r="AA20" s="4"/>
      <c r="AB20" s="4"/>
      <c r="AC20" s="4"/>
      <c r="AD20" s="4"/>
      <c r="AE20" s="4"/>
      <c r="AF20" s="4"/>
      <c r="AH20" s="2"/>
      <c r="AI20" s="2"/>
      <c r="AJ20" s="2"/>
      <c r="AK20" s="9"/>
    </row>
    <row r="21" spans="2:37" ht="27" customHeight="1" x14ac:dyDescent="0.2">
      <c r="B21" s="61" t="str">
        <f>IF(K10=2,"Nom du trésorier ou de celui qui complétera le rapport financier","Treasurer's Name or the one who will complete the Financial Report")</f>
        <v>Treasurer's Name or the one who will complete the Financial Report</v>
      </c>
      <c r="C21" s="1471"/>
      <c r="D21" s="1471"/>
      <c r="E21" s="62" t="str">
        <f>IF(K10=2,"Actif à court terme","Current Assets")</f>
        <v>Current Assets</v>
      </c>
      <c r="F21" s="55"/>
      <c r="G21" s="48"/>
      <c r="H21" s="51" t="s">
        <v>113</v>
      </c>
      <c r="I21" s="52" t="str">
        <f>IF(K10=2,"Petite caisse","Petty Cash")</f>
        <v>Petty Cash</v>
      </c>
      <c r="J21" s="4">
        <v>2019</v>
      </c>
      <c r="K21" s="45"/>
      <c r="L21" s="43" t="str">
        <f t="shared" si="4"/>
        <v>1070</v>
      </c>
      <c r="M21" s="4"/>
      <c r="N21" s="60" t="str">
        <f>IF($K$10=2,"Colombie-Britannique","British Columbia")</f>
        <v>British Columbia</v>
      </c>
      <c r="O21" s="4"/>
      <c r="P21" s="4"/>
      <c r="Q21" s="60" t="s">
        <v>114</v>
      </c>
      <c r="R21" s="4" t="s">
        <v>110</v>
      </c>
      <c r="S21" s="4"/>
      <c r="T21" s="4"/>
      <c r="U21" s="4"/>
      <c r="X21" s="4" t="s">
        <v>42</v>
      </c>
      <c r="Y21" s="4" t="s">
        <v>43</v>
      </c>
      <c r="Z21" s="4"/>
      <c r="AA21" s="4"/>
      <c r="AB21" s="4"/>
      <c r="AC21" s="4"/>
      <c r="AD21" s="4"/>
      <c r="AE21" s="4"/>
      <c r="AF21" s="4"/>
      <c r="AH21" s="2"/>
      <c r="AI21" s="2"/>
      <c r="AJ21" s="2"/>
      <c r="AK21" s="9"/>
    </row>
    <row r="22" spans="2:37" ht="27" customHeight="1" x14ac:dyDescent="0.2">
      <c r="B22" s="63" t="str">
        <f>IF(K10=2,"Adresse postale","Mailing Address")</f>
        <v>Mailing Address</v>
      </c>
      <c r="C22" s="1460"/>
      <c r="D22" s="1460"/>
      <c r="F22" s="55"/>
      <c r="G22" s="48"/>
      <c r="H22" s="64" t="s">
        <v>115</v>
      </c>
      <c r="I22" s="65" t="s">
        <v>43</v>
      </c>
      <c r="J22" s="4">
        <v>2020</v>
      </c>
      <c r="K22" s="45"/>
      <c r="L22" s="43" t="str">
        <f t="shared" si="4"/>
        <v>1210</v>
      </c>
      <c r="M22" s="4"/>
      <c r="N22" s="60" t="s">
        <v>116</v>
      </c>
      <c r="O22" s="4"/>
      <c r="P22" s="4"/>
      <c r="Q22" s="60" t="s">
        <v>117</v>
      </c>
      <c r="R22" s="4" t="s">
        <v>110</v>
      </c>
      <c r="S22" s="4" t="s">
        <v>43</v>
      </c>
      <c r="T22" s="4"/>
      <c r="U22" s="4"/>
      <c r="V22" s="5" t="s">
        <v>118</v>
      </c>
      <c r="W22" s="5" t="s">
        <v>119</v>
      </c>
      <c r="X22" s="4"/>
      <c r="Y22" s="4"/>
      <c r="Z22" s="4"/>
      <c r="AA22" s="4"/>
      <c r="AB22" s="4"/>
      <c r="AC22" s="4"/>
      <c r="AD22" s="4"/>
      <c r="AE22" s="4"/>
      <c r="AF22" s="4"/>
      <c r="AH22" s="2"/>
      <c r="AI22" s="2"/>
      <c r="AJ22" s="2"/>
      <c r="AK22" s="9"/>
    </row>
    <row r="23" spans="2:37" ht="27" customHeight="1" x14ac:dyDescent="0.2">
      <c r="B23" s="63" t="str">
        <f>IF(K10=2," Ville, Prov, Code Postal","City,  Prov. &amp; Postal Code")</f>
        <v>City,  Prov. &amp; Postal Code</v>
      </c>
      <c r="C23" s="1472"/>
      <c r="D23" s="1472"/>
      <c r="F23" s="55"/>
      <c r="G23" s="48"/>
      <c r="H23" s="64" t="s">
        <v>120</v>
      </c>
      <c r="I23" s="65" t="s">
        <v>43</v>
      </c>
      <c r="J23" s="4">
        <v>2021</v>
      </c>
      <c r="K23" s="45"/>
      <c r="L23" s="43" t="str">
        <f t="shared" si="4"/>
        <v>1220</v>
      </c>
      <c r="M23" s="4"/>
      <c r="N23" s="60" t="str">
        <f>IF($K$10=2,"Nouveau-Brunswick","New Brunswick")</f>
        <v>New Brunswick</v>
      </c>
      <c r="O23" s="4"/>
      <c r="P23" s="4"/>
      <c r="Q23" s="60" t="s">
        <v>121</v>
      </c>
      <c r="R23" s="4" t="s">
        <v>122</v>
      </c>
      <c r="S23" s="4" t="s">
        <v>43</v>
      </c>
      <c r="T23" s="4"/>
      <c r="U23" s="4"/>
      <c r="V23" s="5" t="s">
        <v>123</v>
      </c>
      <c r="W23" s="5" t="s">
        <v>124</v>
      </c>
      <c r="X23" s="4"/>
      <c r="Y23" s="4"/>
      <c r="Z23" s="4"/>
      <c r="AA23" s="4"/>
      <c r="AB23" s="4"/>
      <c r="AC23" s="4"/>
      <c r="AD23" s="4"/>
      <c r="AE23" s="4"/>
      <c r="AF23" s="4"/>
      <c r="AH23" s="2"/>
      <c r="AI23" s="2"/>
      <c r="AJ23" s="2"/>
      <c r="AK23" s="9"/>
    </row>
    <row r="24" spans="2:37" ht="27" customHeight="1" x14ac:dyDescent="0.2">
      <c r="B24" s="66" t="str">
        <f>IF(K10=2,"Téléphone (Résidence)","Phone (Home)")</f>
        <v>Phone (Home)</v>
      </c>
      <c r="C24" s="1473"/>
      <c r="D24" s="1473"/>
      <c r="E24" s="67"/>
      <c r="F24" s="55"/>
      <c r="G24" s="48"/>
      <c r="H24" s="64" t="s">
        <v>125</v>
      </c>
      <c r="I24" s="65" t="s">
        <v>43</v>
      </c>
      <c r="J24" s="4">
        <v>2022</v>
      </c>
      <c r="K24" s="45"/>
      <c r="L24" s="43" t="str">
        <f t="shared" si="4"/>
        <v>1230</v>
      </c>
      <c r="M24" s="4"/>
      <c r="N24" s="60" t="str">
        <f>IF($K$10=2,"Terre-Neuve","Newfoundland")</f>
        <v>Newfoundland</v>
      </c>
      <c r="O24" s="4"/>
      <c r="P24" s="4"/>
      <c r="Q24" s="60" t="s">
        <v>126</v>
      </c>
      <c r="R24" s="4" t="s">
        <v>122</v>
      </c>
      <c r="S24" s="4" t="s">
        <v>43</v>
      </c>
      <c r="T24" s="4"/>
      <c r="U24" s="4"/>
      <c r="X24" s="4" t="s">
        <v>42</v>
      </c>
      <c r="Y24" s="4" t="s">
        <v>43</v>
      </c>
      <c r="Z24" s="4"/>
      <c r="AA24" s="4"/>
      <c r="AB24" s="4"/>
      <c r="AC24" s="4"/>
      <c r="AD24" s="4"/>
      <c r="AE24" s="4"/>
      <c r="AF24" s="4"/>
      <c r="AH24" s="2"/>
      <c r="AI24" s="2"/>
      <c r="AJ24" s="2"/>
      <c r="AK24" s="9"/>
    </row>
    <row r="25" spans="2:37" ht="27" customHeight="1" x14ac:dyDescent="0.2">
      <c r="B25" s="68" t="str">
        <f>IF(K10=2,"Meilleur temps pour appeler","Best Time to Call")</f>
        <v>Best Time to Call</v>
      </c>
      <c r="C25" s="1474"/>
      <c r="D25" s="1474"/>
      <c r="E25" s="67"/>
      <c r="F25" s="55"/>
      <c r="G25" s="48"/>
      <c r="H25" s="64" t="s">
        <v>127</v>
      </c>
      <c r="I25" s="69" t="s">
        <v>128</v>
      </c>
      <c r="J25" s="4">
        <v>2023</v>
      </c>
      <c r="K25" s="45"/>
      <c r="L25" s="43" t="str">
        <f t="shared" si="4"/>
        <v>1240</v>
      </c>
      <c r="M25" s="4"/>
      <c r="N25" s="60" t="str">
        <f>IF($K$10=2,"Nouvelle-Écosse","New Scotia")</f>
        <v>New Scotia</v>
      </c>
      <c r="O25" s="4"/>
      <c r="P25" s="4"/>
      <c r="Q25" s="60" t="s">
        <v>129</v>
      </c>
      <c r="R25" s="4" t="s">
        <v>122</v>
      </c>
      <c r="S25" s="4" t="s">
        <v>43</v>
      </c>
      <c r="T25" s="4"/>
      <c r="U25" s="4"/>
      <c r="V25" s="5"/>
      <c r="W25" s="5"/>
      <c r="X25" s="4" t="s">
        <v>42</v>
      </c>
      <c r="Y25" s="4" t="s">
        <v>43</v>
      </c>
      <c r="Z25" s="4"/>
      <c r="AA25" s="4"/>
      <c r="AB25" s="4"/>
      <c r="AC25" s="4"/>
      <c r="AD25" s="4"/>
      <c r="AE25" s="4"/>
      <c r="AF25" s="4"/>
      <c r="AH25" s="2"/>
      <c r="AI25" s="2"/>
      <c r="AJ25" s="2"/>
      <c r="AK25" s="9"/>
    </row>
    <row r="26" spans="2:37" ht="27" customHeight="1" x14ac:dyDescent="0.2">
      <c r="B26" s="66" t="str">
        <f>IF(K10=2,"Téléphone (Bureau ou Cellulaire)","Phone (Work or Cell)")</f>
        <v>Phone (Work or Cell)</v>
      </c>
      <c r="C26" s="1473"/>
      <c r="D26" s="1473"/>
      <c r="E26" s="1475" t="str">
        <f>IF(K10=2,"Actif à long terme","Long-Term Assets")</f>
        <v>Long-Term Assets</v>
      </c>
      <c r="F26" s="55"/>
      <c r="G26" s="48"/>
      <c r="H26" s="64" t="s">
        <v>130</v>
      </c>
      <c r="I26" s="69" t="s">
        <v>131</v>
      </c>
      <c r="J26" s="4">
        <v>2024</v>
      </c>
      <c r="K26" s="45"/>
      <c r="L26" s="43" t="str">
        <f t="shared" ref="L26:L32" si="5">LEFT(H30,4)</f>
        <v>2010</v>
      </c>
      <c r="M26" s="4"/>
      <c r="N26" s="60" t="s">
        <v>132</v>
      </c>
      <c r="O26" s="4"/>
      <c r="P26" s="4"/>
      <c r="Q26" s="56" t="s">
        <v>133</v>
      </c>
      <c r="R26" s="4" t="s">
        <v>110</v>
      </c>
      <c r="S26" s="4"/>
      <c r="T26" s="4"/>
      <c r="U26" s="4"/>
      <c r="V26" s="5"/>
      <c r="W26" s="5"/>
      <c r="X26" s="4" t="s">
        <v>42</v>
      </c>
      <c r="Y26" s="4" t="s">
        <v>43</v>
      </c>
      <c r="Z26" s="4"/>
      <c r="AA26" s="4"/>
      <c r="AB26" s="4"/>
      <c r="AC26" s="4"/>
      <c r="AD26" s="4"/>
      <c r="AE26" s="4"/>
      <c r="AF26" s="4"/>
      <c r="AH26" s="2"/>
      <c r="AI26" s="2"/>
      <c r="AJ26" s="2"/>
      <c r="AK26" s="9"/>
    </row>
    <row r="27" spans="2:37" ht="27" customHeight="1" x14ac:dyDescent="0.2">
      <c r="B27" s="68" t="str">
        <f>IF(K10=2,"Meilleur temps pour appeler","Best Time to Call")</f>
        <v>Best Time to Call</v>
      </c>
      <c r="C27" s="1474"/>
      <c r="D27" s="1474"/>
      <c r="E27" s="1475"/>
      <c r="F27" s="55"/>
      <c r="G27" s="48"/>
      <c r="H27" s="64" t="s">
        <v>134</v>
      </c>
      <c r="I27" s="65" t="s">
        <v>43</v>
      </c>
      <c r="J27" s="4">
        <v>2025</v>
      </c>
      <c r="K27" s="5"/>
      <c r="L27" s="43" t="str">
        <f t="shared" si="5"/>
        <v>2020</v>
      </c>
      <c r="M27" s="4"/>
      <c r="N27" s="60" t="str">
        <f>IF($K$10=2,"Ontario - Nord-Ouest","Ontario - Northwestern")</f>
        <v>Ontario - Northwestern</v>
      </c>
      <c r="O27" s="4"/>
      <c r="P27" s="4"/>
      <c r="Q27" s="56" t="s">
        <v>135</v>
      </c>
      <c r="R27" s="4" t="s">
        <v>110</v>
      </c>
      <c r="S27" s="4"/>
      <c r="T27" s="4"/>
      <c r="U27" s="4"/>
      <c r="V27" s="5" t="s">
        <v>136</v>
      </c>
      <c r="W27" s="5" t="s">
        <v>137</v>
      </c>
      <c r="X27" s="4" t="s">
        <v>42</v>
      </c>
      <c r="Y27" s="4" t="s">
        <v>43</v>
      </c>
      <c r="Z27" s="4"/>
      <c r="AA27" s="4"/>
      <c r="AB27" s="4"/>
      <c r="AC27" s="4"/>
      <c r="AD27" s="4"/>
      <c r="AE27" s="4"/>
      <c r="AF27" s="4"/>
      <c r="AH27" s="2"/>
      <c r="AI27" s="2"/>
      <c r="AJ27" s="2"/>
      <c r="AK27" s="9"/>
    </row>
    <row r="28" spans="2:37" ht="27" customHeight="1" x14ac:dyDescent="0.2">
      <c r="B28" s="66" t="str">
        <f>IF(K10=2,"Télécopieur","Fax")</f>
        <v>Fax</v>
      </c>
      <c r="C28" s="1476"/>
      <c r="D28" s="1476"/>
      <c r="E28" s="67"/>
      <c r="F28" s="70"/>
      <c r="G28" s="48"/>
      <c r="H28" s="64" t="s">
        <v>138</v>
      </c>
      <c r="I28" s="65" t="s">
        <v>43</v>
      </c>
      <c r="J28" s="4">
        <v>2026</v>
      </c>
      <c r="K28" s="5"/>
      <c r="L28" s="43" t="str">
        <f t="shared" si="5"/>
        <v>2030</v>
      </c>
      <c r="M28" s="4"/>
      <c r="N28" s="60" t="str">
        <f>IF($K$10=2,"Île-Du-Prince-Édouard","Prince Edward Island")</f>
        <v>Prince Edward Island</v>
      </c>
      <c r="O28" s="4"/>
      <c r="P28" s="4"/>
      <c r="Q28" s="60" t="s">
        <v>139</v>
      </c>
      <c r="R28" s="60" t="s">
        <v>122</v>
      </c>
      <c r="S28" s="4"/>
      <c r="T28" s="4"/>
      <c r="U28" s="4"/>
      <c r="V28" s="4" t="s">
        <v>140</v>
      </c>
      <c r="W28" s="4" t="s">
        <v>141</v>
      </c>
      <c r="X28" s="4" t="s">
        <v>42</v>
      </c>
      <c r="Y28" s="4" t="s">
        <v>43</v>
      </c>
      <c r="Z28" s="4"/>
      <c r="AA28" s="4"/>
      <c r="AB28" s="4"/>
      <c r="AC28" s="4"/>
      <c r="AD28" s="4"/>
      <c r="AE28" s="4"/>
      <c r="AF28" s="4"/>
      <c r="AH28" s="2"/>
      <c r="AI28" s="2"/>
      <c r="AJ28" s="2"/>
      <c r="AK28" s="9"/>
    </row>
    <row r="29" spans="2:37" ht="27" customHeight="1" x14ac:dyDescent="0.2">
      <c r="B29" s="71" t="str">
        <f>IF(K10=2,"(R) Résidence ou (B) Bureau)","(H) Home or (W) Work")</f>
        <v>(H) Home or (W) Work</v>
      </c>
      <c r="C29" s="1474"/>
      <c r="D29" s="1474"/>
      <c r="E29" s="72"/>
      <c r="H29" s="1477" t="str">
        <f>IF(K10=2,"Comptes de passif","Liability Accounts")</f>
        <v>Liability Accounts</v>
      </c>
      <c r="I29" s="1477"/>
      <c r="J29" s="4">
        <v>2027</v>
      </c>
      <c r="K29" s="5"/>
      <c r="L29" s="43" t="str">
        <f t="shared" si="5"/>
        <v>2040</v>
      </c>
      <c r="M29" s="4"/>
      <c r="N29" s="56" t="str">
        <f>IF($K$10=2,"Québec et Vallée de l'Outaouais","Québec and Ottawa Valley")</f>
        <v>Québec and Ottawa Valley</v>
      </c>
      <c r="O29" s="4"/>
      <c r="P29" s="4"/>
      <c r="Q29" s="60" t="s">
        <v>142</v>
      </c>
      <c r="R29" s="60" t="s">
        <v>122</v>
      </c>
      <c r="S29" s="4"/>
      <c r="T29" s="4"/>
      <c r="U29" s="4">
        <v>1050</v>
      </c>
      <c r="V29" s="4" t="s">
        <v>143</v>
      </c>
      <c r="W29" s="4" t="s">
        <v>144</v>
      </c>
      <c r="X29" s="4" t="s">
        <v>42</v>
      </c>
      <c r="Y29" s="4" t="s">
        <v>43</v>
      </c>
      <c r="Z29" s="4"/>
      <c r="AA29" s="4"/>
      <c r="AB29" s="4"/>
      <c r="AC29" s="4"/>
      <c r="AD29" s="4"/>
      <c r="AE29" s="4"/>
      <c r="AF29" s="4"/>
      <c r="AH29" s="2"/>
      <c r="AI29" s="2"/>
      <c r="AJ29" s="2"/>
      <c r="AK29" s="9"/>
    </row>
    <row r="30" spans="2:37" ht="27" customHeight="1" x14ac:dyDescent="0.2">
      <c r="B30" s="66" t="str">
        <f>IF(K10=2,"Courriel","E-Mail")</f>
        <v>E-Mail</v>
      </c>
      <c r="C30" s="1478"/>
      <c r="D30" s="1478"/>
      <c r="E30" s="72"/>
      <c r="F30" s="50"/>
      <c r="G30" s="48"/>
      <c r="H30" s="73" t="s">
        <v>145</v>
      </c>
      <c r="I30" s="74" t="str">
        <f>IF(K10=2,"Carte de crédit bancaire","Bank Credit Card")</f>
        <v>Bank Credit Card</v>
      </c>
      <c r="J30" s="4"/>
      <c r="K30" s="4" t="s">
        <v>146</v>
      </c>
      <c r="L30" s="43" t="str">
        <f t="shared" si="5"/>
        <v>2210</v>
      </c>
      <c r="M30" s="4"/>
      <c r="N30" s="60" t="s">
        <v>147</v>
      </c>
      <c r="O30" s="4"/>
      <c r="P30" s="4"/>
      <c r="Q30" s="60" t="s">
        <v>148</v>
      </c>
      <c r="R30" s="4" t="s">
        <v>110</v>
      </c>
      <c r="S30" s="4"/>
      <c r="T30" s="4"/>
      <c r="U30" s="4"/>
      <c r="V30" s="4"/>
      <c r="W30" s="4"/>
      <c r="X30" s="4" t="s">
        <v>42</v>
      </c>
      <c r="Y30" s="4" t="s">
        <v>43</v>
      </c>
      <c r="Z30" s="4"/>
      <c r="AA30" s="4"/>
      <c r="AB30" s="4"/>
      <c r="AC30" s="4"/>
      <c r="AD30" s="4"/>
      <c r="AE30" s="4"/>
      <c r="AF30" s="4"/>
      <c r="AH30" s="2"/>
      <c r="AI30" s="2"/>
      <c r="AJ30" s="2"/>
      <c r="AK30" s="2"/>
    </row>
    <row r="31" spans="2:37" ht="27" customHeight="1" x14ac:dyDescent="0.2">
      <c r="B31" s="75" t="str">
        <f>IF(K10=2,"(R) Résidence ou (B) Bureau)","(H) Home or (W) Work")</f>
        <v>(H) Home or (W) Work</v>
      </c>
      <c r="C31" s="1474"/>
      <c r="D31" s="1474"/>
      <c r="E31" s="1479" t="str">
        <f>IF(K10=2,"Passif à court terme","Current Liabilities")</f>
        <v>Current Liabilities</v>
      </c>
      <c r="F31" s="55"/>
      <c r="G31" s="29"/>
      <c r="H31" s="73" t="s">
        <v>149</v>
      </c>
      <c r="I31" s="76" t="s">
        <v>43</v>
      </c>
      <c r="J31" s="4"/>
      <c r="K31" s="4" t="s">
        <v>150</v>
      </c>
      <c r="L31" s="43" t="str">
        <f t="shared" si="5"/>
        <v>2220</v>
      </c>
      <c r="M31" s="4"/>
      <c r="N31" s="60" t="str">
        <f>IF($K$10=2,"Territoires","Territories")</f>
        <v>Territories</v>
      </c>
      <c r="O31" s="4"/>
      <c r="P31" s="4"/>
      <c r="Q31" s="60" t="s">
        <v>151</v>
      </c>
      <c r="R31" s="4" t="s">
        <v>110</v>
      </c>
      <c r="S31" s="4"/>
      <c r="T31" s="4"/>
      <c r="U31" s="4"/>
      <c r="V31" s="4" t="s">
        <v>152</v>
      </c>
      <c r="W31" s="4" t="s">
        <v>153</v>
      </c>
      <c r="X31" s="4" t="s">
        <v>42</v>
      </c>
      <c r="Y31" s="4" t="s">
        <v>43</v>
      </c>
      <c r="Z31" s="4"/>
      <c r="AA31" s="4"/>
      <c r="AB31" s="4"/>
      <c r="AC31" s="4"/>
      <c r="AD31" s="4"/>
      <c r="AE31" s="4"/>
      <c r="AF31" s="4"/>
      <c r="AH31" s="2"/>
      <c r="AI31" s="2"/>
      <c r="AJ31" s="2"/>
      <c r="AK31" s="2"/>
    </row>
    <row r="32" spans="2:37" ht="27" customHeight="1" x14ac:dyDescent="0.2">
      <c r="E32" s="1479"/>
      <c r="F32" s="55"/>
      <c r="G32" s="29"/>
      <c r="H32" s="73" t="s">
        <v>154</v>
      </c>
      <c r="I32" s="76" t="s">
        <v>43</v>
      </c>
      <c r="J32" s="4"/>
      <c r="K32" s="4" t="str">
        <f>IF($K$10=2,"Soir","Evening")</f>
        <v>Evening</v>
      </c>
      <c r="L32" s="43" t="str">
        <f t="shared" si="5"/>
        <v>2230</v>
      </c>
      <c r="M32" s="4"/>
      <c r="N32" s="60"/>
      <c r="O32" s="4"/>
      <c r="P32" s="4"/>
      <c r="Q32" s="56" t="s">
        <v>155</v>
      </c>
      <c r="R32" s="4" t="s">
        <v>110</v>
      </c>
      <c r="S32" s="4"/>
      <c r="T32" s="4"/>
      <c r="U32" s="4"/>
      <c r="V32" s="4" t="s">
        <v>156</v>
      </c>
      <c r="W32" s="4" t="s">
        <v>157</v>
      </c>
      <c r="X32" s="4" t="s">
        <v>42</v>
      </c>
      <c r="Y32" s="4" t="s">
        <v>43</v>
      </c>
      <c r="Z32" s="4"/>
      <c r="AA32" s="4"/>
      <c r="AB32" s="4"/>
      <c r="AC32" s="4"/>
      <c r="AD32" s="4"/>
      <c r="AE32" s="4"/>
      <c r="AF32" s="4"/>
      <c r="AH32" s="2"/>
      <c r="AI32" s="2"/>
      <c r="AJ32" s="2"/>
      <c r="AK32" s="2"/>
    </row>
    <row r="33" spans="1:37" ht="27" customHeight="1" x14ac:dyDescent="0.2">
      <c r="B33" s="1458" t="str">
        <f>IF(K10=2,"Commandant","Commanding Officer")</f>
        <v>Commanding Officer</v>
      </c>
      <c r="C33" s="1458"/>
      <c r="D33" s="1458"/>
      <c r="E33" s="72"/>
      <c r="F33" s="70"/>
      <c r="G33" s="29"/>
      <c r="H33" s="73" t="s">
        <v>158</v>
      </c>
      <c r="I33" s="76" t="s">
        <v>43</v>
      </c>
      <c r="J33" s="4"/>
      <c r="K33" s="4" t="str">
        <f>IF($K$10=2,"En tout temps","Anytime")</f>
        <v>Anytime</v>
      </c>
      <c r="L33" s="4"/>
      <c r="M33" s="4"/>
      <c r="N33" s="60"/>
      <c r="O33" s="4"/>
      <c r="P33" s="4"/>
      <c r="Q33" s="60"/>
      <c r="R33" s="60"/>
      <c r="S33" s="4"/>
      <c r="T33" s="4"/>
      <c r="U33" s="4"/>
      <c r="V33" s="4"/>
      <c r="W33" s="4"/>
      <c r="X33" s="4"/>
      <c r="Y33" s="4"/>
      <c r="Z33" s="4"/>
      <c r="AA33" s="4"/>
      <c r="AB33" s="4"/>
      <c r="AC33" s="4"/>
      <c r="AD33" s="4"/>
      <c r="AE33" s="4"/>
      <c r="AF33" s="4"/>
      <c r="AH33" s="2"/>
      <c r="AI33" s="2"/>
      <c r="AJ33" s="2"/>
      <c r="AK33" s="2"/>
    </row>
    <row r="34" spans="1:37" ht="27" customHeight="1" x14ac:dyDescent="0.2">
      <c r="B34" s="77" t="str">
        <f>IF(K10=2,"Grade, prénom et nom de famille:","Rank, First Name and Last Name")</f>
        <v>Rank, First Name and Last Name</v>
      </c>
      <c r="C34" s="1480"/>
      <c r="D34" s="1480"/>
      <c r="E34" s="72"/>
      <c r="F34" s="50"/>
      <c r="G34" s="29"/>
      <c r="H34" s="73" t="s">
        <v>159</v>
      </c>
      <c r="I34" s="76" t="s">
        <v>43</v>
      </c>
      <c r="J34" s="4"/>
      <c r="K34" s="4"/>
      <c r="L34" s="4"/>
      <c r="M34" s="4"/>
      <c r="N34" s="60"/>
      <c r="O34" s="5">
        <v>0</v>
      </c>
      <c r="P34" s="5"/>
      <c r="Q34" s="78">
        <v>0</v>
      </c>
      <c r="R34" s="78"/>
      <c r="S34" s="5">
        <v>0</v>
      </c>
      <c r="T34" s="5"/>
      <c r="U34" s="5">
        <v>1</v>
      </c>
      <c r="V34" s="4"/>
      <c r="W34" s="4"/>
      <c r="X34" s="4"/>
      <c r="Y34" s="4"/>
      <c r="Z34" s="4"/>
      <c r="AA34" s="4"/>
      <c r="AB34" s="4"/>
      <c r="AC34" s="4"/>
      <c r="AD34" s="4"/>
      <c r="AE34" s="4"/>
      <c r="AF34" s="4"/>
      <c r="AH34" s="2"/>
      <c r="AI34" s="2"/>
      <c r="AJ34" s="2"/>
      <c r="AK34" s="2"/>
    </row>
    <row r="35" spans="1:37" ht="27" customHeight="1" x14ac:dyDescent="0.2">
      <c r="E35" s="47" t="str">
        <f>IF(K10=2,"Dettes à long terme","Long-Term Debts")</f>
        <v>Long-Term Debts</v>
      </c>
      <c r="F35" s="55"/>
      <c r="G35" s="29"/>
      <c r="H35" s="73" t="s">
        <v>160</v>
      </c>
      <c r="I35" s="76" t="s">
        <v>153</v>
      </c>
      <c r="J35" s="4"/>
      <c r="K35" s="4"/>
      <c r="L35" s="4"/>
      <c r="M35" s="4"/>
      <c r="N35" s="60"/>
      <c r="O35" s="4"/>
      <c r="P35" s="4"/>
      <c r="Q35" s="60"/>
      <c r="R35" s="60"/>
      <c r="S35" s="4"/>
      <c r="T35" s="4"/>
      <c r="U35" s="4"/>
      <c r="V35" s="4"/>
      <c r="W35" s="4"/>
      <c r="X35" s="4"/>
      <c r="Y35" s="4"/>
      <c r="Z35" s="4"/>
      <c r="AA35" s="4"/>
      <c r="AB35" s="4"/>
      <c r="AC35" s="4"/>
      <c r="AD35" s="4"/>
      <c r="AE35" s="4"/>
      <c r="AF35" s="4"/>
      <c r="AH35" s="2"/>
      <c r="AI35" s="2"/>
      <c r="AJ35" s="2"/>
      <c r="AK35" s="2"/>
    </row>
    <row r="36" spans="1:37" ht="27" customHeight="1" x14ac:dyDescent="0.2">
      <c r="E36" s="72"/>
      <c r="F36" s="70"/>
      <c r="G36" s="29"/>
      <c r="H36" s="73" t="s">
        <v>161</v>
      </c>
      <c r="I36" s="76" t="s">
        <v>43</v>
      </c>
      <c r="J36" s="4"/>
      <c r="K36" s="79" t="str">
        <f>IF($K$10=2,"Juin","June")</f>
        <v>June</v>
      </c>
      <c r="L36" s="4" t="str">
        <f t="shared" ref="L36:L46" si="6">CONCATENATE(H18,I18)</f>
        <v>1010 - Other Cash in hand</v>
      </c>
      <c r="M36" s="4"/>
      <c r="N36" s="60"/>
      <c r="O36" s="4"/>
      <c r="P36" s="4"/>
      <c r="Q36" s="60"/>
      <c r="R36" s="60"/>
      <c r="S36" s="4"/>
      <c r="T36" s="4"/>
      <c r="U36" s="4"/>
      <c r="V36" s="4"/>
      <c r="W36" s="4"/>
      <c r="X36" s="4"/>
      <c r="Y36" s="4"/>
      <c r="Z36" s="4"/>
      <c r="AA36" s="4"/>
      <c r="AB36" s="4"/>
      <c r="AC36" s="4"/>
      <c r="AD36" s="4"/>
      <c r="AE36" s="4"/>
      <c r="AF36" s="4"/>
      <c r="AH36" s="2"/>
      <c r="AI36" s="2"/>
      <c r="AJ36" s="2"/>
      <c r="AK36" s="2"/>
    </row>
    <row r="37" spans="1:37" ht="27" customHeight="1" x14ac:dyDescent="0.2">
      <c r="B37" s="80"/>
      <c r="C37" s="80"/>
      <c r="D37" s="80"/>
      <c r="E37" s="72"/>
      <c r="F37" s="81"/>
      <c r="G37" s="29"/>
      <c r="H37" s="82"/>
      <c r="I37" s="83"/>
      <c r="J37" s="4"/>
      <c r="K37" s="79" t="str">
        <f>IF($K$10=2,"Août","August")</f>
        <v>August</v>
      </c>
      <c r="L37" s="4" t="str">
        <f t="shared" si="6"/>
        <v>1020 - Main Bank Account</v>
      </c>
      <c r="M37" s="4" t="str">
        <f>L37</f>
        <v>1020 - Main Bank Account</v>
      </c>
      <c r="N37" s="60"/>
      <c r="O37" s="4"/>
      <c r="P37" s="4"/>
      <c r="Q37" s="60"/>
      <c r="R37" s="60"/>
      <c r="S37" s="4"/>
      <c r="T37" s="4"/>
      <c r="U37" s="4"/>
      <c r="V37" s="4"/>
      <c r="W37" s="4"/>
      <c r="X37" s="4" t="str">
        <f>IF($K$10=2,IF(ABS(R44)&gt;=1,"Les informations de l’an passé sont inexactes","Les informations de l’année précédente sont exactes"),IF(ABS(R44)&gt;=1,"Previous Year's Information is NOT Correct","Previous Year's Information is Correct"))</f>
        <v>Previous Year's Information is Correct</v>
      </c>
      <c r="Y37" s="4"/>
      <c r="Z37" s="4"/>
      <c r="AA37" s="4"/>
      <c r="AB37" s="4"/>
      <c r="AC37" s="4"/>
      <c r="AD37" s="4"/>
      <c r="AE37" s="4"/>
      <c r="AF37" s="4"/>
      <c r="AH37" s="2"/>
      <c r="AI37" s="2"/>
      <c r="AJ37" s="2"/>
      <c r="AK37" s="2"/>
    </row>
    <row r="38" spans="1:37" ht="27" customHeight="1" x14ac:dyDescent="0.2">
      <c r="B38" s="80"/>
      <c r="C38" s="84"/>
      <c r="D38" s="84"/>
      <c r="E38" s="1481" t="str">
        <f>IF(K10=2,"Choisissez l'année du rapport financier","Select the Reporting Year")</f>
        <v>Select the Reporting Year</v>
      </c>
      <c r="F38" s="81"/>
      <c r="G38" s="29"/>
      <c r="H38" s="82"/>
      <c r="I38" s="83"/>
      <c r="J38" s="4">
        <v>30</v>
      </c>
      <c r="K38" s="4" t="s">
        <v>162</v>
      </c>
      <c r="L38" s="4" t="str">
        <f t="shared" si="6"/>
        <v>1030 - Canteen</v>
      </c>
      <c r="M38" s="4" t="str">
        <f t="shared" ref="M38:M48" si="7">L43</f>
        <v>1210 - Investments GICs</v>
      </c>
      <c r="N38" s="4"/>
      <c r="O38" s="4"/>
      <c r="P38" s="4"/>
      <c r="Q38" s="4"/>
      <c r="R38" s="4"/>
      <c r="S38" s="4"/>
      <c r="T38" s="4"/>
      <c r="U38" s="4"/>
      <c r="V38" s="4"/>
      <c r="W38" s="4"/>
      <c r="X38" s="4"/>
      <c r="Y38" s="4"/>
      <c r="Z38" s="4"/>
      <c r="AA38" s="4"/>
      <c r="AB38" s="4"/>
      <c r="AC38" s="4"/>
      <c r="AD38" s="4"/>
      <c r="AE38" s="4"/>
      <c r="AF38" s="4"/>
      <c r="AH38" s="2"/>
      <c r="AI38" s="2"/>
      <c r="AJ38" s="2"/>
      <c r="AK38" s="9"/>
    </row>
    <row r="39" spans="1:37" ht="36" customHeight="1" x14ac:dyDescent="0.2">
      <c r="B39" s="85"/>
      <c r="C39" s="86"/>
      <c r="D39" s="86"/>
      <c r="E39" s="1481"/>
      <c r="F39" s="87">
        <v>2023</v>
      </c>
      <c r="G39" s="88">
        <f>IF(F39="","",F39+1)</f>
        <v>2024</v>
      </c>
      <c r="I39" s="89"/>
      <c r="J39" s="4">
        <v>31</v>
      </c>
      <c r="K39" s="4" t="s">
        <v>163</v>
      </c>
      <c r="L39" s="4" t="str">
        <f t="shared" si="6"/>
        <v>1040 - Petty Cash</v>
      </c>
      <c r="M39" s="4" t="str">
        <f t="shared" si="7"/>
        <v>1220 - Investments (Mutual Funds and such)</v>
      </c>
      <c r="N39" s="4"/>
      <c r="O39" s="4"/>
      <c r="P39" s="4"/>
      <c r="Q39" s="4"/>
      <c r="R39" s="4"/>
      <c r="S39" s="4"/>
      <c r="T39" s="4"/>
      <c r="U39" s="4">
        <v>1080</v>
      </c>
      <c r="V39" s="4" t="str">
        <f>IF($K$10=2,"Oui","Yes")</f>
        <v>Yes</v>
      </c>
      <c r="W39" s="4" t="str">
        <f>IF($K$10=2,"Dimanche","Sunday")</f>
        <v>Sunday</v>
      </c>
      <c r="X39" s="4"/>
      <c r="Y39" s="4">
        <f>IF(OR(I40="Sunday",I40="Dimanche"),1,IF(OR(I40="Monday",I40="Lundi"),2,IF(OR(I40="Tuesday",I40="Mardi"),3,IF(OR(I40="Wednesday",I40="Mercredi"),4,IF(OR(I40="Thursday",I40="Jeudi"),5,IF(OR(I40="Friday",I40="Vendredi"),6,IF(OR(I40="Saturday",I40="Samedi"),7,0)))))))</f>
        <v>0</v>
      </c>
      <c r="Z39" s="4"/>
      <c r="AA39" s="4"/>
      <c r="AB39" s="4"/>
      <c r="AC39" s="4"/>
      <c r="AD39" s="4"/>
      <c r="AE39" s="4"/>
      <c r="AF39" s="4"/>
      <c r="AH39" s="2"/>
      <c r="AI39" s="2"/>
      <c r="AJ39" s="2"/>
      <c r="AK39" s="9"/>
    </row>
    <row r="40" spans="1:37" ht="36" customHeight="1" x14ac:dyDescent="0.2">
      <c r="C40" s="48"/>
      <c r="D40" s="48"/>
      <c r="E40" s="1482" t="str">
        <f>IF(K10=2,"Date de fin d'exercice","Date for Year-End")</f>
        <v>Date for Year-End</v>
      </c>
      <c r="F40" s="90">
        <f>IF(OR(G40="June",G40="Juin"),30,31)</f>
        <v>31</v>
      </c>
      <c r="G40" s="91" t="s">
        <v>725</v>
      </c>
      <c r="H40" s="92"/>
      <c r="I40" s="93"/>
      <c r="J40" s="4"/>
      <c r="K40" s="5"/>
      <c r="L40" s="4" t="str">
        <f t="shared" si="6"/>
        <v>1050 - Available (Rename)</v>
      </c>
      <c r="M40" s="4" t="str">
        <f t="shared" si="7"/>
        <v>1230 - Available (Rename)</v>
      </c>
      <c r="N40" s="4"/>
      <c r="O40" s="4" t="str">
        <f>CONCATENATE(F40," ",G40)</f>
        <v>31 August</v>
      </c>
      <c r="P40" s="4"/>
      <c r="Q40" s="4"/>
      <c r="R40" s="4"/>
      <c r="S40" s="4"/>
      <c r="T40" s="4"/>
      <c r="U40" s="4">
        <v>1090</v>
      </c>
      <c r="V40" s="4" t="str">
        <f>IF($K$10=2,"Non","No")</f>
        <v>No</v>
      </c>
      <c r="W40" s="4" t="str">
        <f>IF($K$10=2,"Lundi","Monday")</f>
        <v>Monday</v>
      </c>
      <c r="X40" s="4"/>
      <c r="Y40" s="4"/>
      <c r="Z40" s="4"/>
      <c r="AA40" s="4"/>
      <c r="AB40" s="4"/>
      <c r="AC40" s="4"/>
      <c r="AD40" s="4"/>
      <c r="AE40" s="4"/>
      <c r="AF40" s="4"/>
      <c r="AH40" s="2"/>
      <c r="AI40" s="2"/>
      <c r="AJ40" s="2"/>
      <c r="AK40" s="9"/>
    </row>
    <row r="41" spans="1:37" s="1" customFormat="1" ht="21" customHeight="1" x14ac:dyDescent="0.2">
      <c r="E41" s="1482"/>
      <c r="F41" s="94" t="str">
        <f>IF(K10=2,"jour","Day")</f>
        <v>Day</v>
      </c>
      <c r="G41" s="95" t="str">
        <f>IF(K10=2,"mois","Month")</f>
        <v>Month</v>
      </c>
      <c r="H41" s="80"/>
      <c r="I41" s="29"/>
      <c r="J41" s="4"/>
      <c r="K41" s="5">
        <f>IF(OR($G$40="June",$G40="Juin"),6,8)</f>
        <v>8</v>
      </c>
      <c r="L41" s="4" t="str">
        <f t="shared" si="6"/>
        <v>1060 - Available (Rename)</v>
      </c>
      <c r="M41" s="4" t="str">
        <f t="shared" si="7"/>
        <v>1240 - Available (Rename)</v>
      </c>
      <c r="N41" s="4"/>
      <c r="O41" s="4"/>
      <c r="P41" s="4"/>
      <c r="Q41" s="4"/>
      <c r="R41" s="4"/>
      <c r="S41" s="4"/>
      <c r="T41" s="4"/>
      <c r="U41" s="4">
        <v>1095</v>
      </c>
      <c r="V41" s="4"/>
      <c r="W41" s="4" t="str">
        <f>IF($K$10=2,"Mardi","Tuesday")</f>
        <v>Tuesday</v>
      </c>
      <c r="X41" s="4"/>
      <c r="Y41" s="4"/>
      <c r="Z41" s="4"/>
      <c r="AA41" s="4"/>
      <c r="AB41" s="4"/>
      <c r="AC41" s="4"/>
      <c r="AD41" s="4"/>
      <c r="AE41" s="4"/>
      <c r="AF41" s="4"/>
      <c r="AG41" s="2"/>
      <c r="AH41" s="2"/>
      <c r="AI41" s="2"/>
      <c r="AJ41" s="2"/>
      <c r="AK41" s="9"/>
    </row>
    <row r="42" spans="1:37" s="16" customFormat="1" ht="21" customHeight="1" x14ac:dyDescent="0.2">
      <c r="A42" s="1"/>
      <c r="B42" s="96"/>
      <c r="C42" s="97" t="str">
        <f>IF(K10=2,"Données de l'ACC9 de l`année précédente (Reportées à la Page 6 - Bilan):","Last Year's ACC9 Information (To Page 6 - Balance Sheet)")</f>
        <v>Last Year's ACC9 Information (To Page 6 - Balance Sheet)</v>
      </c>
      <c r="D42" s="98"/>
      <c r="E42" s="98"/>
      <c r="F42" s="98"/>
      <c r="G42" s="98"/>
      <c r="H42" s="98"/>
      <c r="I42" s="99"/>
      <c r="J42" s="8"/>
      <c r="K42" s="100" t="s">
        <v>164</v>
      </c>
      <c r="L42" s="4" t="str">
        <f t="shared" si="6"/>
        <v>1070 - Available (Rename)</v>
      </c>
      <c r="M42" s="4" t="str">
        <f t="shared" si="7"/>
        <v>2010 - Bank Credit Card</v>
      </c>
      <c r="N42" s="8"/>
      <c r="O42" s="8"/>
      <c r="P42" s="8"/>
      <c r="Q42" s="101" t="str">
        <f>F53</f>
        <v>BC</v>
      </c>
      <c r="R42" s="8"/>
      <c r="S42" s="8"/>
      <c r="T42" s="8"/>
      <c r="U42" s="8">
        <v>2010</v>
      </c>
      <c r="V42" s="8"/>
      <c r="W42" s="4" t="str">
        <f>IF($K$10=2,"Mercredi","Wednesday")</f>
        <v>Wednesday</v>
      </c>
      <c r="X42" s="8"/>
      <c r="Y42" s="8"/>
      <c r="Z42" s="8"/>
      <c r="AA42" s="8"/>
      <c r="AB42" s="8"/>
      <c r="AC42" s="8"/>
      <c r="AD42" s="8"/>
      <c r="AE42" s="8"/>
      <c r="AF42" s="8"/>
      <c r="AG42" s="15"/>
      <c r="AH42" s="15"/>
      <c r="AI42" s="15"/>
      <c r="AJ42" s="15"/>
      <c r="AK42" s="15"/>
    </row>
    <row r="43" spans="1:37" s="16" customFormat="1" ht="36" customHeight="1" x14ac:dyDescent="0.2">
      <c r="C43" s="1483" t="str">
        <f>IF(K10=2,"Actif total (ligne 1900)","Total Assets (line 1900)")</f>
        <v>Total Assets (line 1900)</v>
      </c>
      <c r="D43" s="1483"/>
      <c r="E43" s="1483"/>
      <c r="F43" s="102"/>
      <c r="G43" s="29"/>
      <c r="H43" s="29"/>
      <c r="I43" s="29"/>
      <c r="J43" s="8"/>
      <c r="K43" s="100" t="s">
        <v>165</v>
      </c>
      <c r="L43" s="4" t="str">
        <f t="shared" si="6"/>
        <v>1210 - Investments GICs</v>
      </c>
      <c r="M43" s="4" t="str">
        <f t="shared" si="7"/>
        <v>2020 - Available (Rename)</v>
      </c>
      <c r="N43" s="8"/>
      <c r="O43" s="8"/>
      <c r="P43" s="8"/>
      <c r="Q43" s="8"/>
      <c r="R43" s="8"/>
      <c r="S43" s="8"/>
      <c r="T43" s="8"/>
      <c r="U43" s="8"/>
      <c r="V43" s="8" t="str">
        <f>IF($K$10=2,"Résidence","Home")</f>
        <v>Home</v>
      </c>
      <c r="W43" s="4" t="str">
        <f>IF($K$10=2,"Jeudi","Thursday")</f>
        <v>Thursday</v>
      </c>
      <c r="X43" s="8"/>
      <c r="Y43" s="8"/>
      <c r="Z43" s="8"/>
      <c r="AA43" s="8"/>
      <c r="AB43" s="8"/>
      <c r="AC43" s="8"/>
      <c r="AD43" s="8"/>
      <c r="AE43" s="8"/>
      <c r="AF43" s="8"/>
      <c r="AG43" s="15"/>
      <c r="AH43" s="15"/>
      <c r="AI43" s="15"/>
      <c r="AJ43" s="15"/>
      <c r="AK43" s="15"/>
    </row>
    <row r="44" spans="1:37" s="16" customFormat="1" ht="36" customHeight="1" x14ac:dyDescent="0.2">
      <c r="C44" s="1484" t="str">
        <f>IF(K10=2,"Bénéfices non répartis accumulés (ligne 3100)","Retained Earnings (line 3100)")</f>
        <v>Retained Earnings (line 3100)</v>
      </c>
      <c r="D44" s="1484"/>
      <c r="E44" s="1484"/>
      <c r="F44" s="102"/>
      <c r="G44" s="92"/>
      <c r="H44" s="92"/>
      <c r="I44" s="1485" t="str">
        <f>X37</f>
        <v>Previous Year's Information is Correct</v>
      </c>
      <c r="J44" s="8"/>
      <c r="K44" s="13"/>
      <c r="L44" s="4" t="str">
        <f t="shared" si="6"/>
        <v>1220 - Investments (Mutual Funds and such)</v>
      </c>
      <c r="M44" s="4" t="str">
        <f t="shared" si="7"/>
        <v>2030 - Available (Rename)</v>
      </c>
      <c r="N44" s="8"/>
      <c r="O44" s="8"/>
      <c r="P44" s="8"/>
      <c r="Q44" s="8"/>
      <c r="R44" s="103">
        <f>F43-F44-F45-F46-F47</f>
        <v>0</v>
      </c>
      <c r="S44" s="8"/>
      <c r="T44" s="8"/>
      <c r="U44" s="8"/>
      <c r="V44" s="8" t="str">
        <f>IF($K$10=2,"Bureau","Office")</f>
        <v>Office</v>
      </c>
      <c r="W44" s="4" t="str">
        <f>IF($K$10=2,"Vendredi","Friday")</f>
        <v>Friday</v>
      </c>
      <c r="X44" s="8"/>
      <c r="Y44" s="8"/>
      <c r="Z44" s="8"/>
      <c r="AA44" s="8"/>
      <c r="AB44" s="8"/>
      <c r="AC44" s="8"/>
      <c r="AD44" s="8"/>
      <c r="AE44" s="8"/>
      <c r="AF44" s="8"/>
      <c r="AG44" s="15"/>
      <c r="AH44" s="15"/>
      <c r="AI44" s="15"/>
      <c r="AJ44" s="15"/>
      <c r="AK44" s="15"/>
    </row>
    <row r="45" spans="1:37" ht="36" customHeight="1" x14ac:dyDescent="0.2">
      <c r="A45" s="16"/>
      <c r="B45" s="16"/>
      <c r="C45" s="1484" t="str">
        <f>IF(K10=2,"Surplus/Déficits des recettes sur déboursés (ligne 3110)","Surplus/Deficit Revenue over Expenditures (line 3110)")</f>
        <v>Surplus/Deficit Revenue over Expenditures (line 3110)</v>
      </c>
      <c r="D45" s="1484"/>
      <c r="E45" s="1484"/>
      <c r="F45" s="102"/>
      <c r="G45" s="92"/>
      <c r="H45" s="92"/>
      <c r="I45" s="1485"/>
      <c r="J45" s="4"/>
      <c r="K45" s="5"/>
      <c r="L45" s="4" t="str">
        <f t="shared" si="6"/>
        <v>1230 - Available (Rename)</v>
      </c>
      <c r="M45" s="4" t="str">
        <f t="shared" si="7"/>
        <v>2040 - Available (Rename)</v>
      </c>
      <c r="N45" s="4"/>
      <c r="O45" s="4"/>
      <c r="P45" s="4"/>
      <c r="Q45" s="4"/>
      <c r="R45" s="4"/>
      <c r="S45" s="4"/>
      <c r="T45" s="4"/>
      <c r="U45" s="4"/>
      <c r="V45" s="4"/>
      <c r="W45" s="4" t="str">
        <f>IF($K$10=2,"Samedi","Saturday")</f>
        <v>Saturday</v>
      </c>
      <c r="X45" s="4"/>
      <c r="Y45" s="4"/>
      <c r="Z45" s="4"/>
      <c r="AA45" s="4"/>
      <c r="AB45" s="4"/>
      <c r="AC45" s="4"/>
      <c r="AD45" s="4"/>
      <c r="AE45" s="4"/>
      <c r="AF45" s="4"/>
      <c r="AH45" s="2"/>
      <c r="AI45" s="2"/>
      <c r="AJ45" s="2"/>
      <c r="AK45" s="9"/>
    </row>
    <row r="46" spans="1:37" ht="36" customHeight="1" x14ac:dyDescent="0.2">
      <c r="B46" s="16"/>
      <c r="C46" s="1484" t="str">
        <f>IF(K10=2,"Passif total (ligne 2400)"," Current Liability (outstanding debt) (line 2400)")</f>
        <v xml:space="preserve"> Current Liability (outstanding debt) (line 2400)</v>
      </c>
      <c r="D46" s="1484"/>
      <c r="E46" s="1484"/>
      <c r="F46" s="102"/>
      <c r="G46" s="92"/>
      <c r="H46" s="92"/>
      <c r="I46" s="1485"/>
      <c r="J46" s="4"/>
      <c r="K46" s="5"/>
      <c r="L46" s="4" t="str">
        <f t="shared" si="6"/>
        <v>1240 - Available (Rename)</v>
      </c>
      <c r="M46" s="4" t="str">
        <f t="shared" si="7"/>
        <v>2210 - Available (Rename)</v>
      </c>
      <c r="N46" s="4"/>
      <c r="O46" s="4"/>
      <c r="P46" s="4"/>
      <c r="Q46" s="4"/>
      <c r="R46" s="4"/>
      <c r="S46" s="4"/>
      <c r="T46" s="4"/>
      <c r="U46" s="4"/>
      <c r="V46" s="4"/>
      <c r="W46" s="4"/>
      <c r="X46" s="4"/>
      <c r="Y46" s="4"/>
      <c r="Z46" s="4"/>
      <c r="AA46" s="4"/>
      <c r="AB46" s="4"/>
      <c r="AC46" s="4"/>
      <c r="AD46" s="4"/>
      <c r="AE46" s="4"/>
      <c r="AF46" s="4"/>
      <c r="AH46" s="2"/>
      <c r="AI46" s="2"/>
      <c r="AJ46" s="2"/>
      <c r="AK46" s="9"/>
    </row>
    <row r="47" spans="1:37" ht="36" customHeight="1" x14ac:dyDescent="0.2">
      <c r="B47" s="16"/>
      <c r="C47" s="1486" t="str">
        <f>IF(K10=2,"Ajustement pour arrondissement (si utilisé l'an passé)","Integer rounding adjustment (if used last year)")</f>
        <v>Integer rounding adjustment (if used last year)</v>
      </c>
      <c r="D47" s="1486"/>
      <c r="E47" s="1486"/>
      <c r="F47" s="102"/>
      <c r="G47" s="22"/>
      <c r="I47" s="1485"/>
      <c r="J47" s="4"/>
      <c r="K47" s="5"/>
      <c r="L47" s="4" t="str">
        <f t="shared" ref="L47:L53" si="8">CONCATENATE(H30,I30)</f>
        <v>2010 - Bank Credit Card</v>
      </c>
      <c r="M47" s="4" t="str">
        <f t="shared" si="7"/>
        <v>2220 - Mortgage</v>
      </c>
      <c r="N47" s="4"/>
      <c r="O47" s="4"/>
      <c r="P47" s="4"/>
      <c r="Q47" s="4"/>
      <c r="R47" s="4"/>
      <c r="S47" s="4"/>
      <c r="T47" s="4"/>
      <c r="U47" s="4"/>
      <c r="V47" s="4" t="s">
        <v>106</v>
      </c>
      <c r="W47" s="4"/>
      <c r="X47" s="4"/>
      <c r="Y47" s="4"/>
      <c r="Z47" s="4"/>
      <c r="AA47" s="4"/>
      <c r="AB47" s="4"/>
      <c r="AC47" s="4"/>
      <c r="AD47" s="4"/>
      <c r="AE47" s="4"/>
      <c r="AF47" s="4"/>
      <c r="AH47" s="2"/>
      <c r="AI47" s="2"/>
      <c r="AJ47" s="2"/>
      <c r="AK47" s="9"/>
    </row>
    <row r="48" spans="1:37" ht="18" customHeight="1" x14ac:dyDescent="0.2">
      <c r="E48" s="22"/>
      <c r="F48" s="22"/>
      <c r="G48" s="22"/>
      <c r="J48" s="104" t="str">
        <f>LOOKUP(F53,Q20:R37)</f>
        <v>N</v>
      </c>
      <c r="K48" s="79" t="s">
        <v>166</v>
      </c>
      <c r="L48" s="4" t="str">
        <f t="shared" si="8"/>
        <v>2020 - Available (Rename)</v>
      </c>
      <c r="M48" s="4" t="str">
        <f t="shared" si="7"/>
        <v>2230 - Available (Rename)</v>
      </c>
      <c r="N48" s="4"/>
      <c r="O48" s="4"/>
      <c r="P48" s="4"/>
      <c r="Q48" s="4"/>
      <c r="R48" s="4"/>
      <c r="S48" s="4"/>
      <c r="T48" s="4"/>
      <c r="U48" s="4"/>
      <c r="V48" s="4" t="s">
        <v>167</v>
      </c>
      <c r="W48" s="4"/>
      <c r="X48" s="4"/>
      <c r="Y48" s="4"/>
      <c r="Z48" s="4"/>
      <c r="AA48" s="4"/>
      <c r="AB48" s="4"/>
      <c r="AC48" s="4"/>
      <c r="AD48" s="4"/>
      <c r="AE48" s="4"/>
      <c r="AF48" s="4"/>
      <c r="AH48" s="2"/>
      <c r="AI48" s="2"/>
      <c r="AJ48" s="2"/>
      <c r="AK48" s="9"/>
    </row>
    <row r="49" spans="2:37" ht="21" customHeight="1" x14ac:dyDescent="0.2">
      <c r="C49" s="97" t="str">
        <f>IF(K10=2,"Information sur les taxes","Taxes Information")</f>
        <v>Taxes Information</v>
      </c>
      <c r="D49" s="98"/>
      <c r="E49" s="98"/>
      <c r="F49" s="98"/>
      <c r="G49" s="98"/>
      <c r="H49" s="98"/>
      <c r="I49" s="99"/>
      <c r="J49" s="104"/>
      <c r="K49" s="79" t="s">
        <v>168</v>
      </c>
      <c r="L49" s="4" t="str">
        <f t="shared" si="8"/>
        <v>2030 - Available (Rename)</v>
      </c>
      <c r="M49" s="4"/>
      <c r="N49" s="4"/>
      <c r="O49" s="4"/>
      <c r="P49" s="4"/>
      <c r="Q49" s="4"/>
      <c r="R49" s="4"/>
      <c r="S49" s="4"/>
      <c r="T49" s="4"/>
      <c r="U49" s="4"/>
      <c r="V49" s="4"/>
      <c r="W49" s="4"/>
      <c r="X49" s="4"/>
      <c r="Y49" s="4"/>
      <c r="Z49" s="4"/>
      <c r="AA49" s="4"/>
      <c r="AB49" s="4"/>
      <c r="AC49" s="4"/>
      <c r="AD49" s="4"/>
      <c r="AE49" s="4"/>
      <c r="AF49" s="4"/>
      <c r="AH49" s="2"/>
      <c r="AI49" s="2"/>
      <c r="AJ49" s="2"/>
      <c r="AK49" s="9"/>
    </row>
    <row r="50" spans="2:37" ht="18" x14ac:dyDescent="0.2">
      <c r="B50" s="1487" t="str">
        <f>IF(K10=2,"Taux de la Taxe de vente harmonisée (TVH)","Harmonized Tax Rate (HST)")</f>
        <v>Harmonized Tax Rate (HST)</v>
      </c>
      <c r="C50" s="1487"/>
      <c r="D50" s="1487"/>
      <c r="E50" s="1487"/>
      <c r="F50" s="105" t="str">
        <f>IF(J48="N","",SUM(F51:F52))</f>
        <v/>
      </c>
      <c r="G50" s="1488" t="str">
        <f>IF(J48="N",IF(K10=2,K50,K48),IF(K10=2,K51,K49))</f>
        <v>This province does not participate in the HST Program.</v>
      </c>
      <c r="H50" s="1488"/>
      <c r="I50" s="1488"/>
      <c r="J50" s="4"/>
      <c r="K50" s="79" t="s">
        <v>169</v>
      </c>
      <c r="L50" s="4" t="str">
        <f t="shared" si="8"/>
        <v>2040 - Available (Rename)</v>
      </c>
      <c r="M50" s="4"/>
      <c r="N50" s="4"/>
      <c r="O50" s="4"/>
      <c r="P50" s="4"/>
      <c r="Q50" s="4"/>
      <c r="R50" s="4"/>
      <c r="S50" s="4"/>
      <c r="T50" s="4"/>
      <c r="U50" s="4"/>
      <c r="V50" s="4"/>
      <c r="W50" s="4"/>
      <c r="X50" s="4"/>
      <c r="Y50" s="4"/>
      <c r="Z50" s="4"/>
      <c r="AA50" s="4"/>
      <c r="AB50" s="4"/>
      <c r="AC50" s="4"/>
      <c r="AD50" s="4"/>
      <c r="AE50" s="4"/>
      <c r="AF50" s="4"/>
      <c r="AH50" s="2"/>
      <c r="AI50" s="2"/>
      <c r="AJ50" s="2"/>
      <c r="AK50" s="2"/>
    </row>
    <row r="51" spans="2:37" ht="18" x14ac:dyDescent="0.2">
      <c r="C51" s="1489" t="str">
        <f>IF(K10=2,"Taux fédéral de taxation (TPS)","Federal Tax Rate (GST)")</f>
        <v>Federal Tax Rate (GST)</v>
      </c>
      <c r="D51" s="1489"/>
      <c r="E51" s="1489"/>
      <c r="F51" s="106">
        <f>'Tax Rebate Calculations'!S39</f>
        <v>0.05</v>
      </c>
      <c r="G51" s="1488"/>
      <c r="H51" s="1488"/>
      <c r="I51" s="1488"/>
      <c r="J51" s="4"/>
      <c r="K51" s="79" t="s">
        <v>170</v>
      </c>
      <c r="L51" s="4" t="str">
        <f t="shared" si="8"/>
        <v>2210 - Available (Rename)</v>
      </c>
      <c r="M51" s="4"/>
      <c r="N51" s="4"/>
      <c r="O51" s="4"/>
      <c r="P51" s="4"/>
      <c r="Q51" s="4"/>
      <c r="R51" s="4"/>
      <c r="S51" s="4"/>
      <c r="T51" s="4"/>
      <c r="U51" s="4"/>
      <c r="V51" s="4"/>
      <c r="W51" s="4"/>
      <c r="X51" s="4"/>
      <c r="Y51" s="4"/>
      <c r="Z51" s="4"/>
      <c r="AA51" s="4"/>
      <c r="AB51" s="4"/>
      <c r="AC51" s="4"/>
      <c r="AD51" s="4"/>
      <c r="AE51" s="4"/>
      <c r="AF51" s="4"/>
      <c r="AH51" s="2"/>
      <c r="AI51" s="2"/>
      <c r="AJ51" s="2"/>
      <c r="AK51" s="2"/>
    </row>
    <row r="52" spans="2:37" ht="18" x14ac:dyDescent="0.2">
      <c r="C52" s="1489" t="str">
        <f>IF(K10=2,"Taux provincial de taxation (TVP)","Provincial Tax Rate (PST)")</f>
        <v>Provincial Tax Rate (PST)</v>
      </c>
      <c r="D52" s="1489"/>
      <c r="E52" s="1489"/>
      <c r="F52" s="106">
        <f>'Tax Rebate Calculations'!F21</f>
        <v>7.0000000000000007E-2</v>
      </c>
      <c r="G52" s="1488"/>
      <c r="H52" s="1488"/>
      <c r="I52" s="1488"/>
      <c r="L52" s="4" t="str">
        <f t="shared" si="8"/>
        <v>2220 - Mortgage</v>
      </c>
      <c r="W52" s="4"/>
      <c r="AH52" s="2"/>
      <c r="AI52" s="2"/>
      <c r="AJ52" s="2"/>
      <c r="AK52" s="2"/>
    </row>
    <row r="53" spans="2:37" ht="18.75" customHeight="1" x14ac:dyDescent="0.2">
      <c r="B53" s="107"/>
      <c r="C53" s="1489" t="str">
        <f>IF(K10=2,"Sélectionnez votre province d'appartenance","Select your province")</f>
        <v>Select your province</v>
      </c>
      <c r="D53" s="1489"/>
      <c r="E53" s="1489"/>
      <c r="F53" s="108" t="s">
        <v>114</v>
      </c>
      <c r="G53" s="109"/>
      <c r="L53" s="4" t="str">
        <f t="shared" si="8"/>
        <v>2230 - Available (Rename)</v>
      </c>
      <c r="AH53" s="2"/>
      <c r="AI53" s="2"/>
      <c r="AJ53" s="2"/>
      <c r="AK53" s="9"/>
    </row>
    <row r="54" spans="2:37" ht="7.5" customHeight="1" x14ac:dyDescent="0.2">
      <c r="B54" s="107"/>
      <c r="C54" s="1490"/>
      <c r="D54" s="1490"/>
      <c r="E54" s="1490"/>
      <c r="F54" s="110"/>
      <c r="G54" s="109"/>
      <c r="AH54" s="2"/>
      <c r="AI54" s="2"/>
      <c r="AJ54" s="2"/>
      <c r="AK54" s="9"/>
    </row>
    <row r="55" spans="2:37" ht="6.75" customHeight="1" x14ac:dyDescent="0.2">
      <c r="E55" s="111"/>
      <c r="F55" s="109"/>
      <c r="G55" s="109"/>
      <c r="K55" s="2"/>
      <c r="L55" s="112"/>
      <c r="M55" s="113" t="str">
        <f>'Data Set up'!L15</f>
        <v>1010</v>
      </c>
      <c r="N55" s="114" t="e">
        <f>SUMIF(#REF!,$G57,$G$10:$G$155)</f>
        <v>#REF!</v>
      </c>
      <c r="AH55" s="2"/>
      <c r="AI55" s="2"/>
      <c r="AJ55" s="2"/>
      <c r="AK55" s="9"/>
    </row>
    <row r="56" spans="2:37" ht="21" customHeight="1" x14ac:dyDescent="0.2">
      <c r="C56" s="115" t="str">
        <f>IF(K10=2,"Chèques et dépôts non-traités de l'année précédente","Cheques &amp; Deposits not processed in previous year")</f>
        <v>Cheques &amp; Deposits not processed in previous year</v>
      </c>
      <c r="D56" s="116"/>
      <c r="E56" s="116"/>
      <c r="F56" s="116"/>
      <c r="G56" s="98"/>
      <c r="H56" s="116"/>
      <c r="I56" s="117"/>
      <c r="K56" s="2"/>
      <c r="L56" s="118"/>
      <c r="M56" s="113" t="str">
        <f>'Data Set up'!L16</f>
        <v>1020</v>
      </c>
      <c r="N56" s="114">
        <f t="shared" ref="N56:N61" si="9">SUMIF($H$59:$H$71,$M56,$F$59:$F$71)</f>
        <v>0</v>
      </c>
      <c r="O56" s="114">
        <f t="shared" ref="O56:O61" si="10">SUMIF($H$76:$H$88,$M56,$F$76:$F$88)</f>
        <v>0</v>
      </c>
      <c r="P56" s="114">
        <f t="shared" ref="P56:P61" si="11">N56-O56</f>
        <v>0</v>
      </c>
      <c r="S56" s="4" t="s">
        <v>171</v>
      </c>
      <c r="AH56" s="2"/>
      <c r="AI56" s="2"/>
      <c r="AJ56" s="2"/>
      <c r="AK56" s="2"/>
    </row>
    <row r="57" spans="2:37" ht="30" x14ac:dyDescent="0.2">
      <c r="C57" s="119" t="str">
        <f>IF(K10=2,"# de réf","Ref #")</f>
        <v>Ref #</v>
      </c>
      <c r="D57" s="1491" t="str">
        <f>IF(K10=2,"Reçu de","Received from")</f>
        <v>Received from</v>
      </c>
      <c r="E57" s="1491"/>
      <c r="F57" s="120" t="str">
        <f>IF(K10=2,"Montant","Amount")</f>
        <v>Amount</v>
      </c>
      <c r="G57" s="121" t="str">
        <f>IF(K10=2,"Date
(jj/mm/aaaa)","Date
(dd/mm/yyyy)")</f>
        <v>Date
(dd/mm/yyyy)</v>
      </c>
      <c r="H57" s="1492" t="str">
        <f>IF(K10=2,"Compte","Account")</f>
        <v>Account</v>
      </c>
      <c r="I57" s="1492"/>
      <c r="L57" s="118"/>
      <c r="M57" s="113" t="str">
        <f>'Data Set up'!L17</f>
        <v>1030</v>
      </c>
      <c r="N57" s="114">
        <f t="shared" si="9"/>
        <v>0</v>
      </c>
      <c r="O57" s="114">
        <f t="shared" si="10"/>
        <v>0</v>
      </c>
      <c r="P57" s="114">
        <f t="shared" si="11"/>
        <v>0</v>
      </c>
      <c r="S57" s="4" t="s">
        <v>172</v>
      </c>
      <c r="AH57" s="2"/>
      <c r="AI57" s="2"/>
      <c r="AJ57" s="2"/>
      <c r="AK57" s="9"/>
    </row>
    <row r="58" spans="2:37" ht="18" x14ac:dyDescent="0.2">
      <c r="C58" s="122" t="str">
        <f>IF(K10=2,"Dépôts","Deposits")</f>
        <v>Deposits</v>
      </c>
      <c r="D58" s="122"/>
      <c r="E58" s="122"/>
      <c r="F58" s="122"/>
      <c r="G58" s="122"/>
      <c r="H58" s="122"/>
      <c r="I58" s="122"/>
      <c r="L58" s="118"/>
      <c r="M58" s="113" t="str">
        <f>'Data Set up'!L18</f>
        <v>1040</v>
      </c>
      <c r="N58" s="114">
        <f t="shared" si="9"/>
        <v>0</v>
      </c>
      <c r="O58" s="114">
        <f t="shared" si="10"/>
        <v>0</v>
      </c>
      <c r="P58" s="114">
        <f t="shared" si="11"/>
        <v>0</v>
      </c>
      <c r="S58" s="4" t="s">
        <v>173</v>
      </c>
      <c r="AH58" s="2"/>
      <c r="AI58" s="2"/>
      <c r="AJ58" s="2"/>
      <c r="AK58" s="9"/>
    </row>
    <row r="59" spans="2:37" ht="19.5" customHeight="1" x14ac:dyDescent="0.2">
      <c r="C59" s="123"/>
      <c r="D59" s="1493"/>
      <c r="E59" s="1493"/>
      <c r="F59" s="124"/>
      <c r="G59" s="125"/>
      <c r="H59" s="126" t="str">
        <f>LEFT(I59,4)</f>
        <v/>
      </c>
      <c r="I59" s="127"/>
      <c r="J59" s="2" t="str">
        <f>LEFT(I59,4)</f>
        <v/>
      </c>
      <c r="L59" s="118"/>
      <c r="M59" s="113" t="str">
        <f>'Data Set up'!L19</f>
        <v>1050</v>
      </c>
      <c r="N59" s="114">
        <f t="shared" si="9"/>
        <v>0</v>
      </c>
      <c r="O59" s="114">
        <f t="shared" si="10"/>
        <v>0</v>
      </c>
      <c r="P59" s="114">
        <f t="shared" si="11"/>
        <v>0</v>
      </c>
      <c r="S59" s="4" t="s">
        <v>174</v>
      </c>
      <c r="AH59" s="2"/>
      <c r="AI59" s="2"/>
      <c r="AJ59" s="2"/>
      <c r="AK59" s="9"/>
    </row>
    <row r="60" spans="2:37" ht="19.5" customHeight="1" x14ac:dyDescent="0.2">
      <c r="C60" s="123"/>
      <c r="D60" s="1493"/>
      <c r="E60" s="1493"/>
      <c r="F60" s="124"/>
      <c r="G60" s="125"/>
      <c r="H60" s="126" t="str">
        <f>LEFT(I60,4)</f>
        <v/>
      </c>
      <c r="I60" s="127"/>
      <c r="J60" s="2" t="str">
        <f>LEFT(I60,4)</f>
        <v/>
      </c>
      <c r="L60" s="118"/>
      <c r="M60" s="113" t="str">
        <f>'Data Set up'!L20</f>
        <v>1060</v>
      </c>
      <c r="N60" s="114">
        <f t="shared" si="9"/>
        <v>0</v>
      </c>
      <c r="O60" s="114">
        <f t="shared" si="10"/>
        <v>0</v>
      </c>
      <c r="P60" s="114">
        <f t="shared" si="11"/>
        <v>0</v>
      </c>
      <c r="AH60" s="2"/>
      <c r="AI60" s="2"/>
      <c r="AJ60" s="2"/>
      <c r="AK60" s="9"/>
    </row>
    <row r="61" spans="2:37" ht="19.5" customHeight="1" x14ac:dyDescent="0.2">
      <c r="C61" s="123"/>
      <c r="D61" s="1493"/>
      <c r="E61" s="1493"/>
      <c r="F61" s="124"/>
      <c r="G61" s="125"/>
      <c r="H61" s="126" t="str">
        <f>LEFT(I61,4)</f>
        <v/>
      </c>
      <c r="I61" s="127"/>
      <c r="J61" s="2" t="str">
        <f>LEFT(I61,4)</f>
        <v/>
      </c>
      <c r="L61" s="118"/>
      <c r="M61" s="113" t="str">
        <f>'Data Set up'!L21</f>
        <v>1070</v>
      </c>
      <c r="N61" s="114">
        <f t="shared" si="9"/>
        <v>0</v>
      </c>
      <c r="O61" s="114">
        <f t="shared" si="10"/>
        <v>0</v>
      </c>
      <c r="P61" s="114">
        <f t="shared" si="11"/>
        <v>0</v>
      </c>
      <c r="AH61" s="2"/>
      <c r="AI61" s="2"/>
      <c r="AJ61" s="2"/>
      <c r="AK61" s="9"/>
    </row>
    <row r="62" spans="2:37" ht="19.5" customHeight="1" x14ac:dyDescent="0.2">
      <c r="B62" s="1494" t="str">
        <f>IF($K$10=2,S58,S59)</f>
        <v>If there is not enough space to list all your deposits, group amounts together.</v>
      </c>
      <c r="C62" s="123"/>
      <c r="D62" s="1493"/>
      <c r="E62" s="1493"/>
      <c r="F62" s="124"/>
      <c r="G62" s="125"/>
      <c r="H62" s="126"/>
      <c r="I62" s="127"/>
      <c r="L62" s="118"/>
      <c r="M62" s="113"/>
      <c r="N62" s="114"/>
      <c r="O62" s="114"/>
      <c r="P62" s="114"/>
      <c r="AH62" s="2"/>
      <c r="AI62" s="2"/>
      <c r="AJ62" s="2"/>
      <c r="AK62" s="9"/>
    </row>
    <row r="63" spans="2:37" ht="19.5" customHeight="1" x14ac:dyDescent="0.2">
      <c r="B63" s="1494"/>
      <c r="C63" s="123"/>
      <c r="D63" s="1493"/>
      <c r="E63" s="1493"/>
      <c r="F63" s="124"/>
      <c r="G63" s="125"/>
      <c r="H63" s="126"/>
      <c r="I63" s="127"/>
      <c r="L63" s="118"/>
      <c r="M63" s="113"/>
      <c r="N63" s="114"/>
      <c r="O63" s="114"/>
      <c r="P63" s="114"/>
      <c r="AH63" s="2"/>
      <c r="AI63" s="2"/>
      <c r="AJ63" s="2"/>
      <c r="AK63" s="9"/>
    </row>
    <row r="64" spans="2:37" ht="19.5" customHeight="1" x14ac:dyDescent="0.2">
      <c r="B64" s="1494"/>
      <c r="C64" s="123"/>
      <c r="D64" s="1493"/>
      <c r="E64" s="1493"/>
      <c r="F64" s="124"/>
      <c r="G64" s="125"/>
      <c r="H64" s="126"/>
      <c r="I64" s="127"/>
      <c r="L64" s="118"/>
      <c r="M64" s="113"/>
      <c r="N64" s="114"/>
      <c r="O64" s="114"/>
      <c r="P64" s="114"/>
      <c r="AH64" s="2"/>
      <c r="AI64" s="2"/>
      <c r="AJ64" s="2"/>
      <c r="AK64" s="9"/>
    </row>
    <row r="65" spans="2:37" ht="19.5" customHeight="1" x14ac:dyDescent="0.2">
      <c r="B65" s="1494"/>
      <c r="C65" s="123"/>
      <c r="D65" s="1493"/>
      <c r="E65" s="1493"/>
      <c r="F65" s="124"/>
      <c r="G65" s="125"/>
      <c r="H65" s="126"/>
      <c r="I65" s="127"/>
      <c r="L65" s="118"/>
      <c r="M65" s="113"/>
      <c r="N65" s="114"/>
      <c r="O65" s="114"/>
      <c r="P65" s="114"/>
      <c r="AH65" s="2"/>
      <c r="AI65" s="2"/>
      <c r="AJ65" s="2"/>
      <c r="AK65" s="9"/>
    </row>
    <row r="66" spans="2:37" ht="19.5" customHeight="1" x14ac:dyDescent="0.2">
      <c r="B66" s="1494"/>
      <c r="C66" s="123"/>
      <c r="D66" s="1493"/>
      <c r="E66" s="1493"/>
      <c r="F66" s="124"/>
      <c r="G66" s="125"/>
      <c r="H66" s="126"/>
      <c r="I66" s="127"/>
      <c r="L66" s="118"/>
      <c r="M66" s="113"/>
      <c r="N66" s="114"/>
      <c r="O66" s="114"/>
      <c r="P66" s="114"/>
      <c r="AH66" s="2"/>
      <c r="AI66" s="2"/>
      <c r="AJ66" s="2"/>
      <c r="AK66" s="9"/>
    </row>
    <row r="67" spans="2:37" ht="19.5" customHeight="1" x14ac:dyDescent="0.2">
      <c r="B67" s="1494"/>
      <c r="C67" s="123"/>
      <c r="D67" s="1493"/>
      <c r="E67" s="1493"/>
      <c r="F67" s="124"/>
      <c r="G67" s="125"/>
      <c r="H67" s="126"/>
      <c r="I67" s="127"/>
      <c r="L67" s="118"/>
      <c r="M67" s="113"/>
      <c r="N67" s="114"/>
      <c r="O67" s="114"/>
      <c r="P67" s="114"/>
      <c r="AH67" s="2"/>
      <c r="AI67" s="2"/>
      <c r="AJ67" s="2"/>
      <c r="AK67" s="9"/>
    </row>
    <row r="68" spans="2:37" ht="19.5" customHeight="1" x14ac:dyDescent="0.2">
      <c r="B68" s="1494"/>
      <c r="C68" s="123"/>
      <c r="D68" s="1493"/>
      <c r="E68" s="1493"/>
      <c r="F68" s="124"/>
      <c r="G68" s="125"/>
      <c r="H68" s="126"/>
      <c r="I68" s="127"/>
      <c r="L68" s="118"/>
      <c r="M68" s="113"/>
      <c r="N68" s="114"/>
      <c r="O68" s="114"/>
      <c r="P68" s="114"/>
      <c r="AH68" s="2"/>
      <c r="AI68" s="2"/>
      <c r="AJ68" s="2"/>
      <c r="AK68" s="9"/>
    </row>
    <row r="69" spans="2:37" ht="19.5" customHeight="1" x14ac:dyDescent="0.2">
      <c r="C69" s="123"/>
      <c r="D69" s="1493"/>
      <c r="E69" s="1493"/>
      <c r="F69" s="124"/>
      <c r="G69" s="125"/>
      <c r="H69" s="126"/>
      <c r="I69" s="127"/>
      <c r="L69" s="118"/>
      <c r="M69" s="113"/>
      <c r="N69" s="114"/>
      <c r="O69" s="114"/>
      <c r="P69" s="114"/>
      <c r="AH69" s="2"/>
      <c r="AI69" s="2"/>
      <c r="AJ69" s="2"/>
      <c r="AK69" s="9"/>
    </row>
    <row r="70" spans="2:37" ht="19.5" customHeight="1" x14ac:dyDescent="0.2">
      <c r="C70" s="123"/>
      <c r="D70" s="1493"/>
      <c r="E70" s="1493"/>
      <c r="F70" s="124"/>
      <c r="G70" s="125"/>
      <c r="H70" s="126"/>
      <c r="I70" s="127"/>
      <c r="L70" s="118"/>
      <c r="M70" s="113"/>
      <c r="N70" s="114"/>
      <c r="O70" s="114"/>
      <c r="P70" s="114"/>
      <c r="AH70" s="2"/>
      <c r="AI70" s="2"/>
      <c r="AJ70" s="2"/>
      <c r="AK70" s="9"/>
    </row>
    <row r="71" spans="2:37" ht="19.5" customHeight="1" x14ac:dyDescent="0.2">
      <c r="C71" s="123"/>
      <c r="D71" s="1493"/>
      <c r="E71" s="1493"/>
      <c r="F71" s="124"/>
      <c r="G71" s="125"/>
      <c r="H71" s="126" t="str">
        <f>LEFT(I71,4)</f>
        <v/>
      </c>
      <c r="I71" s="127"/>
      <c r="J71" s="2" t="str">
        <f>LEFT(I71,4)</f>
        <v/>
      </c>
      <c r="L71" s="118"/>
      <c r="M71" s="113" t="str">
        <f>'Data Set up'!L22</f>
        <v>1210</v>
      </c>
      <c r="N71" s="114">
        <f t="shared" ref="N71:N81" si="12">SUMIF($H$59:$H$71,$M71,$F$59:$F$71)</f>
        <v>0</v>
      </c>
      <c r="O71" s="114">
        <f t="shared" ref="O71:O81" si="13">SUMIF($H$76:$H$88,$M71,$F$76:$F$88)</f>
        <v>0</v>
      </c>
      <c r="P71" s="114">
        <f t="shared" ref="P71:P81" si="14">N71-O71</f>
        <v>0</v>
      </c>
      <c r="AH71" s="2"/>
      <c r="AI71" s="2"/>
      <c r="AJ71" s="2"/>
      <c r="AK71" s="9"/>
    </row>
    <row r="72" spans="2:37" ht="19.5" customHeight="1" x14ac:dyDescent="0.2">
      <c r="C72" s="85"/>
      <c r="D72" s="85"/>
      <c r="E72" s="128" t="s">
        <v>175</v>
      </c>
      <c r="F72" s="129">
        <f>SUM(F59:F71)</f>
        <v>0</v>
      </c>
      <c r="G72" s="80"/>
      <c r="H72" s="86"/>
      <c r="I72" s="86"/>
      <c r="L72" s="118"/>
      <c r="M72" s="113" t="str">
        <f>'Data Set up'!L23</f>
        <v>1220</v>
      </c>
      <c r="N72" s="114">
        <f t="shared" si="12"/>
        <v>0</v>
      </c>
      <c r="O72" s="114">
        <f t="shared" si="13"/>
        <v>0</v>
      </c>
      <c r="P72" s="114">
        <f t="shared" si="14"/>
        <v>0</v>
      </c>
      <c r="AH72" s="2"/>
      <c r="AI72" s="2"/>
      <c r="AJ72" s="2"/>
      <c r="AK72" s="9"/>
    </row>
    <row r="73" spans="2:37" ht="15.75" x14ac:dyDescent="0.2">
      <c r="C73" s="85"/>
      <c r="D73" s="85"/>
      <c r="G73" s="80"/>
      <c r="H73" s="86"/>
      <c r="I73" s="86"/>
      <c r="L73" s="118"/>
      <c r="M73" s="113" t="str">
        <f>'Data Set up'!L24</f>
        <v>1230</v>
      </c>
      <c r="N73" s="114">
        <f t="shared" si="12"/>
        <v>0</v>
      </c>
      <c r="O73" s="114">
        <f t="shared" si="13"/>
        <v>0</v>
      </c>
      <c r="P73" s="114">
        <f t="shared" si="14"/>
        <v>0</v>
      </c>
      <c r="AH73" s="2"/>
      <c r="AI73" s="2"/>
      <c r="AJ73" s="2"/>
      <c r="AK73" s="9"/>
    </row>
    <row r="74" spans="2:37" ht="30" x14ac:dyDescent="0.2">
      <c r="C74" s="119" t="str">
        <f>IF(K27=2,"# de réf","Ref #")</f>
        <v>Ref #</v>
      </c>
      <c r="D74" s="1491" t="str">
        <f>IF(K27=2,"Payé à","Paid to")</f>
        <v>Paid to</v>
      </c>
      <c r="E74" s="1491"/>
      <c r="F74" s="120" t="str">
        <f>IF(K27=2,"Montant","Amount")</f>
        <v>Amount</v>
      </c>
      <c r="G74" s="121" t="str">
        <f>IF(K27=2,"Date
(jj/mm/aaaa)","Date
(dd/mm/yyyy)")</f>
        <v>Date
(dd/mm/yyyy)</v>
      </c>
      <c r="H74" s="1492" t="str">
        <f>IF(K27=2,"Compte","Account")</f>
        <v>Account</v>
      </c>
      <c r="I74" s="1492"/>
      <c r="L74" s="118"/>
      <c r="M74" s="113" t="str">
        <f>'Data Set up'!L25</f>
        <v>1240</v>
      </c>
      <c r="N74" s="114">
        <f t="shared" si="12"/>
        <v>0</v>
      </c>
      <c r="O74" s="114">
        <f t="shared" si="13"/>
        <v>0</v>
      </c>
      <c r="P74" s="114">
        <f t="shared" si="14"/>
        <v>0</v>
      </c>
      <c r="AH74" s="2"/>
      <c r="AI74" s="2"/>
      <c r="AJ74" s="2"/>
      <c r="AK74" s="9"/>
    </row>
    <row r="75" spans="2:37" ht="18" x14ac:dyDescent="0.2">
      <c r="C75" s="122" t="str">
        <f>IF(K10=2,"Chèques","Cheques")</f>
        <v>Cheques</v>
      </c>
      <c r="D75" s="122"/>
      <c r="E75" s="122"/>
      <c r="F75" s="122"/>
      <c r="G75" s="122"/>
      <c r="H75" s="122"/>
      <c r="I75" s="122"/>
      <c r="L75" s="118"/>
      <c r="M75" s="113" t="str">
        <f>'Data Set up'!L26</f>
        <v>2010</v>
      </c>
      <c r="N75" s="114">
        <f t="shared" si="12"/>
        <v>0</v>
      </c>
      <c r="O75" s="114">
        <f t="shared" si="13"/>
        <v>0</v>
      </c>
      <c r="P75" s="114">
        <f t="shared" si="14"/>
        <v>0</v>
      </c>
      <c r="AH75" s="2"/>
      <c r="AI75" s="2"/>
      <c r="AJ75" s="2"/>
      <c r="AK75" s="2"/>
    </row>
    <row r="76" spans="2:37" ht="20.100000000000001" customHeight="1" x14ac:dyDescent="0.2">
      <c r="C76" s="123"/>
      <c r="D76" s="1493"/>
      <c r="E76" s="1493"/>
      <c r="F76" s="124"/>
      <c r="G76" s="125"/>
      <c r="H76" s="126" t="str">
        <f t="shared" ref="H76:H88" si="15">LEFT(I76,4)</f>
        <v/>
      </c>
      <c r="I76" s="127"/>
      <c r="J76" s="2" t="str">
        <f t="shared" ref="J76:J88" si="16">LEFT(I76,4)</f>
        <v/>
      </c>
      <c r="L76" s="118"/>
      <c r="M76" s="113" t="str">
        <f>'Data Set up'!L27</f>
        <v>2020</v>
      </c>
      <c r="N76" s="114">
        <f t="shared" si="12"/>
        <v>0</v>
      </c>
      <c r="O76" s="114">
        <f t="shared" si="13"/>
        <v>0</v>
      </c>
      <c r="P76" s="114">
        <f t="shared" si="14"/>
        <v>0</v>
      </c>
      <c r="AH76" s="2"/>
      <c r="AI76" s="2"/>
      <c r="AJ76" s="2"/>
      <c r="AK76" s="2"/>
    </row>
    <row r="77" spans="2:37" ht="20.100000000000001" customHeight="1" x14ac:dyDescent="0.2">
      <c r="C77" s="123"/>
      <c r="D77" s="1493"/>
      <c r="E77" s="1493"/>
      <c r="F77" s="124"/>
      <c r="G77" s="125"/>
      <c r="H77" s="126" t="str">
        <f t="shared" si="15"/>
        <v/>
      </c>
      <c r="I77" s="127"/>
      <c r="J77" s="2" t="str">
        <f t="shared" si="16"/>
        <v/>
      </c>
      <c r="L77" s="118"/>
      <c r="M77" s="113" t="str">
        <f>'Data Set up'!L28</f>
        <v>2030</v>
      </c>
      <c r="N77" s="114">
        <f t="shared" si="12"/>
        <v>0</v>
      </c>
      <c r="O77" s="114">
        <f t="shared" si="13"/>
        <v>0</v>
      </c>
      <c r="P77" s="114">
        <f t="shared" si="14"/>
        <v>0</v>
      </c>
      <c r="AH77" s="2"/>
      <c r="AI77" s="2"/>
      <c r="AJ77" s="2"/>
      <c r="AK77" s="2"/>
    </row>
    <row r="78" spans="2:37" ht="20.100000000000001" customHeight="1" x14ac:dyDescent="0.2">
      <c r="C78" s="123"/>
      <c r="D78" s="1493"/>
      <c r="E78" s="1493"/>
      <c r="F78" s="124"/>
      <c r="G78" s="125"/>
      <c r="H78" s="126" t="str">
        <f t="shared" si="15"/>
        <v/>
      </c>
      <c r="I78" s="127"/>
      <c r="J78" s="2" t="str">
        <f t="shared" si="16"/>
        <v/>
      </c>
      <c r="L78" s="118"/>
      <c r="M78" s="113" t="str">
        <f>'Data Set up'!L29</f>
        <v>2040</v>
      </c>
      <c r="N78" s="114">
        <f t="shared" si="12"/>
        <v>0</v>
      </c>
      <c r="O78" s="114">
        <f t="shared" si="13"/>
        <v>0</v>
      </c>
      <c r="P78" s="114">
        <f t="shared" si="14"/>
        <v>0</v>
      </c>
      <c r="AH78" s="2"/>
      <c r="AI78" s="2"/>
      <c r="AJ78" s="2"/>
      <c r="AK78" s="2"/>
    </row>
    <row r="79" spans="2:37" ht="20.100000000000001" customHeight="1" x14ac:dyDescent="0.2">
      <c r="B79" s="1494" t="str">
        <f>IF($K$10=2,S56,S57)</f>
        <v>If there is not enough space to list all your cheques or disbursements, group amounts together.</v>
      </c>
      <c r="C79" s="123"/>
      <c r="D79" s="1493"/>
      <c r="E79" s="1493"/>
      <c r="F79" s="124"/>
      <c r="G79" s="125"/>
      <c r="H79" s="126" t="str">
        <f t="shared" si="15"/>
        <v/>
      </c>
      <c r="I79" s="127"/>
      <c r="J79" s="2" t="str">
        <f t="shared" si="16"/>
        <v/>
      </c>
      <c r="L79" s="118"/>
      <c r="M79" s="113" t="str">
        <f>'Data Set up'!L30</f>
        <v>2210</v>
      </c>
      <c r="N79" s="114">
        <f t="shared" si="12"/>
        <v>0</v>
      </c>
      <c r="O79" s="114">
        <f t="shared" si="13"/>
        <v>0</v>
      </c>
      <c r="P79" s="114">
        <f t="shared" si="14"/>
        <v>0</v>
      </c>
      <c r="AA79" s="130"/>
      <c r="AH79" s="2"/>
      <c r="AI79" s="2"/>
      <c r="AJ79" s="2"/>
      <c r="AK79" s="2"/>
    </row>
    <row r="80" spans="2:37" ht="20.100000000000001" customHeight="1" x14ac:dyDescent="0.2">
      <c r="B80" s="1494"/>
      <c r="C80" s="123"/>
      <c r="D80" s="1493"/>
      <c r="E80" s="1493"/>
      <c r="F80" s="124"/>
      <c r="G80" s="125"/>
      <c r="H80" s="126" t="str">
        <f t="shared" si="15"/>
        <v/>
      </c>
      <c r="I80" s="127"/>
      <c r="J80" s="2" t="str">
        <f t="shared" si="16"/>
        <v/>
      </c>
      <c r="L80" s="131"/>
      <c r="M80" s="113" t="str">
        <f>'Data Set up'!L31</f>
        <v>2220</v>
      </c>
      <c r="N80" s="114">
        <f t="shared" si="12"/>
        <v>0</v>
      </c>
      <c r="O80" s="114">
        <f t="shared" si="13"/>
        <v>0</v>
      </c>
      <c r="P80" s="114">
        <f t="shared" si="14"/>
        <v>0</v>
      </c>
      <c r="AH80" s="2"/>
      <c r="AI80" s="2"/>
      <c r="AJ80" s="2"/>
      <c r="AK80" s="9"/>
    </row>
    <row r="81" spans="2:37" ht="20.100000000000001" customHeight="1" x14ac:dyDescent="0.2">
      <c r="B81" s="1494"/>
      <c r="C81" s="123"/>
      <c r="D81" s="1493"/>
      <c r="E81" s="1493"/>
      <c r="F81" s="124"/>
      <c r="G81" s="125"/>
      <c r="H81" s="126" t="str">
        <f t="shared" si="15"/>
        <v/>
      </c>
      <c r="I81" s="127"/>
      <c r="J81" s="2" t="str">
        <f t="shared" si="16"/>
        <v/>
      </c>
      <c r="M81" s="113" t="str">
        <f>'Data Set up'!L32</f>
        <v>2230</v>
      </c>
      <c r="N81" s="114">
        <f t="shared" si="12"/>
        <v>0</v>
      </c>
      <c r="O81" s="114">
        <f t="shared" si="13"/>
        <v>0</v>
      </c>
      <c r="P81" s="114">
        <f t="shared" si="14"/>
        <v>0</v>
      </c>
      <c r="AH81" s="2"/>
      <c r="AI81" s="2"/>
      <c r="AJ81" s="2"/>
      <c r="AK81" s="9"/>
    </row>
    <row r="82" spans="2:37" ht="20.100000000000001" customHeight="1" x14ac:dyDescent="0.2">
      <c r="B82" s="1494"/>
      <c r="C82" s="123"/>
      <c r="D82" s="1493"/>
      <c r="E82" s="1493"/>
      <c r="F82" s="124"/>
      <c r="G82" s="125"/>
      <c r="H82" s="126" t="str">
        <f t="shared" si="15"/>
        <v/>
      </c>
      <c r="I82" s="127"/>
      <c r="J82" s="2" t="str">
        <f t="shared" si="16"/>
        <v/>
      </c>
      <c r="AH82" s="2"/>
      <c r="AI82" s="2"/>
      <c r="AJ82" s="2"/>
      <c r="AK82" s="9"/>
    </row>
    <row r="83" spans="2:37" ht="20.100000000000001" customHeight="1" x14ac:dyDescent="0.2">
      <c r="B83" s="1494"/>
      <c r="C83" s="123"/>
      <c r="D83" s="1493"/>
      <c r="E83" s="1493"/>
      <c r="F83" s="124"/>
      <c r="G83" s="125"/>
      <c r="H83" s="126" t="str">
        <f t="shared" si="15"/>
        <v/>
      </c>
      <c r="I83" s="127"/>
      <c r="J83" s="2" t="str">
        <f t="shared" si="16"/>
        <v/>
      </c>
      <c r="AH83" s="2"/>
      <c r="AI83" s="2"/>
      <c r="AJ83" s="2"/>
      <c r="AK83" s="9"/>
    </row>
    <row r="84" spans="2:37" ht="20.100000000000001" customHeight="1" x14ac:dyDescent="0.2">
      <c r="B84" s="1494"/>
      <c r="C84" s="28"/>
      <c r="D84" s="1493"/>
      <c r="E84" s="1493"/>
      <c r="F84" s="124"/>
      <c r="G84" s="125"/>
      <c r="H84" s="126" t="str">
        <f t="shared" si="15"/>
        <v/>
      </c>
      <c r="I84" s="127"/>
      <c r="J84" s="2" t="str">
        <f t="shared" si="16"/>
        <v/>
      </c>
      <c r="AH84" s="2"/>
      <c r="AI84" s="2"/>
      <c r="AJ84" s="2"/>
      <c r="AK84" s="9"/>
    </row>
    <row r="85" spans="2:37" ht="20.100000000000001" customHeight="1" x14ac:dyDescent="0.2">
      <c r="B85" s="1494"/>
      <c r="C85" s="28"/>
      <c r="D85" s="1493"/>
      <c r="E85" s="1493"/>
      <c r="F85" s="124"/>
      <c r="G85" s="125"/>
      <c r="H85" s="126" t="str">
        <f t="shared" si="15"/>
        <v/>
      </c>
      <c r="I85" s="127"/>
      <c r="J85" s="2" t="str">
        <f t="shared" si="16"/>
        <v/>
      </c>
      <c r="AH85" s="2"/>
      <c r="AI85" s="2"/>
      <c r="AJ85" s="2"/>
      <c r="AK85" s="2"/>
    </row>
    <row r="86" spans="2:37" ht="20.100000000000001" customHeight="1" x14ac:dyDescent="0.2">
      <c r="C86" s="28"/>
      <c r="D86" s="1493"/>
      <c r="E86" s="1493"/>
      <c r="F86" s="124"/>
      <c r="G86" s="125"/>
      <c r="H86" s="126" t="str">
        <f t="shared" si="15"/>
        <v/>
      </c>
      <c r="I86" s="127"/>
      <c r="J86" s="2" t="str">
        <f t="shared" si="16"/>
        <v/>
      </c>
      <c r="AH86" s="2"/>
      <c r="AI86" s="2"/>
      <c r="AJ86" s="2"/>
      <c r="AK86" s="2"/>
    </row>
    <row r="87" spans="2:37" ht="20.100000000000001" customHeight="1" x14ac:dyDescent="0.2">
      <c r="C87" s="28"/>
      <c r="D87" s="1493"/>
      <c r="E87" s="1493"/>
      <c r="F87" s="124"/>
      <c r="G87" s="125"/>
      <c r="H87" s="126" t="str">
        <f t="shared" si="15"/>
        <v/>
      </c>
      <c r="I87" s="127"/>
      <c r="J87" s="2" t="str">
        <f t="shared" si="16"/>
        <v/>
      </c>
      <c r="AH87" s="2"/>
      <c r="AI87" s="2"/>
      <c r="AJ87" s="2"/>
      <c r="AK87" s="9"/>
    </row>
    <row r="88" spans="2:37" ht="20.100000000000001" customHeight="1" x14ac:dyDescent="0.2">
      <c r="C88" s="28"/>
      <c r="D88" s="1493"/>
      <c r="E88" s="1493"/>
      <c r="F88" s="124"/>
      <c r="G88" s="125"/>
      <c r="H88" s="126" t="str">
        <f t="shared" si="15"/>
        <v/>
      </c>
      <c r="I88" s="127"/>
      <c r="J88" s="2" t="str">
        <f t="shared" si="16"/>
        <v/>
      </c>
      <c r="AH88" s="2"/>
      <c r="AI88" s="2"/>
      <c r="AJ88" s="2"/>
      <c r="AK88" s="9"/>
    </row>
    <row r="89" spans="2:37" ht="20.100000000000001" customHeight="1" x14ac:dyDescent="0.2">
      <c r="C89" s="85"/>
      <c r="D89" s="85"/>
      <c r="E89" s="128" t="s">
        <v>176</v>
      </c>
      <c r="F89" s="129">
        <f>SUM(F76:F88)</f>
        <v>0</v>
      </c>
      <c r="G89" s="132"/>
      <c r="H89" s="86"/>
      <c r="I89" s="86"/>
    </row>
    <row r="90" spans="2:37" ht="20.100000000000001" customHeight="1" x14ac:dyDescent="0.2">
      <c r="B90" s="133"/>
      <c r="C90" s="133"/>
      <c r="D90" s="133"/>
      <c r="E90" s="128" t="s">
        <v>177</v>
      </c>
      <c r="F90" s="134">
        <f>F72-F89</f>
        <v>0</v>
      </c>
      <c r="G90" s="133"/>
      <c r="H90" s="133"/>
      <c r="I90" s="133"/>
    </row>
    <row r="93" spans="2:37" ht="18" x14ac:dyDescent="0.2">
      <c r="C93" s="135"/>
      <c r="D93" s="135"/>
      <c r="E93" s="135"/>
      <c r="F93" s="135"/>
      <c r="G93" s="135"/>
      <c r="H93" s="135"/>
      <c r="I93" s="135"/>
    </row>
    <row r="95" spans="2:37" ht="15.75" x14ac:dyDescent="0.2">
      <c r="C95" s="136"/>
      <c r="D95" s="136"/>
      <c r="E95" s="136"/>
      <c r="F95" s="137"/>
      <c r="G95" s="137"/>
    </row>
    <row r="96" spans="2:37" ht="24.75" customHeight="1" x14ac:dyDescent="0.2">
      <c r="C96" s="47"/>
      <c r="D96" s="138"/>
      <c r="E96" s="47"/>
      <c r="F96" s="139"/>
      <c r="G96" s="139"/>
      <c r="I96" s="136"/>
    </row>
    <row r="97" spans="3:9" ht="24.75" customHeight="1" x14ac:dyDescent="0.2">
      <c r="C97" s="47"/>
      <c r="D97" s="138"/>
      <c r="E97" s="47"/>
      <c r="F97" s="139"/>
      <c r="G97" s="139"/>
      <c r="I97" s="140"/>
    </row>
    <row r="98" spans="3:9" ht="24.75" customHeight="1" x14ac:dyDescent="0.2">
      <c r="C98" s="47"/>
      <c r="D98" s="138"/>
      <c r="E98" s="47"/>
      <c r="F98" s="139"/>
      <c r="G98" s="139"/>
    </row>
    <row r="99" spans="3:9" ht="24.75" customHeight="1" x14ac:dyDescent="0.2">
      <c r="C99" s="47"/>
      <c r="D99" s="138"/>
      <c r="E99" s="47"/>
      <c r="F99" s="139"/>
      <c r="G99" s="139"/>
    </row>
    <row r="100" spans="3:9" ht="24.75" customHeight="1" x14ac:dyDescent="0.2">
      <c r="C100" s="47"/>
      <c r="D100" s="138"/>
      <c r="E100" s="47"/>
      <c r="F100" s="139"/>
      <c r="G100" s="139"/>
    </row>
    <row r="101" spans="3:9" ht="24.75" customHeight="1" x14ac:dyDescent="0.2">
      <c r="C101" s="47"/>
      <c r="E101" s="47"/>
      <c r="F101" s="139"/>
      <c r="G101" s="139"/>
    </row>
    <row r="102" spans="3:9" ht="24.75" customHeight="1" x14ac:dyDescent="0.2">
      <c r="C102" s="47"/>
      <c r="E102" s="47"/>
      <c r="F102" s="139"/>
      <c r="G102" s="139"/>
    </row>
    <row r="103" spans="3:9" ht="24.75" customHeight="1" x14ac:dyDescent="0.2">
      <c r="C103" s="47"/>
      <c r="E103" s="47"/>
      <c r="F103" s="139"/>
      <c r="G103" s="139"/>
    </row>
    <row r="104" spans="3:9" ht="24.75" customHeight="1" x14ac:dyDescent="0.2">
      <c r="F104" s="141"/>
      <c r="G104" s="141"/>
    </row>
  </sheetData>
  <sheetProtection algorithmName="SHA-512" hashValue="qd/XOzTvhUAguj45H2nfr6X3xyPpXIo/wX6dC9QRP/6uMYo3LpEyOQvwqraBWhlA97rvlqYirT90KP6xxzCvGQ==" saltValue="b5qqrUduEt2QWaYHQjTWkA==" spinCount="100000" sheet="1" objects="1" scenarios="1" selectLockedCells="1"/>
  <protectedRanges>
    <protectedRange sqref="B8:D8 B21:D21 B33:D33 B14:D14 B15" name="Range7_1"/>
    <protectedRange sqref="C15:D15" name="Range7_1_2"/>
  </protectedRanges>
  <mergeCells count="83">
    <mergeCell ref="D86:E86"/>
    <mergeCell ref="D87:E87"/>
    <mergeCell ref="D88:E88"/>
    <mergeCell ref="D76:E76"/>
    <mergeCell ref="D77:E77"/>
    <mergeCell ref="D78:E78"/>
    <mergeCell ref="B79:B85"/>
    <mergeCell ref="D79:E79"/>
    <mergeCell ref="D80:E80"/>
    <mergeCell ref="D81:E81"/>
    <mergeCell ref="D82:E82"/>
    <mergeCell ref="D83:E83"/>
    <mergeCell ref="D84:E84"/>
    <mergeCell ref="D85:E85"/>
    <mergeCell ref="D69:E69"/>
    <mergeCell ref="D70:E70"/>
    <mergeCell ref="D71:E71"/>
    <mergeCell ref="D74:E74"/>
    <mergeCell ref="H74:I74"/>
    <mergeCell ref="D60:E60"/>
    <mergeCell ref="D61:E61"/>
    <mergeCell ref="B62:B68"/>
    <mergeCell ref="D62:E62"/>
    <mergeCell ref="D63:E63"/>
    <mergeCell ref="D64:E64"/>
    <mergeCell ref="D65:E65"/>
    <mergeCell ref="D66:E66"/>
    <mergeCell ref="D67:E67"/>
    <mergeCell ref="D68:E68"/>
    <mergeCell ref="C53:E53"/>
    <mergeCell ref="C54:E54"/>
    <mergeCell ref="D57:E57"/>
    <mergeCell ref="H57:I57"/>
    <mergeCell ref="D59:E59"/>
    <mergeCell ref="I44:I47"/>
    <mergeCell ref="C45:E45"/>
    <mergeCell ref="C46:E46"/>
    <mergeCell ref="C47:E47"/>
    <mergeCell ref="B50:E50"/>
    <mergeCell ref="G50:I52"/>
    <mergeCell ref="C51:E51"/>
    <mergeCell ref="C52:E52"/>
    <mergeCell ref="C34:D34"/>
    <mergeCell ref="E38:E39"/>
    <mergeCell ref="E40:E41"/>
    <mergeCell ref="C43:E43"/>
    <mergeCell ref="C44:E44"/>
    <mergeCell ref="H29:I29"/>
    <mergeCell ref="C30:D30"/>
    <mergeCell ref="C31:D31"/>
    <mergeCell ref="E31:E32"/>
    <mergeCell ref="B33:D33"/>
    <mergeCell ref="C26:D26"/>
    <mergeCell ref="E26:E27"/>
    <mergeCell ref="C27:D27"/>
    <mergeCell ref="C28:D28"/>
    <mergeCell ref="C29:D29"/>
    <mergeCell ref="C21:D21"/>
    <mergeCell ref="C22:D22"/>
    <mergeCell ref="C23:D23"/>
    <mergeCell ref="C24:D24"/>
    <mergeCell ref="C25:D25"/>
    <mergeCell ref="C17:D17"/>
    <mergeCell ref="H17:I17"/>
    <mergeCell ref="C18:D18"/>
    <mergeCell ref="C19:D19"/>
    <mergeCell ref="C20:D20"/>
    <mergeCell ref="C13:D13"/>
    <mergeCell ref="C14:D14"/>
    <mergeCell ref="C15:D15"/>
    <mergeCell ref="C16:D16"/>
    <mergeCell ref="F16:I16"/>
    <mergeCell ref="B8:D8"/>
    <mergeCell ref="C10:D10"/>
    <mergeCell ref="C11:D11"/>
    <mergeCell ref="C12:D12"/>
    <mergeCell ref="F12:I12"/>
    <mergeCell ref="B1:I1"/>
    <mergeCell ref="B2:I2"/>
    <mergeCell ref="B3:I3"/>
    <mergeCell ref="B4:C6"/>
    <mergeCell ref="F4:G4"/>
    <mergeCell ref="F5:G6"/>
  </mergeCells>
  <conditionalFormatting sqref="I45:I47">
    <cfRule type="expression" dxfId="150" priority="4">
      <formula>ABS(I38)&gt;=1</formula>
    </cfRule>
    <cfRule type="expression" dxfId="149" priority="5">
      <formula>ABS(I38)&lt;1</formula>
    </cfRule>
  </conditionalFormatting>
  <conditionalFormatting sqref="G59:G71 G77:G88">
    <cfRule type="cellIs" dxfId="148" priority="6" operator="equal">
      <formula>0</formula>
    </cfRule>
  </conditionalFormatting>
  <conditionalFormatting sqref="I76:I88 I59:I71">
    <cfRule type="cellIs" dxfId="147" priority="7" operator="equal">
      <formula>0</formula>
    </cfRule>
  </conditionalFormatting>
  <conditionalFormatting sqref="B3:I3">
    <cfRule type="cellIs" dxfId="146" priority="8" operator="equal">
      <formula>1</formula>
    </cfRule>
  </conditionalFormatting>
  <conditionalFormatting sqref="H76:H88">
    <cfRule type="cellIs" dxfId="145" priority="9" operator="equal">
      <formula>0</formula>
    </cfRule>
  </conditionalFormatting>
  <conditionalFormatting sqref="H59:H71">
    <cfRule type="cellIs" dxfId="144" priority="10" operator="equal">
      <formula>0</formula>
    </cfRule>
  </conditionalFormatting>
  <conditionalFormatting sqref="F104">
    <cfRule type="expression" dxfId="143" priority="11">
      <formula>F104&lt;&gt;I97</formula>
    </cfRule>
  </conditionalFormatting>
  <conditionalFormatting sqref="I44">
    <cfRule type="expression" dxfId="142" priority="12">
      <formula>ABS(R44)&gt;=1</formula>
    </cfRule>
    <cfRule type="expression" dxfId="141" priority="13">
      <formula>ABS(R44)&lt;1</formula>
    </cfRule>
  </conditionalFormatting>
  <conditionalFormatting sqref="F90">
    <cfRule type="cellIs" dxfId="140" priority="14" operator="lessThan">
      <formula>0</formula>
    </cfRule>
  </conditionalFormatting>
  <conditionalFormatting sqref="F50:I52">
    <cfRule type="cellIs" dxfId="139" priority="15" operator="equal">
      <formula>#N/A</formula>
    </cfRule>
  </conditionalFormatting>
  <conditionalFormatting sqref="G76">
    <cfRule type="cellIs" dxfId="138" priority="16" operator="equal">
      <formula>0</formula>
    </cfRule>
  </conditionalFormatting>
  <conditionalFormatting sqref="H28:I28 H27 H22:I24">
    <cfRule type="expression" dxfId="137" priority="17">
      <formula>$I22="Available (Rename)"</formula>
    </cfRule>
  </conditionalFormatting>
  <conditionalFormatting sqref="H31:I36">
    <cfRule type="expression" dxfId="136" priority="18">
      <formula>$I31="Available (Rename)"</formula>
    </cfRule>
  </conditionalFormatting>
  <conditionalFormatting sqref="I27">
    <cfRule type="expression" dxfId="135" priority="1">
      <formula>$I27="Available (Rename)"</formula>
    </cfRule>
  </conditionalFormatting>
  <dataValidations count="16">
    <dataValidation allowBlank="1" showErrorMessage="1" sqref="F46">
      <formula1>0</formula1>
      <formula2>0</formula2>
    </dataValidation>
    <dataValidation allowBlank="1" showErrorMessage="1" promptTitle="3110" prompt="Enter the amount from line 3110 of last year's ACC-9 (page 4)" sqref="F45">
      <formula1>0</formula1>
      <formula2>0</formula2>
    </dataValidation>
    <dataValidation allowBlank="1" showErrorMessage="1" promptTitle="3100" prompt="Enter line 3100 from last year's ACC-9 (from page 4)" sqref="F44">
      <formula1>0</formula1>
      <formula2>0</formula2>
    </dataValidation>
    <dataValidation allowBlank="1" showErrorMessage="1" promptTitle="1700" prompt="Enter the amount from last year's ACC-9 line 1700 (page 4 of the ACC-9)" sqref="F43">
      <formula1>0</formula1>
      <formula2>0</formula2>
    </dataValidation>
    <dataValidation type="whole" operator="greaterThanOrEqual" allowBlank="1" showErrorMessage="1" errorTitle="Wrong Data" error="The format of the number is not valid." promptTitle="Number of Cadets" prompt="Must be a whole number. /Doit être un nombre entier." sqref="F14">
      <formula1>1</formula1>
      <formula2>0</formula2>
    </dataValidation>
    <dataValidation allowBlank="1" showErrorMessage="1" promptTitle="Year" prompt="Select the year for the start of the training year from the drop down list." sqref="F40">
      <formula1>0</formula1>
      <formula2>0</formula2>
    </dataValidation>
    <dataValidation type="list" allowBlank="1" showErrorMessage="1" promptTitle="Year" prompt="Select the year for the start of the training year from the drop down list." sqref="F39">
      <formula1>$J$15:$J$26</formula1>
      <formula2>0</formula2>
    </dataValidation>
    <dataValidation type="list" allowBlank="1" showInputMessage="1" showErrorMessage="1" sqref="F53">
      <formula1>$Q$20:$Q$32</formula1>
      <formula2>0</formula2>
    </dataValidation>
    <dataValidation type="list" allowBlank="1" showInputMessage="1" showErrorMessage="1" sqref="I59:I71 I76:I88">
      <formula1>$M$37:$M$48</formula1>
      <formula2>0</formula2>
    </dataValidation>
    <dataValidation type="list" allowBlank="1" showInputMessage="1" showErrorMessage="1" sqref="G40">
      <formula1>$K$36:$K$37</formula1>
      <formula2>0</formula2>
    </dataValidation>
    <dataValidation type="list" allowBlank="1" showInputMessage="1" showErrorMessage="1" sqref="I97">
      <formula1>$J$97:$J$108</formula1>
      <formula2>0</formula2>
    </dataValidation>
    <dataValidation type="list" allowBlank="1" showInputMessage="1" showErrorMessage="1" sqref="H89">
      <formula1>$I$19:$I$30</formula1>
      <formula2>0</formula2>
    </dataValidation>
    <dataValidation type="list" allowBlank="1" showInputMessage="1" showErrorMessage="1" sqref="C16:D16 C19:D19">
      <formula1>$V$39:$V$40</formula1>
      <formula2>0</formula2>
    </dataValidation>
    <dataValidation type="list" allowBlank="1" showInputMessage="1" showErrorMessage="1" sqref="C29:D29 C31:D31">
      <formula1>$V$43:$V$44</formula1>
      <formula2>0</formula2>
    </dataValidation>
    <dataValidation type="list" allowBlank="1" showInputMessage="1" showErrorMessage="1" sqref="C25:D25 C27:D27">
      <formula1>$K$30:$K$33</formula1>
      <formula2>0</formula2>
    </dataValidation>
    <dataValidation type="list" allowBlank="1" showInputMessage="1" showErrorMessage="1" sqref="C20:D20">
      <formula1>$N$20:$N$31</formula1>
      <formula2>0</formula2>
    </dataValidation>
  </dataValidations>
  <printOptions horizontalCentered="1"/>
  <pageMargins left="0.66944444444444395" right="0.118055555555556" top="0.39374999999999999" bottom="0.31527777777777799" header="0.511811023622047" footer="0.15763888888888899"/>
  <pageSetup fitToHeight="0" orientation="portrait" horizontalDpi="300" verticalDpi="300"/>
  <headerFooter>
    <oddFooter>&amp;L&amp;D&amp;R&amp;P/&amp;N</oddFooter>
  </headerFooter>
  <rowBreaks count="1" manualBreakCount="1">
    <brk id="41" max="16383"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499984740745262"/>
  </sheetPr>
  <dimension ref="A1:AMJ86"/>
  <sheetViews>
    <sheetView showGridLines="0" showRowColHeaders="0" showZeros="0" zoomScale="85" zoomScaleNormal="85" zoomScalePageLayoutView="115" workbookViewId="0">
      <selection activeCell="E7" sqref="E7"/>
    </sheetView>
  </sheetViews>
  <sheetFormatPr defaultColWidth="9.140625" defaultRowHeight="15" x14ac:dyDescent="0.25"/>
  <cols>
    <col min="1" max="1" width="17" style="913" customWidth="1"/>
    <col min="2" max="2" width="15.7109375" style="913" customWidth="1"/>
    <col min="3" max="3" width="34" style="913" customWidth="1"/>
    <col min="4" max="59" width="15.7109375" style="913" customWidth="1"/>
    <col min="60" max="60" width="9.140625" style="913"/>
    <col min="61" max="61" width="11.5703125" style="913" hidden="1" customWidth="1"/>
    <col min="62" max="1024" width="9.140625" style="913"/>
  </cols>
  <sheetData>
    <row r="1" spans="2:62" ht="33.75" customHeight="1" x14ac:dyDescent="0.4">
      <c r="B1" s="1452" t="str">
        <f>IF(Q1=2,"Suivi du volontariat","Volunteering Tracker")</f>
        <v>Volunteering Tracker</v>
      </c>
      <c r="C1" s="1452"/>
      <c r="D1" s="1452"/>
      <c r="E1" s="1452"/>
      <c r="F1" s="1452"/>
      <c r="G1" s="1452"/>
      <c r="H1" s="1452"/>
      <c r="I1" s="1452"/>
      <c r="J1" s="1452"/>
      <c r="K1" s="1452"/>
      <c r="L1" s="1452"/>
      <c r="M1" s="1452"/>
      <c r="N1" s="1452"/>
      <c r="O1" s="1452"/>
      <c r="P1" s="1452"/>
      <c r="Q1" s="146">
        <f>'Data Set up'!K10</f>
        <v>1</v>
      </c>
      <c r="R1" s="146">
        <v>1</v>
      </c>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c r="AR1" s="914"/>
      <c r="AS1" s="914"/>
      <c r="AT1" s="914"/>
      <c r="AU1" s="914"/>
      <c r="AV1" s="914"/>
      <c r="AW1" s="914"/>
      <c r="AX1" s="914"/>
      <c r="AY1" s="914"/>
      <c r="AZ1" s="914"/>
      <c r="BA1" s="914"/>
      <c r="BB1" s="914"/>
      <c r="BC1" s="914"/>
      <c r="BD1" s="914"/>
      <c r="BE1" s="914"/>
      <c r="BF1" s="914"/>
    </row>
    <row r="2" spans="2:62" ht="33.75" customHeight="1" x14ac:dyDescent="0.25">
      <c r="B2" s="1569">
        <f>'Data Set up'!B2:I2</f>
        <v>0</v>
      </c>
      <c r="C2" s="1569"/>
      <c r="D2" s="1569"/>
      <c r="E2" s="1569"/>
      <c r="F2" s="1569"/>
      <c r="G2" s="1569"/>
      <c r="H2" s="1569"/>
      <c r="I2" s="1569"/>
      <c r="J2" s="1569"/>
      <c r="K2" s="1569"/>
      <c r="L2" s="1569"/>
      <c r="M2" s="1569"/>
      <c r="N2" s="1569"/>
      <c r="O2" s="1569"/>
      <c r="P2" s="1569"/>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row>
    <row r="3" spans="2:62" ht="39.75" customHeight="1" x14ac:dyDescent="0.3">
      <c r="B3" s="1641" t="str">
        <f>'Revenue Jrnl'!B3:P3</f>
        <v>For the period from 1 september 2023 to 31 August 2024</v>
      </c>
      <c r="C3" s="1641"/>
      <c r="D3" s="1641"/>
      <c r="E3" s="1641"/>
      <c r="F3" s="1641"/>
      <c r="G3" s="1641"/>
      <c r="H3" s="1641"/>
      <c r="I3" s="1641"/>
      <c r="J3" s="1641"/>
      <c r="K3" s="1641"/>
      <c r="L3" s="1641"/>
      <c r="M3" s="1641"/>
      <c r="N3" s="1641"/>
      <c r="O3" s="1641"/>
      <c r="P3" s="1641"/>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row>
    <row r="4" spans="2:62" ht="45.75" customHeight="1" x14ac:dyDescent="0.25">
      <c r="C4" s="916"/>
      <c r="D4" s="917"/>
      <c r="E4" s="918">
        <f t="shared" ref="E4:O4" si="0">25-COUNTIF($C$6:$C$30,"")</f>
        <v>0</v>
      </c>
      <c r="F4" s="918">
        <f t="shared" si="0"/>
        <v>0</v>
      </c>
      <c r="G4" s="918">
        <f t="shared" si="0"/>
        <v>0</v>
      </c>
      <c r="H4" s="918">
        <f t="shared" si="0"/>
        <v>0</v>
      </c>
      <c r="I4" s="918">
        <f t="shared" si="0"/>
        <v>0</v>
      </c>
      <c r="J4" s="918">
        <f t="shared" si="0"/>
        <v>0</v>
      </c>
      <c r="K4" s="918">
        <f t="shared" si="0"/>
        <v>0</v>
      </c>
      <c r="L4" s="918">
        <f t="shared" si="0"/>
        <v>0</v>
      </c>
      <c r="M4" s="918">
        <f t="shared" si="0"/>
        <v>0</v>
      </c>
      <c r="N4" s="918">
        <f t="shared" si="0"/>
        <v>0</v>
      </c>
      <c r="O4" s="918">
        <f t="shared" si="0"/>
        <v>0</v>
      </c>
    </row>
    <row r="5" spans="2:62" s="919" customFormat="1" ht="36" x14ac:dyDescent="0.3">
      <c r="B5" s="920" t="str">
        <f>IF($Q$1=2,"SÉRIE","SERIAL")</f>
        <v>SERIAL</v>
      </c>
      <c r="C5" s="921" t="str">
        <f>IF($Q$1=2,"NOM, INITIALES","NAME , INITIALS")</f>
        <v>NAME , INITIALS</v>
      </c>
      <c r="D5" s="920" t="str">
        <f>IF($Q$1=2,"JUIL","JUL")</f>
        <v>JUL</v>
      </c>
      <c r="E5" s="922" t="str">
        <f>IF($Q$1=2,"AOÛT","AUG")</f>
        <v>AUG</v>
      </c>
      <c r="F5" s="922" t="str">
        <f>IF($Q$1=2,"SEPT","SEP")</f>
        <v>SEP</v>
      </c>
      <c r="G5" s="922" t="str">
        <f>IF($Q$1=2,"OCT","OCT")</f>
        <v>OCT</v>
      </c>
      <c r="H5" s="922" t="str">
        <f>IF($Q$1=2,"NOV","NOV")</f>
        <v>NOV</v>
      </c>
      <c r="I5" s="922" t="str">
        <f>IF($Q$1=2,"DÉC","DEC")</f>
        <v>DEC</v>
      </c>
      <c r="J5" s="922" t="str">
        <f>IF($Q$1=2,"JANV","JAN")</f>
        <v>JAN</v>
      </c>
      <c r="K5" s="922" t="str">
        <f>IF($Q$1=2,"FÉV","FEB")</f>
        <v>FEB</v>
      </c>
      <c r="L5" s="922" t="str">
        <f>IF($Q$1=2,"MARS","MAR")</f>
        <v>MAR</v>
      </c>
      <c r="M5" s="922" t="str">
        <f>IF($Q$1=2,"AVR","APR")</f>
        <v>APR</v>
      </c>
      <c r="N5" s="922" t="str">
        <f>IF($Q$1=2,"MAI","MAY")</f>
        <v>MAY</v>
      </c>
      <c r="O5" s="923" t="str">
        <f>IF($Q$1=2,"JUIN","JUN")</f>
        <v>JUN</v>
      </c>
      <c r="P5" s="924" t="str">
        <f>IF($Q$1=2,"Total par vol.","Total per Vol.")</f>
        <v>Total per Vol.</v>
      </c>
      <c r="Q5" s="924" t="str">
        <f>IF($Q$1=2,"Moyenne par mois.","Monthly Average")</f>
        <v>Monthly Average</v>
      </c>
      <c r="R5" s="925"/>
      <c r="S5" s="925"/>
      <c r="T5" s="925"/>
      <c r="U5" s="925"/>
      <c r="V5" s="925"/>
      <c r="W5" s="925"/>
      <c r="X5" s="925"/>
      <c r="Y5" s="925"/>
      <c r="Z5" s="925"/>
      <c r="AA5" s="925"/>
      <c r="AB5" s="925"/>
      <c r="AC5" s="925"/>
      <c r="AD5" s="925"/>
      <c r="AE5" s="925"/>
      <c r="AF5" s="925"/>
      <c r="AG5" s="925"/>
      <c r="AH5" s="925"/>
      <c r="AI5" s="925"/>
      <c r="AJ5" s="925"/>
      <c r="AK5" s="925"/>
      <c r="AL5" s="925"/>
      <c r="AM5" s="925"/>
      <c r="AN5" s="925"/>
      <c r="AO5" s="925"/>
      <c r="AP5" s="925"/>
      <c r="AQ5" s="925"/>
      <c r="AR5" s="925"/>
      <c r="AS5" s="925"/>
      <c r="AT5" s="925"/>
      <c r="AU5" s="925"/>
      <c r="AV5" s="925"/>
      <c r="AW5" s="925"/>
      <c r="AX5" s="925"/>
      <c r="AY5" s="925"/>
      <c r="AZ5" s="925"/>
      <c r="BA5" s="925"/>
      <c r="BB5" s="925"/>
      <c r="BC5" s="925"/>
      <c r="BD5" s="925"/>
      <c r="BE5" s="925"/>
      <c r="BF5" s="925"/>
      <c r="BI5" s="926" t="s">
        <v>180</v>
      </c>
      <c r="BJ5" s="927"/>
    </row>
    <row r="6" spans="2:62" ht="30" customHeight="1" x14ac:dyDescent="0.25">
      <c r="B6" s="928">
        <v>1</v>
      </c>
      <c r="C6" s="929"/>
      <c r="D6" s="930"/>
      <c r="E6" s="931"/>
      <c r="F6" s="931"/>
      <c r="G6" s="931"/>
      <c r="H6" s="931"/>
      <c r="I6" s="932"/>
      <c r="J6" s="932"/>
      <c r="K6" s="932"/>
      <c r="L6" s="932"/>
      <c r="M6" s="932"/>
      <c r="N6" s="932"/>
      <c r="O6" s="933"/>
      <c r="P6" s="934">
        <f t="shared" ref="P6:P30" si="1">SUM(D6:O6)</f>
        <v>0</v>
      </c>
      <c r="Q6" s="934">
        <f t="shared" ref="Q6:Q30" si="2">IF(R6=0,0,P6/R6)</f>
        <v>0</v>
      </c>
      <c r="R6" s="935">
        <f t="shared" ref="R6:R30" si="3">12-COUNTIF(D6:O6,"")</f>
        <v>0</v>
      </c>
      <c r="S6" s="936"/>
      <c r="T6" s="937"/>
      <c r="U6" s="937"/>
      <c r="V6" s="937"/>
      <c r="W6" s="937"/>
      <c r="X6" s="937"/>
      <c r="Y6" s="937"/>
      <c r="Z6" s="938"/>
      <c r="AA6" s="938"/>
      <c r="AB6" s="938"/>
      <c r="AC6" s="938"/>
      <c r="AD6" s="938"/>
      <c r="AE6" s="938"/>
      <c r="AF6" s="938"/>
      <c r="AG6" s="938"/>
      <c r="AH6" s="938"/>
      <c r="AI6" s="939"/>
      <c r="AJ6" s="939"/>
      <c r="AK6" s="939"/>
      <c r="AL6" s="939"/>
      <c r="AM6" s="939"/>
      <c r="AN6" s="939"/>
      <c r="AO6" s="939"/>
      <c r="AP6" s="939"/>
      <c r="AQ6" s="939"/>
      <c r="AR6" s="939"/>
      <c r="AS6" s="940"/>
      <c r="AT6" s="940"/>
      <c r="AU6" s="940"/>
      <c r="AV6" s="940"/>
      <c r="AW6" s="940"/>
      <c r="AX6" s="940"/>
      <c r="AY6" s="940"/>
      <c r="AZ6" s="940"/>
      <c r="BA6" s="940"/>
      <c r="BB6" s="940"/>
      <c r="BC6" s="940"/>
      <c r="BD6" s="940"/>
      <c r="BE6" s="940"/>
      <c r="BF6" s="940"/>
      <c r="BI6" s="941"/>
    </row>
    <row r="7" spans="2:62" ht="30" customHeight="1" x14ac:dyDescent="0.25">
      <c r="B7" s="928">
        <v>2</v>
      </c>
      <c r="C7" s="929"/>
      <c r="D7" s="930"/>
      <c r="E7" s="931"/>
      <c r="F7" s="931"/>
      <c r="G7" s="931"/>
      <c r="H7" s="931"/>
      <c r="I7" s="932"/>
      <c r="J7" s="932"/>
      <c r="K7" s="932"/>
      <c r="L7" s="932"/>
      <c r="M7" s="932"/>
      <c r="N7" s="932"/>
      <c r="O7" s="933"/>
      <c r="P7" s="934">
        <f t="shared" si="1"/>
        <v>0</v>
      </c>
      <c r="Q7" s="934">
        <f t="shared" si="2"/>
        <v>0</v>
      </c>
      <c r="R7" s="935">
        <f t="shared" si="3"/>
        <v>0</v>
      </c>
      <c r="S7" s="936"/>
      <c r="T7" s="937"/>
      <c r="U7" s="937"/>
      <c r="V7" s="937"/>
      <c r="W7" s="937"/>
      <c r="X7" s="937"/>
      <c r="Y7" s="937"/>
      <c r="Z7" s="939"/>
      <c r="AA7" s="939"/>
      <c r="AB7" s="939"/>
      <c r="AC7" s="939"/>
      <c r="AD7" s="939"/>
      <c r="AE7" s="939"/>
      <c r="AF7" s="939"/>
      <c r="AG7" s="939"/>
      <c r="AH7" s="939"/>
      <c r="AI7" s="940"/>
      <c r="AJ7" s="940"/>
      <c r="AK7" s="940"/>
      <c r="AL7" s="940"/>
      <c r="AM7" s="940"/>
      <c r="AN7" s="940"/>
      <c r="AO7" s="940"/>
      <c r="AP7" s="940"/>
      <c r="AQ7" s="940"/>
      <c r="AR7" s="939"/>
      <c r="AS7" s="940"/>
      <c r="AT7" s="940"/>
      <c r="AU7" s="940"/>
      <c r="AV7" s="940"/>
      <c r="AW7" s="940"/>
      <c r="AX7" s="940"/>
      <c r="AY7" s="940"/>
      <c r="AZ7" s="940"/>
      <c r="BA7" s="940"/>
      <c r="BB7" s="940"/>
      <c r="BC7" s="940"/>
      <c r="BD7" s="940"/>
      <c r="BE7" s="940"/>
      <c r="BF7" s="940"/>
    </row>
    <row r="8" spans="2:62" ht="30" customHeight="1" x14ac:dyDescent="0.25">
      <c r="B8" s="928">
        <v>3</v>
      </c>
      <c r="C8" s="929"/>
      <c r="D8" s="930"/>
      <c r="E8" s="931"/>
      <c r="F8" s="931"/>
      <c r="G8" s="931"/>
      <c r="H8" s="931"/>
      <c r="I8" s="931"/>
      <c r="J8" s="931"/>
      <c r="K8" s="931"/>
      <c r="L8" s="931"/>
      <c r="M8" s="931"/>
      <c r="N8" s="931"/>
      <c r="O8" s="942"/>
      <c r="P8" s="934">
        <f t="shared" si="1"/>
        <v>0</v>
      </c>
      <c r="Q8" s="934">
        <f t="shared" si="2"/>
        <v>0</v>
      </c>
      <c r="R8" s="935">
        <f t="shared" si="3"/>
        <v>0</v>
      </c>
      <c r="S8" s="943"/>
      <c r="T8" s="944"/>
      <c r="U8" s="944"/>
      <c r="V8" s="944"/>
      <c r="W8" s="944"/>
      <c r="X8" s="944"/>
      <c r="Y8" s="944"/>
      <c r="Z8" s="945"/>
      <c r="AA8" s="945"/>
      <c r="AB8" s="945"/>
      <c r="AC8" s="945"/>
      <c r="AD8" s="945"/>
      <c r="AE8" s="945"/>
      <c r="AF8" s="945"/>
      <c r="AG8" s="945"/>
      <c r="AH8" s="939"/>
      <c r="AI8" s="939"/>
      <c r="AJ8" s="939"/>
      <c r="AK8" s="939"/>
      <c r="AL8" s="939"/>
      <c r="AM8" s="939"/>
      <c r="AN8" s="939"/>
      <c r="AO8" s="939"/>
      <c r="AP8" s="939"/>
      <c r="AQ8" s="939"/>
      <c r="AR8" s="939"/>
      <c r="AS8" s="940"/>
      <c r="AT8" s="940"/>
      <c r="AU8" s="940"/>
      <c r="AV8" s="940"/>
      <c r="AW8" s="940"/>
      <c r="AX8" s="940"/>
      <c r="AY8" s="940"/>
      <c r="AZ8" s="940"/>
      <c r="BA8" s="940"/>
      <c r="BB8" s="940"/>
      <c r="BC8" s="940"/>
      <c r="BD8" s="940"/>
      <c r="BE8" s="940"/>
      <c r="BF8" s="940"/>
    </row>
    <row r="9" spans="2:62" ht="30" customHeight="1" x14ac:dyDescent="0.3">
      <c r="B9" s="928">
        <v>4</v>
      </c>
      <c r="C9" s="929"/>
      <c r="D9" s="930"/>
      <c r="E9" s="931"/>
      <c r="F9" s="931"/>
      <c r="G9" s="931"/>
      <c r="H9" s="931"/>
      <c r="I9" s="946"/>
      <c r="J9" s="946"/>
      <c r="K9" s="946"/>
      <c r="L9" s="946"/>
      <c r="M9" s="947"/>
      <c r="N9" s="947"/>
      <c r="O9" s="948"/>
      <c r="P9" s="934">
        <f t="shared" si="1"/>
        <v>0</v>
      </c>
      <c r="Q9" s="934">
        <f t="shared" si="2"/>
        <v>0</v>
      </c>
      <c r="R9" s="935">
        <f t="shared" si="3"/>
        <v>0</v>
      </c>
      <c r="S9" s="949"/>
      <c r="T9" s="950"/>
      <c r="U9" s="950"/>
      <c r="V9" s="950"/>
      <c r="W9" s="950"/>
      <c r="X9" s="950"/>
      <c r="Y9" s="950"/>
      <c r="Z9" s="950"/>
      <c r="AA9" s="950"/>
      <c r="AB9" s="950"/>
      <c r="AC9" s="950"/>
      <c r="AD9" s="950"/>
      <c r="AE9" s="950"/>
      <c r="AF9" s="950"/>
      <c r="AG9" s="950"/>
      <c r="AH9" s="939"/>
      <c r="AI9" s="939"/>
      <c r="AJ9" s="939"/>
      <c r="AK9" s="939"/>
      <c r="AL9" s="939"/>
      <c r="AM9" s="939"/>
      <c r="AN9" s="939"/>
      <c r="AO9" s="939"/>
      <c r="AP9" s="939"/>
      <c r="AQ9" s="939"/>
      <c r="AR9" s="939"/>
      <c r="AS9" s="939"/>
      <c r="AT9" s="939"/>
      <c r="AU9" s="939"/>
      <c r="AV9" s="939"/>
      <c r="AW9" s="951"/>
      <c r="AX9" s="939"/>
      <c r="AY9" s="939"/>
      <c r="AZ9" s="939"/>
      <c r="BA9" s="939"/>
      <c r="BB9" s="939"/>
      <c r="BC9" s="952"/>
      <c r="BD9" s="952"/>
      <c r="BE9" s="952"/>
      <c r="BF9" s="952"/>
    </row>
    <row r="10" spans="2:62" s="953" customFormat="1" ht="30" customHeight="1" x14ac:dyDescent="0.3">
      <c r="B10" s="928">
        <v>5</v>
      </c>
      <c r="C10" s="954"/>
      <c r="D10" s="930"/>
      <c r="E10" s="931"/>
      <c r="F10" s="931"/>
      <c r="G10" s="931"/>
      <c r="H10" s="931"/>
      <c r="I10" s="931"/>
      <c r="J10" s="931"/>
      <c r="K10" s="931"/>
      <c r="L10" s="931"/>
      <c r="M10" s="931"/>
      <c r="N10" s="931"/>
      <c r="O10" s="942"/>
      <c r="P10" s="934">
        <f t="shared" si="1"/>
        <v>0</v>
      </c>
      <c r="Q10" s="934">
        <f t="shared" si="2"/>
        <v>0</v>
      </c>
      <c r="R10" s="935">
        <f t="shared" si="3"/>
        <v>0</v>
      </c>
      <c r="S10" s="955"/>
      <c r="T10" s="956"/>
      <c r="U10" s="956"/>
      <c r="V10" s="956"/>
      <c r="W10" s="956"/>
      <c r="X10" s="956"/>
      <c r="Y10" s="956"/>
      <c r="Z10" s="956"/>
      <c r="AA10" s="956"/>
      <c r="AB10" s="956"/>
      <c r="AC10" s="956"/>
      <c r="AD10" s="956"/>
      <c r="AE10" s="956"/>
      <c r="AF10" s="956"/>
      <c r="AG10" s="956"/>
      <c r="AH10" s="956"/>
      <c r="AI10" s="956"/>
      <c r="AJ10" s="956"/>
      <c r="AK10" s="956"/>
      <c r="AL10" s="956"/>
      <c r="AM10" s="956"/>
      <c r="AN10" s="956"/>
      <c r="AO10" s="939"/>
      <c r="AP10" s="957"/>
      <c r="AQ10" s="957"/>
      <c r="AR10" s="957"/>
      <c r="AS10" s="958"/>
      <c r="AT10" s="958"/>
      <c r="AU10" s="958"/>
      <c r="AV10" s="958"/>
      <c r="AW10" s="958"/>
      <c r="AX10" s="958"/>
      <c r="AY10" s="958"/>
      <c r="AZ10" s="958"/>
      <c r="BA10" s="958"/>
      <c r="BB10" s="958"/>
      <c r="BC10" s="958"/>
      <c r="BD10" s="958"/>
      <c r="BE10" s="958"/>
      <c r="BF10" s="958"/>
    </row>
    <row r="11" spans="2:62" s="953" customFormat="1" ht="30" customHeight="1" x14ac:dyDescent="0.3">
      <c r="B11" s="959">
        <v>6</v>
      </c>
      <c r="C11" s="960"/>
      <c r="D11" s="930"/>
      <c r="E11" s="931"/>
      <c r="F11" s="931"/>
      <c r="G11" s="931"/>
      <c r="H11" s="931"/>
      <c r="I11" s="931"/>
      <c r="J11" s="931"/>
      <c r="K11" s="931"/>
      <c r="L11" s="931"/>
      <c r="M11" s="931"/>
      <c r="N11" s="931"/>
      <c r="O11" s="942"/>
      <c r="P11" s="934">
        <f t="shared" si="1"/>
        <v>0</v>
      </c>
      <c r="Q11" s="934">
        <f t="shared" si="2"/>
        <v>0</v>
      </c>
      <c r="R11" s="935">
        <f t="shared" si="3"/>
        <v>0</v>
      </c>
      <c r="S11" s="961"/>
      <c r="T11" s="962"/>
      <c r="U11" s="962"/>
      <c r="V11" s="962"/>
      <c r="W11" s="962"/>
      <c r="X11" s="962"/>
      <c r="Y11" s="962"/>
      <c r="Z11" s="962"/>
      <c r="AA11" s="962"/>
      <c r="AB11" s="962"/>
      <c r="AC11" s="962"/>
      <c r="AD11" s="962"/>
      <c r="AE11" s="962"/>
      <c r="AF11" s="962"/>
      <c r="AG11" s="962"/>
      <c r="AH11" s="962"/>
      <c r="AI11" s="962"/>
      <c r="AJ11" s="962"/>
      <c r="AK11" s="962"/>
      <c r="AL11" s="962"/>
      <c r="AM11" s="962"/>
      <c r="AN11" s="962"/>
      <c r="AO11" s="951"/>
      <c r="AP11" s="951"/>
      <c r="AQ11" s="951"/>
      <c r="AR11" s="951"/>
      <c r="AS11" s="951"/>
      <c r="AT11" s="951"/>
      <c r="AU11" s="951"/>
      <c r="AV11" s="951"/>
      <c r="AW11" s="951"/>
      <c r="AX11" s="951"/>
      <c r="AY11" s="951"/>
      <c r="AZ11" s="951"/>
      <c r="BA11" s="951"/>
      <c r="BB11" s="951"/>
      <c r="BC11" s="951"/>
      <c r="BD11" s="951"/>
      <c r="BE11" s="951"/>
      <c r="BF11" s="951"/>
    </row>
    <row r="12" spans="2:62" s="953" customFormat="1" ht="30" customHeight="1" x14ac:dyDescent="0.3">
      <c r="B12" s="959">
        <v>7</v>
      </c>
      <c r="C12" s="954"/>
      <c r="D12" s="930"/>
      <c r="E12" s="931"/>
      <c r="F12" s="931"/>
      <c r="G12" s="931"/>
      <c r="H12" s="931"/>
      <c r="I12" s="931"/>
      <c r="J12" s="931"/>
      <c r="K12" s="931"/>
      <c r="L12" s="931"/>
      <c r="M12" s="931"/>
      <c r="N12" s="931"/>
      <c r="O12" s="942"/>
      <c r="P12" s="934">
        <f t="shared" si="1"/>
        <v>0</v>
      </c>
      <c r="Q12" s="934">
        <f t="shared" si="2"/>
        <v>0</v>
      </c>
      <c r="R12" s="935">
        <f t="shared" si="3"/>
        <v>0</v>
      </c>
      <c r="S12" s="955"/>
      <c r="T12" s="956"/>
      <c r="U12" s="956"/>
      <c r="V12" s="956"/>
      <c r="W12" s="956"/>
      <c r="X12" s="956"/>
      <c r="Y12" s="956"/>
      <c r="Z12" s="956"/>
      <c r="AA12" s="956"/>
      <c r="AB12" s="956"/>
      <c r="AC12" s="956"/>
      <c r="AD12" s="956"/>
      <c r="AE12" s="956"/>
      <c r="AF12" s="956"/>
      <c r="AG12" s="956"/>
      <c r="AH12" s="956"/>
      <c r="AI12" s="956"/>
      <c r="AJ12" s="956"/>
      <c r="AK12" s="956"/>
      <c r="AL12" s="957"/>
      <c r="AM12" s="957"/>
      <c r="AN12" s="957"/>
      <c r="AO12" s="957"/>
      <c r="AP12" s="956"/>
      <c r="AQ12" s="956"/>
      <c r="AR12" s="956"/>
      <c r="AS12" s="956"/>
      <c r="AT12" s="956"/>
      <c r="AU12" s="956"/>
      <c r="AV12" s="956"/>
      <c r="AW12" s="956"/>
      <c r="AX12" s="956"/>
      <c r="AY12" s="956"/>
      <c r="AZ12" s="956"/>
      <c r="BA12" s="956"/>
      <c r="BB12" s="956"/>
      <c r="BC12" s="956"/>
      <c r="BD12" s="956"/>
      <c r="BE12" s="956"/>
      <c r="BF12" s="956"/>
    </row>
    <row r="13" spans="2:62" s="953" customFormat="1" ht="30" customHeight="1" x14ac:dyDescent="0.3">
      <c r="B13" s="959">
        <v>8</v>
      </c>
      <c r="C13" s="954"/>
      <c r="D13" s="930"/>
      <c r="E13" s="931"/>
      <c r="F13" s="931"/>
      <c r="G13" s="931"/>
      <c r="H13" s="931"/>
      <c r="I13" s="931"/>
      <c r="J13" s="931"/>
      <c r="K13" s="931"/>
      <c r="L13" s="931"/>
      <c r="M13" s="931"/>
      <c r="N13" s="931"/>
      <c r="O13" s="942"/>
      <c r="P13" s="934">
        <f t="shared" si="1"/>
        <v>0</v>
      </c>
      <c r="Q13" s="934">
        <f t="shared" si="2"/>
        <v>0</v>
      </c>
      <c r="R13" s="935">
        <f t="shared" si="3"/>
        <v>0</v>
      </c>
      <c r="S13" s="955"/>
      <c r="T13" s="956"/>
      <c r="U13" s="956"/>
      <c r="V13" s="956"/>
      <c r="W13" s="956"/>
      <c r="X13" s="956"/>
      <c r="Y13" s="956"/>
      <c r="Z13" s="956"/>
      <c r="AA13" s="957"/>
      <c r="AB13" s="957"/>
      <c r="AC13" s="957"/>
      <c r="AD13" s="957"/>
      <c r="AE13" s="957"/>
      <c r="AF13" s="957"/>
      <c r="AG13" s="957"/>
      <c r="AH13" s="956"/>
      <c r="AI13" s="956"/>
      <c r="AJ13" s="956"/>
      <c r="AK13" s="956"/>
      <c r="AL13" s="956"/>
      <c r="AM13" s="956"/>
      <c r="AN13" s="956"/>
      <c r="AO13" s="956"/>
      <c r="AP13" s="957"/>
      <c r="AQ13" s="957"/>
      <c r="AR13" s="957"/>
      <c r="AS13" s="957"/>
      <c r="AT13" s="957"/>
      <c r="AU13" s="957"/>
      <c r="AV13" s="957"/>
      <c r="AW13" s="957"/>
      <c r="AX13" s="963"/>
      <c r="AY13" s="963"/>
      <c r="AZ13" s="963"/>
      <c r="BA13" s="963"/>
      <c r="BB13" s="963"/>
      <c r="BC13" s="963"/>
      <c r="BD13" s="963"/>
      <c r="BE13" s="963"/>
      <c r="BF13" s="963"/>
    </row>
    <row r="14" spans="2:62" s="953" customFormat="1" ht="30" customHeight="1" x14ac:dyDescent="0.3">
      <c r="B14" s="928">
        <v>9</v>
      </c>
      <c r="C14" s="929"/>
      <c r="D14" s="930"/>
      <c r="E14" s="931"/>
      <c r="F14" s="931"/>
      <c r="G14" s="931"/>
      <c r="H14" s="931"/>
      <c r="I14" s="931"/>
      <c r="J14" s="931"/>
      <c r="K14" s="931"/>
      <c r="L14" s="931"/>
      <c r="M14" s="931"/>
      <c r="N14" s="931"/>
      <c r="O14" s="942"/>
      <c r="P14" s="934">
        <f t="shared" si="1"/>
        <v>0</v>
      </c>
      <c r="Q14" s="934">
        <f t="shared" si="2"/>
        <v>0</v>
      </c>
      <c r="R14" s="935">
        <f t="shared" si="3"/>
        <v>0</v>
      </c>
      <c r="S14" s="964"/>
      <c r="T14" s="939"/>
      <c r="U14" s="939"/>
      <c r="V14" s="939"/>
      <c r="W14" s="939"/>
      <c r="X14" s="939"/>
      <c r="Y14" s="939"/>
      <c r="Z14" s="939"/>
      <c r="AA14" s="939"/>
      <c r="AB14" s="939"/>
      <c r="AC14" s="939"/>
      <c r="AD14" s="939"/>
      <c r="AE14" s="939"/>
      <c r="AF14" s="939"/>
      <c r="AG14" s="939"/>
      <c r="AH14" s="939"/>
      <c r="AI14" s="939"/>
      <c r="AJ14" s="939"/>
      <c r="AK14" s="939"/>
      <c r="AL14" s="939"/>
      <c r="AM14" s="939"/>
      <c r="AN14" s="939"/>
      <c r="AO14" s="939"/>
      <c r="AP14" s="939"/>
      <c r="AQ14" s="939"/>
      <c r="AR14" s="939"/>
      <c r="AS14" s="939"/>
      <c r="AT14" s="939"/>
      <c r="AU14" s="939"/>
      <c r="AV14" s="939"/>
      <c r="AW14" s="939"/>
      <c r="AX14" s="939"/>
      <c r="AY14" s="939"/>
      <c r="AZ14" s="939"/>
      <c r="BA14" s="939"/>
      <c r="BB14" s="939"/>
      <c r="BC14" s="939"/>
      <c r="BD14" s="939"/>
      <c r="BE14" s="939"/>
      <c r="BF14" s="939"/>
    </row>
    <row r="15" spans="2:62" s="953" customFormat="1" ht="30" customHeight="1" x14ac:dyDescent="0.3">
      <c r="B15" s="928">
        <v>10</v>
      </c>
      <c r="C15" s="929"/>
      <c r="D15" s="930"/>
      <c r="E15" s="931"/>
      <c r="F15" s="931"/>
      <c r="G15" s="931"/>
      <c r="H15" s="931"/>
      <c r="I15" s="931"/>
      <c r="J15" s="931"/>
      <c r="K15" s="931"/>
      <c r="L15" s="931"/>
      <c r="M15" s="931"/>
      <c r="N15" s="931"/>
      <c r="O15" s="942"/>
      <c r="P15" s="934">
        <f t="shared" si="1"/>
        <v>0</v>
      </c>
      <c r="Q15" s="934">
        <f t="shared" si="2"/>
        <v>0</v>
      </c>
      <c r="R15" s="935">
        <f t="shared" si="3"/>
        <v>0</v>
      </c>
      <c r="S15" s="964"/>
      <c r="T15" s="939"/>
      <c r="U15" s="939"/>
      <c r="V15" s="939"/>
      <c r="W15" s="939"/>
      <c r="X15" s="951"/>
      <c r="Y15" s="951"/>
      <c r="Z15" s="939"/>
      <c r="AA15" s="951"/>
      <c r="AB15" s="939"/>
      <c r="AC15" s="939"/>
      <c r="AD15" s="939"/>
      <c r="AE15" s="939"/>
      <c r="AF15" s="939"/>
      <c r="AG15" s="939"/>
      <c r="AH15" s="951"/>
      <c r="AI15" s="939"/>
      <c r="AJ15" s="939"/>
      <c r="AK15" s="939"/>
      <c r="AL15" s="939"/>
      <c r="AM15" s="939"/>
      <c r="AN15" s="939"/>
      <c r="AO15" s="939"/>
      <c r="AP15" s="939"/>
      <c r="AQ15" s="939"/>
      <c r="AR15" s="939"/>
      <c r="AS15" s="939"/>
      <c r="AT15" s="939"/>
      <c r="AU15" s="939"/>
      <c r="AV15" s="939"/>
      <c r="AW15" s="939"/>
      <c r="AX15" s="939"/>
      <c r="AY15" s="939"/>
      <c r="AZ15" s="939"/>
      <c r="BA15" s="939"/>
      <c r="BB15" s="939"/>
      <c r="BC15" s="939"/>
      <c r="BD15" s="939"/>
      <c r="BE15" s="939"/>
      <c r="BF15" s="939"/>
    </row>
    <row r="16" spans="2:62" s="953" customFormat="1" ht="30" customHeight="1" x14ac:dyDescent="0.3">
      <c r="B16" s="928">
        <v>11</v>
      </c>
      <c r="C16" s="929"/>
      <c r="D16" s="930"/>
      <c r="E16" s="931"/>
      <c r="F16" s="931"/>
      <c r="G16" s="931"/>
      <c r="H16" s="931"/>
      <c r="I16" s="931"/>
      <c r="J16" s="931"/>
      <c r="K16" s="931"/>
      <c r="L16" s="931"/>
      <c r="M16" s="931"/>
      <c r="N16" s="931"/>
      <c r="O16" s="942"/>
      <c r="P16" s="934">
        <f t="shared" si="1"/>
        <v>0</v>
      </c>
      <c r="Q16" s="934">
        <f t="shared" si="2"/>
        <v>0</v>
      </c>
      <c r="R16" s="935">
        <f t="shared" si="3"/>
        <v>0</v>
      </c>
      <c r="S16" s="965"/>
      <c r="T16" s="966"/>
      <c r="U16" s="966"/>
      <c r="V16" s="966"/>
      <c r="W16" s="966"/>
      <c r="X16" s="951"/>
      <c r="Y16" s="951"/>
      <c r="Z16" s="940"/>
      <c r="AA16" s="951"/>
      <c r="AB16" s="940"/>
      <c r="AC16" s="940"/>
      <c r="AD16" s="940"/>
      <c r="AE16" s="940"/>
      <c r="AF16" s="940"/>
      <c r="AG16" s="940"/>
      <c r="AH16" s="951"/>
      <c r="AI16" s="939"/>
      <c r="AJ16" s="939"/>
      <c r="AK16" s="939"/>
      <c r="AL16" s="939"/>
      <c r="AM16" s="939"/>
      <c r="AN16" s="939"/>
      <c r="AO16" s="939"/>
      <c r="AP16" s="939"/>
      <c r="AQ16" s="939"/>
      <c r="AR16" s="939"/>
      <c r="AS16" s="939"/>
      <c r="AT16" s="939"/>
      <c r="AU16" s="939"/>
      <c r="AV16" s="939"/>
      <c r="AW16" s="939"/>
      <c r="AX16" s="939"/>
      <c r="AY16" s="939"/>
      <c r="AZ16" s="939"/>
      <c r="BA16" s="939"/>
      <c r="BB16" s="939"/>
      <c r="BC16" s="939"/>
      <c r="BD16" s="939"/>
      <c r="BE16" s="939"/>
      <c r="BF16" s="939"/>
    </row>
    <row r="17" spans="2:61" s="953" customFormat="1" ht="30" customHeight="1" x14ac:dyDescent="0.3">
      <c r="B17" s="928">
        <v>12</v>
      </c>
      <c r="C17" s="929"/>
      <c r="D17" s="930"/>
      <c r="E17" s="931"/>
      <c r="F17" s="931"/>
      <c r="G17" s="931"/>
      <c r="H17" s="931"/>
      <c r="I17" s="931"/>
      <c r="J17" s="931"/>
      <c r="K17" s="931"/>
      <c r="L17" s="931"/>
      <c r="M17" s="931"/>
      <c r="N17" s="931"/>
      <c r="O17" s="942"/>
      <c r="P17" s="934">
        <f t="shared" si="1"/>
        <v>0</v>
      </c>
      <c r="Q17" s="934">
        <f t="shared" si="2"/>
        <v>0</v>
      </c>
      <c r="R17" s="935">
        <f t="shared" si="3"/>
        <v>0</v>
      </c>
      <c r="S17" s="965"/>
      <c r="T17" s="966"/>
      <c r="U17" s="966"/>
      <c r="V17" s="966"/>
      <c r="W17" s="966"/>
      <c r="X17" s="951"/>
      <c r="Y17" s="951"/>
      <c r="Z17" s="940"/>
      <c r="AA17" s="951"/>
      <c r="AB17" s="940"/>
      <c r="AC17" s="940"/>
      <c r="AD17" s="940"/>
      <c r="AE17" s="940"/>
      <c r="AF17" s="940"/>
      <c r="AG17" s="940"/>
      <c r="AH17" s="951"/>
      <c r="AI17" s="939"/>
      <c r="AJ17" s="939"/>
      <c r="AK17" s="939"/>
      <c r="AL17" s="939"/>
      <c r="AM17" s="939"/>
      <c r="AN17" s="939"/>
      <c r="AO17" s="939"/>
      <c r="AP17" s="939"/>
      <c r="AQ17" s="939"/>
      <c r="AR17" s="939"/>
      <c r="AS17" s="939"/>
      <c r="AT17" s="939"/>
      <c r="AU17" s="939"/>
      <c r="AV17" s="939"/>
      <c r="AW17" s="939"/>
      <c r="AX17" s="939"/>
      <c r="AY17" s="939"/>
      <c r="AZ17" s="939"/>
      <c r="BA17" s="939"/>
      <c r="BB17" s="939"/>
      <c r="BC17" s="939"/>
      <c r="BD17" s="939"/>
      <c r="BE17" s="939"/>
      <c r="BF17" s="939"/>
    </row>
    <row r="18" spans="2:61" s="953" customFormat="1" ht="30" customHeight="1" x14ac:dyDescent="0.3">
      <c r="B18" s="928">
        <v>13</v>
      </c>
      <c r="C18" s="929"/>
      <c r="D18" s="930"/>
      <c r="E18" s="931"/>
      <c r="F18" s="931"/>
      <c r="G18" s="931"/>
      <c r="H18" s="931"/>
      <c r="I18" s="931"/>
      <c r="J18" s="931"/>
      <c r="K18" s="931"/>
      <c r="L18" s="931"/>
      <c r="M18" s="931"/>
      <c r="N18" s="931"/>
      <c r="O18" s="942"/>
      <c r="P18" s="934">
        <f t="shared" si="1"/>
        <v>0</v>
      </c>
      <c r="Q18" s="934">
        <f t="shared" si="2"/>
        <v>0</v>
      </c>
      <c r="R18" s="935">
        <f t="shared" si="3"/>
        <v>0</v>
      </c>
      <c r="S18" s="965"/>
      <c r="T18" s="966"/>
      <c r="U18" s="966"/>
      <c r="V18" s="966"/>
      <c r="W18" s="966"/>
      <c r="X18" s="951"/>
      <c r="Y18" s="957"/>
      <c r="Z18" s="957"/>
      <c r="AA18" s="957"/>
      <c r="AB18" s="957"/>
      <c r="AC18" s="957"/>
      <c r="AD18" s="957"/>
      <c r="AE18" s="957"/>
      <c r="AF18" s="957"/>
      <c r="AG18" s="957"/>
      <c r="AH18" s="957"/>
      <c r="AI18" s="957"/>
      <c r="AJ18" s="957"/>
      <c r="AK18" s="957"/>
      <c r="AL18" s="957"/>
      <c r="AM18" s="957"/>
      <c r="AN18" s="957"/>
      <c r="AO18" s="957"/>
      <c r="AP18" s="957"/>
      <c r="AQ18" s="957"/>
      <c r="AR18" s="957"/>
      <c r="AS18" s="957"/>
      <c r="AT18" s="957"/>
      <c r="AU18" s="957"/>
      <c r="AV18" s="957"/>
      <c r="AW18" s="957"/>
      <c r="AX18" s="939"/>
      <c r="AY18" s="967"/>
      <c r="AZ18" s="967"/>
      <c r="BA18" s="967"/>
      <c r="BB18" s="968"/>
      <c r="BC18" s="968"/>
      <c r="BD18" s="968"/>
      <c r="BE18" s="968"/>
      <c r="BF18" s="968"/>
    </row>
    <row r="19" spans="2:61" s="953" customFormat="1" ht="30" customHeight="1" x14ac:dyDescent="0.3">
      <c r="B19" s="928">
        <v>14</v>
      </c>
      <c r="C19" s="929"/>
      <c r="D19" s="930"/>
      <c r="E19" s="931"/>
      <c r="F19" s="931"/>
      <c r="G19" s="931"/>
      <c r="H19" s="931"/>
      <c r="I19" s="931"/>
      <c r="J19" s="931"/>
      <c r="K19" s="931"/>
      <c r="L19" s="931"/>
      <c r="M19" s="931"/>
      <c r="N19" s="931"/>
      <c r="O19" s="942"/>
      <c r="P19" s="934">
        <f t="shared" si="1"/>
        <v>0</v>
      </c>
      <c r="Q19" s="934">
        <f t="shared" si="2"/>
        <v>0</v>
      </c>
      <c r="R19" s="935">
        <f t="shared" si="3"/>
        <v>0</v>
      </c>
      <c r="S19" s="965"/>
      <c r="T19" s="966"/>
      <c r="U19" s="966"/>
      <c r="V19" s="966"/>
      <c r="W19" s="966"/>
      <c r="X19" s="951"/>
      <c r="Y19" s="951"/>
      <c r="Z19" s="940"/>
      <c r="AA19" s="951"/>
      <c r="AB19" s="940"/>
      <c r="AC19" s="940"/>
      <c r="AD19" s="940"/>
      <c r="AE19" s="940"/>
      <c r="AF19" s="940"/>
      <c r="AG19" s="940"/>
      <c r="AH19" s="951"/>
      <c r="AI19" s="939"/>
      <c r="AJ19" s="939"/>
      <c r="AK19" s="939"/>
      <c r="AL19" s="939"/>
      <c r="AM19" s="939"/>
      <c r="AN19" s="939"/>
      <c r="AO19" s="939"/>
      <c r="AP19" s="939"/>
      <c r="AQ19" s="939"/>
      <c r="AR19" s="939"/>
      <c r="AS19" s="939"/>
      <c r="AT19" s="939"/>
      <c r="AU19" s="939"/>
      <c r="AV19" s="939"/>
      <c r="AW19" s="939"/>
      <c r="AX19" s="939"/>
      <c r="AY19" s="939"/>
      <c r="AZ19" s="939"/>
      <c r="BA19" s="939"/>
      <c r="BB19" s="939"/>
      <c r="BC19" s="939"/>
      <c r="BD19" s="939"/>
      <c r="BE19" s="939"/>
      <c r="BF19" s="939"/>
    </row>
    <row r="20" spans="2:61" s="953" customFormat="1" ht="30" customHeight="1" x14ac:dyDescent="0.3">
      <c r="B20" s="928">
        <v>15</v>
      </c>
      <c r="C20" s="929"/>
      <c r="D20" s="930"/>
      <c r="E20" s="931"/>
      <c r="F20" s="931"/>
      <c r="G20" s="931"/>
      <c r="H20" s="931"/>
      <c r="I20" s="931"/>
      <c r="J20" s="931"/>
      <c r="K20" s="931"/>
      <c r="L20" s="931"/>
      <c r="M20" s="931"/>
      <c r="N20" s="931"/>
      <c r="O20" s="942"/>
      <c r="P20" s="934">
        <f t="shared" si="1"/>
        <v>0</v>
      </c>
      <c r="Q20" s="934">
        <f t="shared" si="2"/>
        <v>0</v>
      </c>
      <c r="R20" s="935">
        <f t="shared" si="3"/>
        <v>0</v>
      </c>
      <c r="S20" s="965"/>
      <c r="T20" s="966"/>
      <c r="U20" s="966"/>
      <c r="V20" s="966"/>
      <c r="W20" s="966"/>
      <c r="X20" s="951"/>
      <c r="Y20" s="951"/>
      <c r="Z20" s="940"/>
      <c r="AA20" s="951"/>
      <c r="AB20" s="940"/>
      <c r="AC20" s="940"/>
      <c r="AD20" s="940"/>
      <c r="AE20" s="940"/>
      <c r="AF20" s="940"/>
      <c r="AG20" s="940"/>
      <c r="AH20" s="951"/>
      <c r="AI20" s="939"/>
      <c r="AJ20" s="939"/>
      <c r="AK20" s="939"/>
      <c r="AL20" s="939"/>
      <c r="AM20" s="939"/>
      <c r="AN20" s="939"/>
      <c r="AO20" s="939"/>
      <c r="AP20" s="939"/>
      <c r="AQ20" s="939"/>
      <c r="AR20" s="939"/>
      <c r="AS20" s="939"/>
      <c r="AT20" s="939"/>
      <c r="AU20" s="939"/>
      <c r="AV20" s="939"/>
      <c r="AW20" s="939"/>
      <c r="AX20" s="939"/>
      <c r="AY20" s="939"/>
      <c r="AZ20" s="939"/>
      <c r="BA20" s="939"/>
      <c r="BB20" s="939"/>
      <c r="BC20" s="939"/>
      <c r="BD20" s="939"/>
      <c r="BE20" s="939"/>
      <c r="BF20" s="939"/>
      <c r="BI20" s="969" t="b">
        <f>TRUE()</f>
        <v>1</v>
      </c>
    </row>
    <row r="21" spans="2:61" s="953" customFormat="1" ht="30" customHeight="1" x14ac:dyDescent="0.3">
      <c r="B21" s="928">
        <v>16</v>
      </c>
      <c r="C21" s="929"/>
      <c r="D21" s="930"/>
      <c r="E21" s="931"/>
      <c r="F21" s="931"/>
      <c r="G21" s="931"/>
      <c r="H21" s="931"/>
      <c r="I21" s="931"/>
      <c r="J21" s="931"/>
      <c r="K21" s="931"/>
      <c r="L21" s="931"/>
      <c r="M21" s="931"/>
      <c r="N21" s="931"/>
      <c r="O21" s="942"/>
      <c r="P21" s="934">
        <f t="shared" si="1"/>
        <v>0</v>
      </c>
      <c r="Q21" s="934">
        <f t="shared" si="2"/>
        <v>0</v>
      </c>
      <c r="R21" s="935">
        <f t="shared" si="3"/>
        <v>0</v>
      </c>
      <c r="S21" s="964"/>
      <c r="T21" s="939"/>
      <c r="U21" s="939"/>
      <c r="V21" s="939"/>
      <c r="W21" s="939"/>
      <c r="X21" s="951"/>
      <c r="Y21" s="951"/>
      <c r="Z21" s="939"/>
      <c r="AA21" s="951"/>
      <c r="AB21" s="939"/>
      <c r="AC21" s="939"/>
      <c r="AD21" s="939"/>
      <c r="AE21" s="939"/>
      <c r="AF21" s="939"/>
      <c r="AG21" s="939"/>
      <c r="AH21" s="951"/>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I21" s="969" t="b">
        <f>FALSE()</f>
        <v>0</v>
      </c>
    </row>
    <row r="22" spans="2:61" s="953" customFormat="1" ht="30" customHeight="1" x14ac:dyDescent="0.3">
      <c r="B22" s="928">
        <v>17</v>
      </c>
      <c r="C22" s="929"/>
      <c r="D22" s="930"/>
      <c r="E22" s="931"/>
      <c r="F22" s="931"/>
      <c r="G22" s="931"/>
      <c r="H22" s="931"/>
      <c r="I22" s="931"/>
      <c r="J22" s="931"/>
      <c r="K22" s="931"/>
      <c r="L22" s="931"/>
      <c r="M22" s="931"/>
      <c r="N22" s="931"/>
      <c r="O22" s="942"/>
      <c r="P22" s="934">
        <f t="shared" si="1"/>
        <v>0</v>
      </c>
      <c r="Q22" s="934">
        <f t="shared" si="2"/>
        <v>0</v>
      </c>
      <c r="R22" s="935">
        <f t="shared" si="3"/>
        <v>0</v>
      </c>
      <c r="S22" s="964"/>
      <c r="T22" s="939"/>
      <c r="U22" s="939"/>
      <c r="V22" s="939"/>
      <c r="W22" s="939"/>
      <c r="X22" s="939"/>
      <c r="Y22" s="939"/>
      <c r="Z22" s="939"/>
      <c r="AA22" s="939"/>
      <c r="AB22" s="939"/>
      <c r="AC22" s="939"/>
      <c r="AD22" s="939"/>
      <c r="AE22" s="939"/>
      <c r="AF22" s="939"/>
      <c r="AG22" s="939"/>
      <c r="AH22" s="939"/>
      <c r="AI22" s="939"/>
      <c r="AJ22" s="939"/>
      <c r="AK22" s="939"/>
      <c r="AL22" s="939"/>
      <c r="AM22" s="939"/>
      <c r="AN22" s="939"/>
      <c r="AO22" s="939"/>
      <c r="AP22" s="939"/>
      <c r="AQ22" s="939"/>
      <c r="AR22" s="939"/>
      <c r="AS22" s="939"/>
      <c r="AT22" s="970"/>
      <c r="AU22" s="970"/>
      <c r="AV22" s="971"/>
      <c r="AW22" s="971"/>
      <c r="AX22" s="971"/>
      <c r="AY22" s="971"/>
      <c r="AZ22" s="971"/>
      <c r="BA22" s="971"/>
      <c r="BB22" s="971"/>
      <c r="BC22" s="971"/>
      <c r="BD22" s="971"/>
      <c r="BE22" s="971"/>
      <c r="BF22" s="939"/>
      <c r="BI22" s="969" t="b">
        <f>FALSE()</f>
        <v>0</v>
      </c>
    </row>
    <row r="23" spans="2:61" s="953" customFormat="1" ht="30" customHeight="1" x14ac:dyDescent="0.3">
      <c r="B23" s="928">
        <v>18</v>
      </c>
      <c r="C23" s="929"/>
      <c r="D23" s="930"/>
      <c r="E23" s="931"/>
      <c r="F23" s="931"/>
      <c r="G23" s="931"/>
      <c r="H23" s="931"/>
      <c r="I23" s="931"/>
      <c r="J23" s="931"/>
      <c r="K23" s="931"/>
      <c r="L23" s="931"/>
      <c r="M23" s="931"/>
      <c r="N23" s="931"/>
      <c r="O23" s="942"/>
      <c r="P23" s="934">
        <f t="shared" si="1"/>
        <v>0</v>
      </c>
      <c r="Q23" s="934">
        <f t="shared" si="2"/>
        <v>0</v>
      </c>
      <c r="R23" s="935">
        <f t="shared" si="3"/>
        <v>0</v>
      </c>
      <c r="S23" s="964"/>
      <c r="T23" s="939"/>
      <c r="U23" s="939"/>
      <c r="V23" s="939"/>
      <c r="W23" s="939"/>
      <c r="X23" s="939"/>
      <c r="Y23" s="939"/>
      <c r="Z23" s="939"/>
      <c r="AA23" s="939"/>
      <c r="AB23" s="939"/>
      <c r="AC23" s="939"/>
      <c r="AD23" s="939"/>
      <c r="AE23" s="939"/>
      <c r="AF23" s="939"/>
      <c r="AG23" s="939"/>
      <c r="AH23" s="939"/>
      <c r="AI23" s="939"/>
      <c r="AJ23" s="939"/>
      <c r="AK23" s="939"/>
      <c r="AL23" s="939"/>
      <c r="AM23" s="939"/>
      <c r="AN23" s="939"/>
      <c r="AO23" s="939"/>
      <c r="AP23" s="939"/>
      <c r="AQ23" s="939"/>
      <c r="AR23" s="939"/>
      <c r="AS23" s="939"/>
      <c r="AT23" s="970"/>
      <c r="AU23" s="970"/>
      <c r="AV23" s="971"/>
      <c r="AW23" s="971"/>
      <c r="AX23" s="971"/>
      <c r="AY23" s="971"/>
      <c r="AZ23" s="971"/>
      <c r="BA23" s="971"/>
      <c r="BB23" s="971"/>
      <c r="BC23" s="971"/>
      <c r="BD23" s="971"/>
      <c r="BE23" s="971"/>
      <c r="BF23" s="939"/>
    </row>
    <row r="24" spans="2:61" s="953" customFormat="1" ht="30" customHeight="1" x14ac:dyDescent="0.3">
      <c r="B24" s="928">
        <v>19</v>
      </c>
      <c r="C24" s="929"/>
      <c r="D24" s="930"/>
      <c r="E24" s="931"/>
      <c r="F24" s="931"/>
      <c r="G24" s="931"/>
      <c r="H24" s="931"/>
      <c r="I24" s="931"/>
      <c r="J24" s="931"/>
      <c r="K24" s="931"/>
      <c r="L24" s="931"/>
      <c r="M24" s="931"/>
      <c r="N24" s="931"/>
      <c r="O24" s="942"/>
      <c r="P24" s="934">
        <f t="shared" si="1"/>
        <v>0</v>
      </c>
      <c r="Q24" s="934">
        <f t="shared" si="2"/>
        <v>0</v>
      </c>
      <c r="R24" s="935">
        <f t="shared" si="3"/>
        <v>0</v>
      </c>
      <c r="S24" s="964"/>
      <c r="T24" s="939"/>
      <c r="U24" s="939"/>
      <c r="V24" s="939"/>
      <c r="W24" s="939"/>
      <c r="X24" s="939"/>
      <c r="Y24" s="939"/>
      <c r="Z24" s="939"/>
      <c r="AA24" s="939"/>
      <c r="AB24" s="939"/>
      <c r="AC24" s="939"/>
      <c r="AD24" s="939"/>
      <c r="AE24" s="939"/>
      <c r="AF24" s="939"/>
      <c r="AG24" s="939"/>
      <c r="AH24" s="939"/>
      <c r="AI24" s="939"/>
      <c r="AJ24" s="939"/>
      <c r="AK24" s="939"/>
      <c r="AL24" s="939"/>
      <c r="AM24" s="939"/>
      <c r="AN24" s="939"/>
      <c r="AO24" s="939"/>
      <c r="AP24" s="939"/>
      <c r="AQ24" s="939"/>
      <c r="AR24" s="939"/>
      <c r="AS24" s="939"/>
      <c r="AT24" s="970"/>
      <c r="AU24" s="970"/>
      <c r="AV24" s="971"/>
      <c r="AW24" s="971"/>
      <c r="AX24" s="971"/>
      <c r="AY24" s="971"/>
      <c r="AZ24" s="971"/>
      <c r="BA24" s="971"/>
      <c r="BB24" s="971"/>
      <c r="BC24" s="971"/>
      <c r="BD24" s="971"/>
      <c r="BE24" s="971"/>
      <c r="BF24" s="939"/>
    </row>
    <row r="25" spans="2:61" s="953" customFormat="1" ht="30" customHeight="1" x14ac:dyDescent="0.3">
      <c r="B25" s="928">
        <v>20</v>
      </c>
      <c r="C25" s="972"/>
      <c r="D25" s="930"/>
      <c r="E25" s="931"/>
      <c r="F25" s="931"/>
      <c r="G25" s="931"/>
      <c r="H25" s="931"/>
      <c r="I25" s="931"/>
      <c r="J25" s="931"/>
      <c r="K25" s="931"/>
      <c r="L25" s="931"/>
      <c r="M25" s="931"/>
      <c r="N25" s="931"/>
      <c r="O25" s="942"/>
      <c r="P25" s="934">
        <f t="shared" si="1"/>
        <v>0</v>
      </c>
      <c r="Q25" s="934">
        <f t="shared" si="2"/>
        <v>0</v>
      </c>
      <c r="R25" s="935">
        <f t="shared" si="3"/>
        <v>0</v>
      </c>
      <c r="S25" s="964"/>
      <c r="T25" s="939"/>
      <c r="U25" s="939"/>
      <c r="V25" s="939"/>
      <c r="W25" s="939"/>
      <c r="X25" s="939"/>
      <c r="Y25" s="939"/>
      <c r="Z25" s="939"/>
      <c r="AA25" s="939"/>
      <c r="AB25" s="939"/>
      <c r="AC25" s="939"/>
      <c r="AD25" s="939"/>
      <c r="AE25" s="939"/>
      <c r="AF25" s="939"/>
      <c r="AG25" s="939"/>
      <c r="AH25" s="939"/>
      <c r="AI25" s="939"/>
      <c r="AJ25" s="939"/>
      <c r="AK25" s="939"/>
      <c r="AL25" s="939"/>
      <c r="AM25" s="939"/>
      <c r="AN25" s="939"/>
      <c r="AO25" s="939"/>
      <c r="AP25" s="939"/>
      <c r="AQ25" s="939"/>
      <c r="AR25" s="939"/>
      <c r="AS25" s="939"/>
      <c r="AT25" s="939"/>
      <c r="AU25" s="939"/>
      <c r="AV25" s="939"/>
      <c r="AW25" s="939"/>
      <c r="AX25" s="939"/>
      <c r="AY25" s="939"/>
      <c r="AZ25" s="939"/>
      <c r="BA25" s="939"/>
      <c r="BB25" s="939"/>
      <c r="BC25" s="939"/>
      <c r="BD25" s="939"/>
      <c r="BE25" s="939"/>
      <c r="BF25" s="939"/>
    </row>
    <row r="26" spans="2:61" ht="30" customHeight="1" x14ac:dyDescent="0.25">
      <c r="B26" s="928">
        <v>21</v>
      </c>
      <c r="C26" s="929"/>
      <c r="D26" s="930"/>
      <c r="E26" s="931"/>
      <c r="F26" s="931"/>
      <c r="G26" s="931"/>
      <c r="H26" s="931"/>
      <c r="I26" s="931"/>
      <c r="J26" s="931"/>
      <c r="K26" s="931"/>
      <c r="L26" s="931"/>
      <c r="M26" s="931"/>
      <c r="N26" s="931"/>
      <c r="O26" s="942"/>
      <c r="P26" s="934">
        <f t="shared" si="1"/>
        <v>0</v>
      </c>
      <c r="Q26" s="934">
        <f t="shared" si="2"/>
        <v>0</v>
      </c>
      <c r="R26" s="935">
        <f t="shared" si="3"/>
        <v>0</v>
      </c>
      <c r="S26" s="973"/>
      <c r="T26" s="974"/>
      <c r="U26" s="974"/>
      <c r="V26" s="974"/>
      <c r="W26" s="974"/>
      <c r="X26" s="974"/>
      <c r="Y26" s="974"/>
      <c r="Z26" s="974"/>
      <c r="AA26" s="974"/>
      <c r="AB26" s="974"/>
      <c r="AC26" s="974"/>
      <c r="AD26" s="974"/>
      <c r="AE26" s="974"/>
      <c r="AF26" s="974"/>
      <c r="AG26" s="974"/>
      <c r="AH26" s="974"/>
      <c r="AI26" s="974"/>
      <c r="AJ26" s="974"/>
      <c r="AK26" s="974"/>
      <c r="AL26" s="974"/>
      <c r="AM26" s="974"/>
      <c r="AN26" s="974"/>
      <c r="AO26" s="939"/>
      <c r="AP26" s="939"/>
      <c r="AQ26" s="939"/>
      <c r="AR26" s="939"/>
      <c r="AS26" s="939"/>
      <c r="AT26" s="939"/>
      <c r="AU26" s="939"/>
      <c r="AV26" s="939"/>
      <c r="AW26" s="939"/>
      <c r="AX26" s="939"/>
      <c r="AY26" s="939"/>
      <c r="AZ26" s="939"/>
      <c r="BA26" s="939"/>
      <c r="BB26" s="939"/>
      <c r="BC26" s="939"/>
      <c r="BD26" s="939"/>
      <c r="BE26" s="939"/>
      <c r="BF26" s="939"/>
    </row>
    <row r="27" spans="2:61" ht="30" customHeight="1" x14ac:dyDescent="0.25">
      <c r="B27" s="975">
        <v>22</v>
      </c>
      <c r="C27" s="976"/>
      <c r="D27" s="930"/>
      <c r="E27" s="931"/>
      <c r="F27" s="931"/>
      <c r="G27" s="931"/>
      <c r="H27" s="931"/>
      <c r="I27" s="931"/>
      <c r="J27" s="931"/>
      <c r="K27" s="931"/>
      <c r="L27" s="931"/>
      <c r="M27" s="931"/>
      <c r="N27" s="931"/>
      <c r="O27" s="942"/>
      <c r="P27" s="934">
        <f t="shared" si="1"/>
        <v>0</v>
      </c>
      <c r="Q27" s="934">
        <f t="shared" si="2"/>
        <v>0</v>
      </c>
      <c r="R27" s="935">
        <f t="shared" si="3"/>
        <v>0</v>
      </c>
      <c r="S27" s="973"/>
      <c r="T27" s="977"/>
      <c r="U27" s="977"/>
      <c r="V27" s="977"/>
      <c r="W27" s="977"/>
      <c r="X27" s="977"/>
      <c r="Y27" s="977"/>
      <c r="Z27" s="977"/>
      <c r="AA27" s="977"/>
      <c r="AB27" s="977"/>
      <c r="AC27" s="977"/>
      <c r="AD27" s="977"/>
      <c r="AE27" s="977"/>
      <c r="AF27" s="977"/>
      <c r="AG27" s="977"/>
      <c r="AH27" s="977"/>
      <c r="AI27" s="977"/>
      <c r="AJ27" s="977"/>
      <c r="AK27" s="977"/>
      <c r="AL27" s="977"/>
      <c r="AM27" s="977"/>
      <c r="AN27" s="977"/>
      <c r="AO27" s="977"/>
      <c r="AP27" s="977"/>
      <c r="AQ27" s="977"/>
      <c r="AR27" s="977"/>
      <c r="AS27" s="977"/>
      <c r="AT27" s="977"/>
      <c r="AU27" s="977"/>
      <c r="AV27" s="977"/>
      <c r="AW27" s="977"/>
      <c r="AX27" s="977"/>
      <c r="AY27" s="977"/>
      <c r="AZ27" s="977"/>
      <c r="BA27" s="977"/>
      <c r="BB27" s="977"/>
      <c r="BC27" s="977"/>
      <c r="BD27" s="977"/>
      <c r="BE27" s="977"/>
      <c r="BF27" s="977"/>
    </row>
    <row r="28" spans="2:61" ht="30" customHeight="1" x14ac:dyDescent="0.25">
      <c r="B28" s="975">
        <v>23</v>
      </c>
      <c r="C28" s="976"/>
      <c r="D28" s="930"/>
      <c r="E28" s="931"/>
      <c r="F28" s="931"/>
      <c r="G28" s="931"/>
      <c r="H28" s="931"/>
      <c r="I28" s="931"/>
      <c r="J28" s="931"/>
      <c r="K28" s="931"/>
      <c r="L28" s="931"/>
      <c r="M28" s="931"/>
      <c r="N28" s="931"/>
      <c r="O28" s="942"/>
      <c r="P28" s="934">
        <f t="shared" si="1"/>
        <v>0</v>
      </c>
      <c r="Q28" s="934">
        <f t="shared" si="2"/>
        <v>0</v>
      </c>
      <c r="R28" s="935">
        <f t="shared" si="3"/>
        <v>0</v>
      </c>
      <c r="S28" s="973"/>
      <c r="T28" s="977"/>
      <c r="U28" s="977"/>
      <c r="V28" s="977"/>
      <c r="W28" s="977"/>
      <c r="X28" s="977"/>
      <c r="Y28" s="977"/>
      <c r="Z28" s="977"/>
      <c r="AA28" s="977"/>
      <c r="AB28" s="977"/>
      <c r="AC28" s="977"/>
      <c r="AD28" s="977"/>
      <c r="AE28" s="977"/>
      <c r="AF28" s="977"/>
      <c r="AG28" s="977"/>
      <c r="AH28" s="977"/>
      <c r="AI28" s="977"/>
      <c r="AJ28" s="977"/>
      <c r="AK28" s="977"/>
      <c r="AL28" s="977"/>
      <c r="AM28" s="977"/>
      <c r="AN28" s="977"/>
      <c r="AO28" s="977"/>
      <c r="AP28" s="977"/>
      <c r="AQ28" s="977"/>
      <c r="AR28" s="977"/>
      <c r="AS28" s="977"/>
      <c r="AT28" s="977"/>
      <c r="AU28" s="977"/>
      <c r="AV28" s="977"/>
      <c r="AW28" s="977"/>
      <c r="AX28" s="977"/>
      <c r="AY28" s="977"/>
      <c r="AZ28" s="977"/>
      <c r="BA28" s="977"/>
      <c r="BB28" s="977"/>
      <c r="BC28" s="977"/>
      <c r="BD28" s="977"/>
      <c r="BE28" s="977"/>
      <c r="BF28" s="977"/>
    </row>
    <row r="29" spans="2:61" ht="30" customHeight="1" x14ac:dyDescent="0.25">
      <c r="B29" s="928">
        <v>24</v>
      </c>
      <c r="C29" s="929"/>
      <c r="D29" s="930"/>
      <c r="E29" s="931"/>
      <c r="F29" s="931"/>
      <c r="G29" s="931"/>
      <c r="H29" s="931"/>
      <c r="I29" s="931"/>
      <c r="J29" s="931"/>
      <c r="K29" s="931"/>
      <c r="L29" s="931"/>
      <c r="M29" s="931"/>
      <c r="N29" s="931"/>
      <c r="O29" s="942"/>
      <c r="P29" s="934">
        <f t="shared" si="1"/>
        <v>0</v>
      </c>
      <c r="Q29" s="934">
        <f t="shared" si="2"/>
        <v>0</v>
      </c>
      <c r="R29" s="935">
        <f t="shared" si="3"/>
        <v>0</v>
      </c>
      <c r="S29" s="964"/>
      <c r="T29" s="939"/>
      <c r="U29" s="939"/>
      <c r="V29" s="939"/>
      <c r="W29" s="939"/>
      <c r="X29" s="939"/>
      <c r="Y29" s="939"/>
      <c r="Z29" s="939"/>
      <c r="AA29" s="939"/>
      <c r="AB29" s="939"/>
      <c r="AC29" s="939"/>
      <c r="AD29" s="939"/>
      <c r="AE29" s="939"/>
      <c r="AF29" s="939"/>
      <c r="AG29" s="939"/>
      <c r="AH29" s="939"/>
      <c r="AI29" s="939"/>
      <c r="AJ29" s="939"/>
      <c r="AK29" s="939"/>
      <c r="AL29" s="939"/>
      <c r="AM29" s="939"/>
      <c r="AN29" s="939"/>
      <c r="AO29" s="939"/>
      <c r="AP29" s="939"/>
      <c r="AQ29" s="939"/>
      <c r="AR29" s="939"/>
      <c r="AS29" s="939"/>
      <c r="AT29" s="939"/>
      <c r="AU29" s="939"/>
      <c r="AV29" s="939"/>
      <c r="AW29" s="939"/>
      <c r="AX29" s="939"/>
      <c r="AY29" s="939"/>
      <c r="AZ29" s="939"/>
      <c r="BA29" s="939"/>
      <c r="BB29" s="939"/>
      <c r="BC29" s="939"/>
      <c r="BD29" s="939"/>
      <c r="BE29" s="939"/>
      <c r="BF29" s="939"/>
    </row>
    <row r="30" spans="2:61" ht="30" customHeight="1" x14ac:dyDescent="0.25">
      <c r="B30" s="978">
        <v>25</v>
      </c>
      <c r="C30" s="979"/>
      <c r="D30" s="980"/>
      <c r="E30" s="981"/>
      <c r="F30" s="981"/>
      <c r="G30" s="981"/>
      <c r="H30" s="981"/>
      <c r="I30" s="981"/>
      <c r="J30" s="981"/>
      <c r="K30" s="981"/>
      <c r="L30" s="981"/>
      <c r="M30" s="981"/>
      <c r="N30" s="981"/>
      <c r="O30" s="982"/>
      <c r="P30" s="983">
        <f t="shared" si="1"/>
        <v>0</v>
      </c>
      <c r="Q30" s="983">
        <f t="shared" si="2"/>
        <v>0</v>
      </c>
      <c r="R30" s="935">
        <f t="shared" si="3"/>
        <v>0</v>
      </c>
      <c r="S30" s="964"/>
      <c r="T30" s="939"/>
      <c r="U30" s="939"/>
      <c r="V30" s="939"/>
      <c r="W30" s="939"/>
      <c r="X30" s="939"/>
      <c r="Y30" s="939"/>
      <c r="Z30" s="939"/>
      <c r="AA30" s="939"/>
      <c r="AB30" s="939"/>
      <c r="AC30" s="939"/>
      <c r="AD30" s="939"/>
      <c r="AE30" s="939"/>
      <c r="AF30" s="939"/>
      <c r="AG30" s="939"/>
      <c r="AH30" s="939"/>
      <c r="AI30" s="939"/>
      <c r="AJ30" s="939"/>
      <c r="AK30" s="939"/>
      <c r="AL30" s="939"/>
      <c r="AM30" s="939"/>
      <c r="AN30" s="939"/>
      <c r="AO30" s="939"/>
      <c r="AP30" s="939"/>
      <c r="AQ30" s="939"/>
      <c r="AR30" s="939"/>
      <c r="AS30" s="939"/>
      <c r="AT30" s="939"/>
      <c r="AU30" s="939"/>
      <c r="AV30" s="939"/>
      <c r="AW30" s="939"/>
      <c r="AX30" s="939"/>
      <c r="AY30" s="939"/>
      <c r="AZ30" s="939"/>
      <c r="BA30" s="939"/>
      <c r="BB30" s="939"/>
      <c r="BC30" s="939"/>
      <c r="BD30" s="939"/>
      <c r="BE30" s="939"/>
      <c r="BF30" s="939"/>
    </row>
    <row r="31" spans="2:61" ht="30" customHeight="1" x14ac:dyDescent="0.25">
      <c r="B31" s="984"/>
      <c r="C31" s="985" t="str">
        <f>IF($Q$1=2,"Total par mois","Total per month")</f>
        <v>Total per month</v>
      </c>
      <c r="D31" s="986">
        <f t="shared" ref="D31:P31" si="4">SUM(D6:D30)</f>
        <v>0</v>
      </c>
      <c r="E31" s="987">
        <f t="shared" si="4"/>
        <v>0</v>
      </c>
      <c r="F31" s="987">
        <f t="shared" si="4"/>
        <v>0</v>
      </c>
      <c r="G31" s="987">
        <f t="shared" si="4"/>
        <v>0</v>
      </c>
      <c r="H31" s="987">
        <f t="shared" si="4"/>
        <v>0</v>
      </c>
      <c r="I31" s="987">
        <f t="shared" si="4"/>
        <v>0</v>
      </c>
      <c r="J31" s="987">
        <f t="shared" si="4"/>
        <v>0</v>
      </c>
      <c r="K31" s="987">
        <f t="shared" si="4"/>
        <v>0</v>
      </c>
      <c r="L31" s="987">
        <f t="shared" si="4"/>
        <v>0</v>
      </c>
      <c r="M31" s="987">
        <f t="shared" si="4"/>
        <v>0</v>
      </c>
      <c r="N31" s="987">
        <f t="shared" si="4"/>
        <v>0</v>
      </c>
      <c r="O31" s="988">
        <f t="shared" si="4"/>
        <v>0</v>
      </c>
      <c r="P31" s="989">
        <f t="shared" si="4"/>
        <v>0</v>
      </c>
      <c r="Q31" s="990"/>
      <c r="R31" s="964"/>
      <c r="S31" s="964"/>
      <c r="T31" s="939"/>
      <c r="U31" s="939"/>
      <c r="V31" s="939"/>
      <c r="W31" s="939"/>
      <c r="X31" s="939"/>
      <c r="Y31" s="939"/>
      <c r="Z31" s="939"/>
      <c r="AA31" s="939"/>
      <c r="AB31" s="939"/>
      <c r="AC31" s="939"/>
      <c r="AD31" s="939"/>
      <c r="AE31" s="939"/>
      <c r="AF31" s="939"/>
      <c r="AG31" s="939"/>
      <c r="AH31" s="939"/>
      <c r="AI31" s="939"/>
      <c r="AJ31" s="939"/>
      <c r="AK31" s="939"/>
      <c r="AL31" s="939"/>
      <c r="AM31" s="939"/>
      <c r="AN31" s="939"/>
      <c r="AO31" s="939"/>
      <c r="AP31" s="939"/>
      <c r="AQ31" s="939"/>
      <c r="AR31" s="939"/>
      <c r="AS31" s="939"/>
      <c r="AT31" s="939"/>
      <c r="AU31" s="939"/>
      <c r="AV31" s="939"/>
      <c r="AW31" s="939"/>
      <c r="AX31" s="939"/>
      <c r="AY31" s="939"/>
      <c r="AZ31" s="939"/>
      <c r="BA31" s="939"/>
      <c r="BB31" s="939"/>
      <c r="BC31" s="939"/>
      <c r="BD31" s="939"/>
      <c r="BE31" s="939"/>
      <c r="BF31" s="939"/>
    </row>
    <row r="32" spans="2:61" ht="30" customHeight="1" x14ac:dyDescent="0.25">
      <c r="B32" s="952"/>
      <c r="C32" s="991" t="str">
        <f>IF($Q$1=2,"Moyenne par mois","Monthly Average")</f>
        <v>Monthly Average</v>
      </c>
      <c r="D32" s="986">
        <f t="shared" ref="D32:O32" si="5">IF(D4=0,0,D31/D4)</f>
        <v>0</v>
      </c>
      <c r="E32" s="987">
        <f t="shared" si="5"/>
        <v>0</v>
      </c>
      <c r="F32" s="987">
        <f t="shared" si="5"/>
        <v>0</v>
      </c>
      <c r="G32" s="987">
        <f t="shared" si="5"/>
        <v>0</v>
      </c>
      <c r="H32" s="987">
        <f t="shared" si="5"/>
        <v>0</v>
      </c>
      <c r="I32" s="987">
        <f t="shared" si="5"/>
        <v>0</v>
      </c>
      <c r="J32" s="987">
        <f t="shared" si="5"/>
        <v>0</v>
      </c>
      <c r="K32" s="987">
        <f t="shared" si="5"/>
        <v>0</v>
      </c>
      <c r="L32" s="987">
        <f t="shared" si="5"/>
        <v>0</v>
      </c>
      <c r="M32" s="987">
        <f t="shared" si="5"/>
        <v>0</v>
      </c>
      <c r="N32" s="987">
        <f t="shared" si="5"/>
        <v>0</v>
      </c>
      <c r="O32" s="988">
        <f t="shared" si="5"/>
        <v>0</v>
      </c>
      <c r="P32" s="992"/>
      <c r="Q32" s="992"/>
      <c r="R32" s="964"/>
      <c r="S32" s="964"/>
      <c r="T32" s="939"/>
      <c r="U32" s="939"/>
      <c r="V32" s="939"/>
      <c r="W32" s="939"/>
      <c r="X32" s="939"/>
      <c r="Y32" s="939"/>
      <c r="Z32" s="939"/>
      <c r="AA32" s="939"/>
      <c r="AB32" s="939"/>
      <c r="AC32" s="939"/>
      <c r="AD32" s="939"/>
      <c r="AE32" s="939"/>
      <c r="AF32" s="939"/>
      <c r="AG32" s="939"/>
      <c r="AH32" s="939"/>
      <c r="AI32" s="939"/>
      <c r="AJ32" s="939"/>
      <c r="AK32" s="939"/>
      <c r="AL32" s="939"/>
      <c r="AM32" s="939"/>
      <c r="AN32" s="939"/>
      <c r="AO32" s="939"/>
      <c r="AP32" s="939"/>
      <c r="AQ32" s="939"/>
      <c r="AR32" s="939"/>
      <c r="AS32" s="939"/>
      <c r="AT32" s="939"/>
      <c r="AU32" s="939"/>
      <c r="AV32" s="939"/>
      <c r="AW32" s="939"/>
      <c r="AX32" s="939"/>
      <c r="AY32" s="939"/>
      <c r="AZ32" s="939"/>
      <c r="BA32" s="939"/>
      <c r="BB32" s="939"/>
      <c r="BC32" s="939"/>
      <c r="BD32" s="939"/>
      <c r="BE32" s="939"/>
      <c r="BF32" s="939"/>
    </row>
    <row r="33" spans="2:58" ht="30" customHeight="1" x14ac:dyDescent="0.25">
      <c r="B33" s="993"/>
      <c r="C33" s="993"/>
      <c r="D33" s="993"/>
      <c r="E33" s="993"/>
      <c r="F33" s="993"/>
      <c r="G33" s="993"/>
      <c r="H33" s="993"/>
      <c r="I33" s="993"/>
      <c r="J33" s="993"/>
      <c r="K33" s="993"/>
      <c r="L33" s="993"/>
      <c r="M33" s="993"/>
      <c r="N33" s="993"/>
      <c r="O33" s="993"/>
      <c r="P33" s="993"/>
      <c r="Q33" s="993"/>
      <c r="R33" s="993"/>
      <c r="S33" s="993"/>
      <c r="T33" s="993"/>
      <c r="U33" s="993"/>
      <c r="V33" s="993"/>
      <c r="W33" s="993"/>
      <c r="X33" s="993"/>
      <c r="Y33" s="993"/>
      <c r="Z33" s="993"/>
      <c r="AA33" s="993"/>
      <c r="AB33" s="993"/>
      <c r="AC33" s="993"/>
      <c r="AD33" s="993"/>
      <c r="AE33" s="993"/>
      <c r="AF33" s="993"/>
      <c r="AG33" s="993"/>
      <c r="AH33" s="993"/>
      <c r="AI33" s="993"/>
      <c r="AJ33" s="993"/>
      <c r="AK33" s="993"/>
      <c r="AL33" s="993"/>
      <c r="AM33" s="993"/>
      <c r="AN33" s="993"/>
      <c r="AO33" s="993"/>
      <c r="AP33" s="993"/>
      <c r="AQ33" s="993"/>
      <c r="AR33" s="993"/>
      <c r="AS33" s="993"/>
      <c r="AT33" s="993"/>
      <c r="AU33" s="993"/>
      <c r="AV33" s="993"/>
      <c r="AW33" s="993"/>
      <c r="AX33" s="993"/>
      <c r="AY33" s="993"/>
      <c r="AZ33" s="993"/>
      <c r="BA33" s="993"/>
      <c r="BB33" s="993"/>
      <c r="BC33" s="993"/>
      <c r="BD33" s="993"/>
      <c r="BE33" s="993"/>
      <c r="BF33" s="993"/>
    </row>
    <row r="34" spans="2:58" ht="30" customHeight="1" x14ac:dyDescent="0.25">
      <c r="B34" s="952"/>
      <c r="C34" s="952"/>
      <c r="D34" s="952"/>
      <c r="E34" s="945"/>
      <c r="F34" s="952"/>
      <c r="G34" s="952"/>
      <c r="H34" s="952"/>
      <c r="I34" s="937"/>
      <c r="J34" s="937"/>
      <c r="K34" s="937"/>
      <c r="L34" s="937"/>
      <c r="M34" s="937"/>
      <c r="N34" s="937"/>
      <c r="O34" s="937"/>
      <c r="P34" s="937"/>
      <c r="Q34" s="937"/>
      <c r="R34" s="937"/>
      <c r="S34" s="937"/>
      <c r="T34" s="937"/>
      <c r="U34" s="937"/>
      <c r="V34" s="937"/>
      <c r="W34" s="937"/>
      <c r="X34" s="937"/>
      <c r="Y34" s="937"/>
      <c r="Z34" s="994"/>
      <c r="AA34" s="994"/>
      <c r="AB34" s="994"/>
      <c r="AC34" s="994"/>
      <c r="AD34" s="994"/>
      <c r="AE34" s="994"/>
      <c r="AF34" s="994"/>
      <c r="AG34" s="994"/>
      <c r="AH34" s="994"/>
      <c r="AI34" s="939"/>
      <c r="AJ34" s="939"/>
      <c r="AK34" s="939"/>
      <c r="AL34" s="939"/>
      <c r="AM34" s="939"/>
      <c r="AN34" s="939"/>
      <c r="AO34" s="939"/>
      <c r="AP34" s="939"/>
      <c r="AQ34" s="939"/>
      <c r="AR34" s="939"/>
      <c r="AS34" s="940"/>
      <c r="AT34" s="940"/>
      <c r="AU34" s="940"/>
      <c r="AV34" s="940"/>
      <c r="AW34" s="940"/>
      <c r="AX34" s="940"/>
      <c r="AY34" s="940"/>
      <c r="AZ34" s="940"/>
      <c r="BA34" s="940"/>
      <c r="BB34" s="940"/>
      <c r="BC34" s="940"/>
      <c r="BD34" s="940"/>
      <c r="BE34" s="940"/>
      <c r="BF34" s="940"/>
    </row>
    <row r="35" spans="2:58" ht="30" customHeight="1" x14ac:dyDescent="0.25">
      <c r="B35" s="952"/>
      <c r="C35" s="952"/>
      <c r="D35" s="952"/>
      <c r="E35" s="945"/>
      <c r="F35" s="952"/>
      <c r="G35" s="952"/>
      <c r="H35" s="952"/>
      <c r="I35" s="937"/>
      <c r="J35" s="937"/>
      <c r="K35" s="937"/>
      <c r="L35" s="937"/>
      <c r="M35" s="937"/>
      <c r="N35" s="937"/>
      <c r="O35" s="937"/>
      <c r="P35" s="937"/>
      <c r="Q35" s="937"/>
      <c r="R35" s="937"/>
      <c r="S35" s="937"/>
      <c r="T35" s="937"/>
      <c r="U35" s="937"/>
      <c r="V35" s="937"/>
      <c r="W35" s="937"/>
      <c r="X35" s="937"/>
      <c r="Y35" s="937"/>
      <c r="Z35" s="939"/>
      <c r="AA35" s="939"/>
      <c r="AB35" s="939"/>
      <c r="AC35" s="939"/>
      <c r="AD35" s="939"/>
      <c r="AE35" s="939"/>
      <c r="AF35" s="939"/>
      <c r="AG35" s="939"/>
      <c r="AH35" s="939"/>
      <c r="AI35" s="940"/>
      <c r="AJ35" s="940"/>
      <c r="AK35" s="940"/>
      <c r="AL35" s="940"/>
      <c r="AM35" s="940"/>
      <c r="AN35" s="940"/>
      <c r="AO35" s="940"/>
      <c r="AP35" s="940"/>
      <c r="AQ35" s="940"/>
      <c r="AR35" s="939"/>
      <c r="AS35" s="940"/>
      <c r="AT35" s="940"/>
      <c r="AU35" s="940"/>
      <c r="AV35" s="940"/>
      <c r="AW35" s="940"/>
      <c r="AX35" s="940"/>
      <c r="AY35" s="940"/>
      <c r="AZ35" s="940"/>
      <c r="BA35" s="940"/>
      <c r="BB35" s="940"/>
      <c r="BC35" s="940"/>
      <c r="BD35" s="940"/>
      <c r="BE35" s="940"/>
      <c r="BF35" s="940"/>
    </row>
    <row r="36" spans="2:58" ht="30" customHeight="1" x14ac:dyDescent="0.25">
      <c r="B36" s="952"/>
      <c r="C36" s="952"/>
      <c r="D36" s="952"/>
      <c r="E36" s="945"/>
      <c r="F36" s="952"/>
      <c r="G36" s="952"/>
      <c r="H36" s="952"/>
      <c r="I36" s="944"/>
      <c r="J36" s="944"/>
      <c r="K36" s="944"/>
      <c r="L36" s="944"/>
      <c r="M36" s="944"/>
      <c r="N36" s="944"/>
      <c r="O36" s="944"/>
      <c r="P36" s="944"/>
      <c r="Q36" s="944"/>
      <c r="R36" s="944"/>
      <c r="S36" s="944"/>
      <c r="T36" s="944"/>
      <c r="U36" s="944"/>
      <c r="V36" s="944"/>
      <c r="W36" s="944"/>
      <c r="X36" s="944"/>
      <c r="Y36" s="944"/>
      <c r="Z36" s="945"/>
      <c r="AA36" s="945"/>
      <c r="AB36" s="945"/>
      <c r="AC36" s="945"/>
      <c r="AD36" s="945"/>
      <c r="AE36" s="945"/>
      <c r="AF36" s="945"/>
      <c r="AG36" s="945"/>
      <c r="AH36" s="939"/>
      <c r="AI36" s="939"/>
      <c r="AJ36" s="939"/>
      <c r="AK36" s="939"/>
      <c r="AL36" s="939"/>
      <c r="AM36" s="939"/>
      <c r="AN36" s="939"/>
      <c r="AO36" s="939"/>
      <c r="AP36" s="939"/>
      <c r="AQ36" s="939"/>
      <c r="AR36" s="939"/>
      <c r="AS36" s="940"/>
      <c r="AT36" s="940"/>
      <c r="AU36" s="940"/>
      <c r="AV36" s="940"/>
      <c r="AW36" s="940"/>
      <c r="AX36" s="940"/>
      <c r="AY36" s="940"/>
      <c r="AZ36" s="940"/>
      <c r="BA36" s="940"/>
      <c r="BB36" s="940"/>
      <c r="BC36" s="940"/>
      <c r="BD36" s="940"/>
      <c r="BE36" s="940"/>
      <c r="BF36" s="940"/>
    </row>
    <row r="37" spans="2:58" ht="30" customHeight="1" x14ac:dyDescent="0.3">
      <c r="B37" s="952"/>
      <c r="C37" s="952"/>
      <c r="D37" s="952"/>
      <c r="E37" s="952"/>
      <c r="F37" s="952"/>
      <c r="G37" s="952"/>
      <c r="H37" s="945"/>
      <c r="I37" s="950"/>
      <c r="J37" s="950"/>
      <c r="K37" s="950"/>
      <c r="L37" s="950"/>
      <c r="M37" s="950"/>
      <c r="N37" s="950"/>
      <c r="O37" s="950"/>
      <c r="P37" s="950"/>
      <c r="Q37" s="950"/>
      <c r="R37" s="950"/>
      <c r="S37" s="950"/>
      <c r="T37" s="950"/>
      <c r="U37" s="950"/>
      <c r="V37" s="950"/>
      <c r="W37" s="950"/>
      <c r="X37" s="950"/>
      <c r="Y37" s="950"/>
      <c r="Z37" s="950"/>
      <c r="AA37" s="950"/>
      <c r="AB37" s="950"/>
      <c r="AC37" s="950"/>
      <c r="AD37" s="950"/>
      <c r="AE37" s="950"/>
      <c r="AF37" s="950"/>
      <c r="AG37" s="950"/>
      <c r="AH37" s="939"/>
      <c r="AI37" s="939"/>
      <c r="AJ37" s="939"/>
      <c r="AK37" s="939"/>
      <c r="AL37" s="939"/>
      <c r="AM37" s="939"/>
      <c r="AN37" s="939"/>
      <c r="AO37" s="939"/>
      <c r="AP37" s="939"/>
      <c r="AQ37" s="939"/>
      <c r="AR37" s="939"/>
      <c r="AS37" s="939"/>
      <c r="AT37" s="939"/>
      <c r="AU37" s="939"/>
      <c r="AV37" s="939"/>
      <c r="AW37" s="951"/>
      <c r="AX37" s="939"/>
      <c r="AY37" s="939"/>
      <c r="AZ37" s="939"/>
      <c r="BA37" s="939"/>
      <c r="BB37" s="939"/>
      <c r="BC37" s="952"/>
      <c r="BD37" s="952"/>
      <c r="BE37" s="952"/>
      <c r="BF37" s="952"/>
    </row>
    <row r="38" spans="2:58" s="953" customFormat="1" ht="18.75" customHeight="1" x14ac:dyDescent="0.3">
      <c r="B38" s="939"/>
      <c r="C38" s="957"/>
      <c r="D38" s="957"/>
      <c r="E38" s="957"/>
      <c r="F38" s="957"/>
      <c r="G38" s="957"/>
      <c r="H38" s="957"/>
      <c r="I38" s="957"/>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c r="AN38" s="956"/>
      <c r="AO38" s="939"/>
      <c r="AP38" s="957"/>
      <c r="AQ38" s="957"/>
      <c r="AR38" s="957"/>
      <c r="AS38" s="958"/>
      <c r="AT38" s="958"/>
      <c r="AU38" s="958"/>
      <c r="AV38" s="958"/>
      <c r="AW38" s="958"/>
      <c r="AX38" s="958"/>
      <c r="AY38" s="958"/>
      <c r="AZ38" s="958"/>
      <c r="BA38" s="958"/>
      <c r="BB38" s="958"/>
      <c r="BC38" s="958"/>
      <c r="BD38" s="958"/>
      <c r="BE38" s="958"/>
      <c r="BF38" s="958"/>
    </row>
    <row r="39" spans="2:58" s="953" customFormat="1" ht="18.75" customHeight="1" x14ac:dyDescent="0.3">
      <c r="B39" s="951"/>
      <c r="C39" s="951"/>
      <c r="D39" s="951"/>
      <c r="E39" s="951"/>
      <c r="F39" s="951"/>
      <c r="G39" s="951"/>
      <c r="H39" s="951"/>
      <c r="I39" s="951"/>
      <c r="J39" s="951"/>
      <c r="K39" s="962"/>
      <c r="L39" s="962"/>
      <c r="M39" s="962"/>
      <c r="N39" s="962"/>
      <c r="O39" s="962"/>
      <c r="P39" s="962"/>
      <c r="Q39" s="962"/>
      <c r="R39" s="962"/>
      <c r="S39" s="962"/>
      <c r="T39" s="962"/>
      <c r="U39" s="962"/>
      <c r="V39" s="962"/>
      <c r="W39" s="962"/>
      <c r="X39" s="962"/>
      <c r="Y39" s="962"/>
      <c r="Z39" s="962"/>
      <c r="AA39" s="962"/>
      <c r="AB39" s="962"/>
      <c r="AC39" s="962"/>
      <c r="AD39" s="962"/>
      <c r="AE39" s="962"/>
      <c r="AF39" s="962"/>
      <c r="AG39" s="962"/>
      <c r="AH39" s="962"/>
      <c r="AI39" s="962"/>
      <c r="AJ39" s="962"/>
      <c r="AK39" s="962"/>
      <c r="AL39" s="962"/>
      <c r="AM39" s="962"/>
      <c r="AN39" s="962"/>
      <c r="AO39" s="951"/>
      <c r="AP39" s="951"/>
      <c r="AQ39" s="951"/>
      <c r="AR39" s="951"/>
      <c r="AS39" s="951"/>
      <c r="AT39" s="951"/>
      <c r="AU39" s="951"/>
      <c r="AV39" s="951"/>
      <c r="AW39" s="951"/>
      <c r="AX39" s="951"/>
      <c r="AY39" s="951"/>
      <c r="AZ39" s="951"/>
      <c r="BA39" s="951"/>
      <c r="BB39" s="951"/>
      <c r="BC39" s="951"/>
      <c r="BD39" s="951"/>
      <c r="BE39" s="951"/>
      <c r="BF39" s="951"/>
    </row>
    <row r="40" spans="2:58" s="953" customFormat="1" ht="18.75" customHeight="1" x14ac:dyDescent="0.3">
      <c r="B40" s="951"/>
      <c r="C40" s="957"/>
      <c r="D40" s="957"/>
      <c r="E40" s="957"/>
      <c r="F40" s="957"/>
      <c r="G40" s="957"/>
      <c r="H40" s="957"/>
      <c r="I40" s="956"/>
      <c r="J40" s="956"/>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7"/>
      <c r="AM40" s="957"/>
      <c r="AN40" s="957"/>
      <c r="AO40" s="957"/>
      <c r="AP40" s="956"/>
      <c r="AQ40" s="956"/>
      <c r="AR40" s="956"/>
      <c r="AS40" s="956"/>
      <c r="AT40" s="956"/>
      <c r="AU40" s="956"/>
      <c r="AV40" s="956"/>
      <c r="AW40" s="956"/>
      <c r="AX40" s="956"/>
      <c r="AY40" s="956"/>
      <c r="AZ40" s="956"/>
      <c r="BA40" s="956"/>
      <c r="BB40" s="956"/>
      <c r="BC40" s="956"/>
      <c r="BD40" s="956"/>
      <c r="BE40" s="956"/>
      <c r="BF40" s="956"/>
    </row>
    <row r="41" spans="2:58" s="953" customFormat="1" ht="30" customHeight="1" x14ac:dyDescent="0.3">
      <c r="B41" s="951"/>
      <c r="C41" s="957"/>
      <c r="D41" s="957"/>
      <c r="E41" s="957"/>
      <c r="F41" s="957"/>
      <c r="G41" s="957"/>
      <c r="H41" s="957"/>
      <c r="I41" s="956"/>
      <c r="J41" s="956"/>
      <c r="K41" s="956"/>
      <c r="L41" s="956"/>
      <c r="M41" s="956"/>
      <c r="N41" s="956"/>
      <c r="O41" s="956"/>
      <c r="P41" s="956"/>
      <c r="Q41" s="956"/>
      <c r="R41" s="956"/>
      <c r="S41" s="956"/>
      <c r="T41" s="956"/>
      <c r="U41" s="956"/>
      <c r="V41" s="956"/>
      <c r="W41" s="956"/>
      <c r="X41" s="956"/>
      <c r="Y41" s="956"/>
      <c r="Z41" s="956"/>
      <c r="AA41" s="957"/>
      <c r="AB41" s="957"/>
      <c r="AC41" s="957"/>
      <c r="AD41" s="957"/>
      <c r="AE41" s="957"/>
      <c r="AF41" s="957"/>
      <c r="AG41" s="957"/>
      <c r="AH41" s="995"/>
      <c r="AI41" s="995"/>
      <c r="AJ41" s="995"/>
      <c r="AK41" s="995"/>
      <c r="AL41" s="995"/>
      <c r="AM41" s="995"/>
      <c r="AN41" s="995"/>
      <c r="AO41" s="995"/>
      <c r="AP41" s="957"/>
      <c r="AQ41" s="957"/>
      <c r="AR41" s="957"/>
      <c r="AS41" s="957"/>
      <c r="AT41" s="957"/>
      <c r="AU41" s="957"/>
      <c r="AV41" s="957"/>
      <c r="AW41" s="957"/>
      <c r="AX41" s="963"/>
      <c r="AY41" s="963"/>
      <c r="AZ41" s="963"/>
      <c r="BA41" s="963"/>
      <c r="BB41" s="963"/>
      <c r="BC41" s="963"/>
      <c r="BD41" s="963"/>
      <c r="BE41" s="963"/>
      <c r="BF41" s="963"/>
    </row>
    <row r="42" spans="2:58" s="953" customFormat="1" ht="9.75" customHeight="1" x14ac:dyDescent="0.3">
      <c r="B42" s="939"/>
      <c r="C42" s="939"/>
      <c r="D42" s="939"/>
      <c r="E42" s="939"/>
      <c r="F42" s="939"/>
      <c r="G42" s="939"/>
      <c r="H42" s="939"/>
      <c r="I42" s="939"/>
      <c r="J42" s="939"/>
      <c r="K42" s="939"/>
      <c r="L42" s="939"/>
      <c r="M42" s="939"/>
      <c r="N42" s="939"/>
      <c r="O42" s="939"/>
      <c r="P42" s="939"/>
      <c r="Q42" s="939"/>
      <c r="R42" s="939"/>
      <c r="S42" s="939"/>
      <c r="T42" s="939"/>
      <c r="U42" s="939"/>
      <c r="V42" s="939"/>
      <c r="W42" s="939"/>
      <c r="X42" s="939"/>
      <c r="Y42" s="939"/>
      <c r="Z42" s="939"/>
      <c r="AA42" s="939"/>
      <c r="AB42" s="939"/>
      <c r="AC42" s="939"/>
      <c r="AD42" s="939"/>
      <c r="AE42" s="939"/>
      <c r="AF42" s="939"/>
      <c r="AG42" s="939"/>
      <c r="AH42" s="939"/>
      <c r="AI42" s="939"/>
      <c r="AJ42" s="939"/>
      <c r="AK42" s="939"/>
      <c r="AL42" s="939"/>
      <c r="AM42" s="939"/>
      <c r="AN42" s="939"/>
      <c r="AO42" s="939"/>
      <c r="AP42" s="939"/>
      <c r="AQ42" s="939"/>
      <c r="AR42" s="939"/>
      <c r="AS42" s="939"/>
      <c r="AT42" s="939"/>
      <c r="AU42" s="939"/>
      <c r="AV42" s="939"/>
      <c r="AW42" s="939"/>
      <c r="AX42" s="939"/>
      <c r="AY42" s="939"/>
      <c r="AZ42" s="939"/>
      <c r="BA42" s="939"/>
      <c r="BB42" s="939"/>
      <c r="BC42" s="939"/>
      <c r="BD42" s="939"/>
      <c r="BE42" s="939"/>
      <c r="BF42" s="939"/>
    </row>
    <row r="43" spans="2:58" s="953" customFormat="1" ht="6" customHeight="1" x14ac:dyDescent="0.3">
      <c r="B43" s="939"/>
      <c r="C43" s="939"/>
      <c r="D43" s="939"/>
      <c r="E43" s="939"/>
      <c r="F43" s="939"/>
      <c r="G43" s="939"/>
      <c r="H43" s="939"/>
      <c r="I43" s="939"/>
      <c r="J43" s="939"/>
      <c r="K43" s="939"/>
      <c r="L43" s="939"/>
      <c r="M43" s="939"/>
      <c r="N43" s="939"/>
      <c r="O43" s="939"/>
      <c r="P43" s="939"/>
      <c r="Q43" s="939"/>
      <c r="R43" s="939"/>
      <c r="S43" s="939"/>
      <c r="T43" s="939"/>
      <c r="U43" s="939"/>
      <c r="V43" s="939"/>
      <c r="W43" s="939"/>
      <c r="X43" s="951"/>
      <c r="Y43" s="951"/>
      <c r="Z43" s="939"/>
      <c r="AA43" s="951"/>
      <c r="AB43" s="939"/>
      <c r="AC43" s="939"/>
      <c r="AD43" s="939"/>
      <c r="AE43" s="939"/>
      <c r="AF43" s="939"/>
      <c r="AG43" s="939"/>
      <c r="AH43" s="951"/>
      <c r="AI43" s="939"/>
      <c r="AJ43" s="939"/>
      <c r="AK43" s="939"/>
      <c r="AL43" s="939"/>
      <c r="AM43" s="939"/>
      <c r="AN43" s="939"/>
      <c r="AO43" s="939"/>
      <c r="AP43" s="939"/>
      <c r="AQ43" s="939"/>
      <c r="AR43" s="939"/>
      <c r="AS43" s="939"/>
      <c r="AT43" s="939"/>
      <c r="AU43" s="939"/>
      <c r="AV43" s="939"/>
      <c r="AW43" s="939"/>
      <c r="AX43" s="939"/>
      <c r="AY43" s="939"/>
      <c r="AZ43" s="939"/>
      <c r="BA43" s="939"/>
      <c r="BB43" s="939"/>
      <c r="BC43" s="939"/>
      <c r="BD43" s="939"/>
      <c r="BE43" s="939"/>
      <c r="BF43" s="939"/>
    </row>
    <row r="44" spans="2:58" s="953" customFormat="1" ht="20.25" customHeight="1" x14ac:dyDescent="0.3">
      <c r="B44" s="939"/>
      <c r="C44" s="939"/>
      <c r="D44" s="968"/>
      <c r="E44" s="968"/>
      <c r="F44" s="968"/>
      <c r="G44" s="968"/>
      <c r="H44" s="968"/>
      <c r="I44" s="968"/>
      <c r="J44" s="951"/>
      <c r="K44" s="996"/>
      <c r="L44" s="996"/>
      <c r="M44" s="997"/>
      <c r="N44" s="966"/>
      <c r="O44" s="966"/>
      <c r="P44" s="998"/>
      <c r="Q44" s="998"/>
      <c r="R44" s="998"/>
      <c r="S44" s="998"/>
      <c r="T44" s="998"/>
      <c r="U44" s="998"/>
      <c r="V44" s="998"/>
      <c r="W44" s="998"/>
      <c r="X44" s="951"/>
      <c r="Y44" s="951"/>
      <c r="Z44" s="940"/>
      <c r="AA44" s="951"/>
      <c r="AB44" s="940"/>
      <c r="AC44" s="940"/>
      <c r="AD44" s="940"/>
      <c r="AE44" s="940"/>
      <c r="AF44" s="940"/>
      <c r="AG44" s="940"/>
      <c r="AH44" s="951"/>
      <c r="AI44" s="939"/>
      <c r="AJ44" s="939"/>
      <c r="AK44" s="939"/>
      <c r="AL44" s="939"/>
      <c r="AM44" s="939"/>
      <c r="AN44" s="939"/>
      <c r="AO44" s="939"/>
      <c r="AP44" s="939"/>
      <c r="AQ44" s="939"/>
      <c r="AR44" s="939"/>
      <c r="AS44" s="939"/>
      <c r="AT44" s="939"/>
      <c r="AU44" s="939"/>
      <c r="AV44" s="939"/>
      <c r="AW44" s="939"/>
      <c r="AX44" s="939"/>
      <c r="AY44" s="939"/>
      <c r="AZ44" s="939"/>
      <c r="BA44" s="939"/>
      <c r="BB44" s="939"/>
      <c r="BC44" s="939"/>
      <c r="BD44" s="939"/>
      <c r="BE44" s="939"/>
      <c r="BF44" s="939"/>
    </row>
    <row r="45" spans="2:58" s="953" customFormat="1" ht="5.0999999999999996" customHeight="1" x14ac:dyDescent="0.3">
      <c r="B45" s="939"/>
      <c r="C45" s="939"/>
      <c r="D45" s="999"/>
      <c r="E45" s="1000"/>
      <c r="F45" s="999"/>
      <c r="G45" s="999"/>
      <c r="H45" s="999"/>
      <c r="I45" s="1000"/>
      <c r="J45" s="951"/>
      <c r="K45" s="1001"/>
      <c r="L45" s="939"/>
      <c r="M45" s="997"/>
      <c r="N45" s="998"/>
      <c r="O45" s="998"/>
      <c r="P45" s="998"/>
      <c r="Q45" s="998"/>
      <c r="R45" s="998"/>
      <c r="S45" s="998"/>
      <c r="T45" s="998"/>
      <c r="U45" s="998"/>
      <c r="V45" s="998"/>
      <c r="W45" s="998"/>
      <c r="X45" s="951"/>
      <c r="Y45" s="951"/>
      <c r="Z45" s="940"/>
      <c r="AA45" s="951"/>
      <c r="AB45" s="940"/>
      <c r="AC45" s="940"/>
      <c r="AD45" s="940"/>
      <c r="AE45" s="940"/>
      <c r="AF45" s="940"/>
      <c r="AG45" s="940"/>
      <c r="AH45" s="951"/>
      <c r="AI45" s="939"/>
      <c r="AJ45" s="939"/>
      <c r="AK45" s="939"/>
      <c r="AL45" s="939"/>
      <c r="AM45" s="939"/>
      <c r="AN45" s="939"/>
      <c r="AO45" s="939"/>
      <c r="AP45" s="939"/>
      <c r="AQ45" s="939"/>
      <c r="AR45" s="939"/>
      <c r="AS45" s="939"/>
      <c r="AT45" s="939"/>
      <c r="AU45" s="939"/>
      <c r="AV45" s="939"/>
      <c r="AW45" s="939"/>
      <c r="AX45" s="939"/>
      <c r="AY45" s="939"/>
      <c r="AZ45" s="939"/>
      <c r="BA45" s="939"/>
      <c r="BB45" s="939"/>
      <c r="BC45" s="939"/>
      <c r="BD45" s="939"/>
      <c r="BE45" s="939"/>
      <c r="BF45" s="939"/>
    </row>
    <row r="46" spans="2:58" s="953" customFormat="1" ht="20.25" customHeight="1" x14ac:dyDescent="0.3">
      <c r="B46" s="939"/>
      <c r="C46" s="939"/>
      <c r="D46" s="968"/>
      <c r="E46" s="968"/>
      <c r="F46" s="968"/>
      <c r="G46" s="968"/>
      <c r="H46" s="968"/>
      <c r="I46" s="968"/>
      <c r="J46" s="951"/>
      <c r="K46" s="996"/>
      <c r="L46" s="996"/>
      <c r="M46" s="997"/>
      <c r="N46" s="998"/>
      <c r="O46" s="998"/>
      <c r="P46" s="998"/>
      <c r="Q46" s="998"/>
      <c r="R46" s="998"/>
      <c r="S46" s="998"/>
      <c r="T46" s="998"/>
      <c r="U46" s="998"/>
      <c r="V46" s="998"/>
      <c r="W46" s="998"/>
      <c r="X46" s="951"/>
      <c r="Y46" s="957"/>
      <c r="Z46" s="957"/>
      <c r="AA46" s="957"/>
      <c r="AB46" s="957"/>
      <c r="AC46" s="957"/>
      <c r="AD46" s="957"/>
      <c r="AE46" s="957"/>
      <c r="AF46" s="957"/>
      <c r="AG46" s="957"/>
      <c r="AH46" s="957"/>
      <c r="AI46" s="957"/>
      <c r="AJ46" s="957"/>
      <c r="AK46" s="957"/>
      <c r="AL46" s="957"/>
      <c r="AM46" s="957"/>
      <c r="AN46" s="957"/>
      <c r="AO46" s="957"/>
      <c r="AP46" s="957"/>
      <c r="AQ46" s="957"/>
      <c r="AR46" s="957"/>
      <c r="AS46" s="957"/>
      <c r="AT46" s="957"/>
      <c r="AU46" s="957"/>
      <c r="AV46" s="957"/>
      <c r="AW46" s="957"/>
      <c r="AX46" s="939"/>
      <c r="AY46" s="968"/>
      <c r="AZ46" s="968"/>
      <c r="BA46" s="968"/>
      <c r="BB46" s="968"/>
      <c r="BC46" s="968"/>
      <c r="BD46" s="968"/>
      <c r="BE46" s="968"/>
      <c r="BF46" s="968"/>
    </row>
    <row r="47" spans="2:58" s="953" customFormat="1" ht="5.0999999999999996" customHeight="1" x14ac:dyDescent="0.3">
      <c r="B47" s="939"/>
      <c r="C47" s="939"/>
      <c r="D47" s="999"/>
      <c r="E47" s="1000"/>
      <c r="F47" s="999"/>
      <c r="G47" s="999"/>
      <c r="H47" s="999"/>
      <c r="I47" s="1000"/>
      <c r="J47" s="951"/>
      <c r="K47" s="1001"/>
      <c r="L47" s="939"/>
      <c r="M47" s="997"/>
      <c r="N47" s="998"/>
      <c r="O47" s="998"/>
      <c r="P47" s="998"/>
      <c r="Q47" s="998"/>
      <c r="R47" s="998"/>
      <c r="S47" s="998"/>
      <c r="T47" s="998"/>
      <c r="U47" s="998"/>
      <c r="V47" s="998"/>
      <c r="W47" s="998"/>
      <c r="X47" s="951"/>
      <c r="Y47" s="951"/>
      <c r="Z47" s="940"/>
      <c r="AA47" s="951"/>
      <c r="AB47" s="940"/>
      <c r="AC47" s="940"/>
      <c r="AD47" s="940"/>
      <c r="AE47" s="940"/>
      <c r="AF47" s="940"/>
      <c r="AG47" s="940"/>
      <c r="AH47" s="951"/>
      <c r="AI47" s="939"/>
      <c r="AJ47" s="939"/>
      <c r="AK47" s="939"/>
      <c r="AL47" s="939"/>
      <c r="AM47" s="939"/>
      <c r="AN47" s="939"/>
      <c r="AO47" s="939"/>
      <c r="AP47" s="939"/>
      <c r="AQ47" s="939"/>
      <c r="AR47" s="939"/>
      <c r="AS47" s="939"/>
      <c r="AT47" s="939"/>
      <c r="AU47" s="939"/>
      <c r="AV47" s="939"/>
      <c r="AW47" s="939"/>
      <c r="AX47" s="939"/>
      <c r="AY47" s="939"/>
      <c r="AZ47" s="939"/>
      <c r="BA47" s="939"/>
      <c r="BB47" s="939"/>
      <c r="BC47" s="939"/>
      <c r="BD47" s="939"/>
      <c r="BE47" s="939"/>
      <c r="BF47" s="939"/>
    </row>
    <row r="48" spans="2:58" s="953" customFormat="1" ht="20.25" customHeight="1" x14ac:dyDescent="0.3">
      <c r="B48" s="939"/>
      <c r="C48" s="939"/>
      <c r="D48" s="968"/>
      <c r="E48" s="968"/>
      <c r="F48" s="968"/>
      <c r="G48" s="968"/>
      <c r="H48" s="968"/>
      <c r="I48" s="968"/>
      <c r="J48" s="951"/>
      <c r="K48" s="996"/>
      <c r="L48" s="996"/>
      <c r="M48" s="997"/>
      <c r="N48" s="998"/>
      <c r="O48" s="998"/>
      <c r="P48" s="998"/>
      <c r="Q48" s="998"/>
      <c r="R48" s="998"/>
      <c r="S48" s="998"/>
      <c r="T48" s="998"/>
      <c r="U48" s="998"/>
      <c r="V48" s="998"/>
      <c r="W48" s="998"/>
      <c r="X48" s="951"/>
      <c r="Y48" s="951"/>
      <c r="Z48" s="940"/>
      <c r="AA48" s="951"/>
      <c r="AB48" s="940"/>
      <c r="AC48" s="940"/>
      <c r="AD48" s="940"/>
      <c r="AE48" s="940"/>
      <c r="AF48" s="940"/>
      <c r="AG48" s="940"/>
      <c r="AH48" s="951"/>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39"/>
    </row>
    <row r="49" spans="2:58" s="953" customFormat="1" ht="6" customHeight="1" x14ac:dyDescent="0.3">
      <c r="B49" s="939"/>
      <c r="C49" s="939"/>
      <c r="D49" s="939"/>
      <c r="E49" s="939"/>
      <c r="F49" s="939"/>
      <c r="G49" s="939"/>
      <c r="H49" s="939"/>
      <c r="I49" s="939"/>
      <c r="J49" s="939"/>
      <c r="K49" s="939"/>
      <c r="L49" s="951"/>
      <c r="M49" s="939"/>
      <c r="N49" s="939"/>
      <c r="O49" s="939"/>
      <c r="P49" s="939"/>
      <c r="Q49" s="939"/>
      <c r="R49" s="939"/>
      <c r="S49" s="939"/>
      <c r="T49" s="939"/>
      <c r="U49" s="939"/>
      <c r="V49" s="939"/>
      <c r="W49" s="939"/>
      <c r="X49" s="951"/>
      <c r="Y49" s="951"/>
      <c r="Z49" s="939"/>
      <c r="AA49" s="951"/>
      <c r="AB49" s="939"/>
      <c r="AC49" s="939"/>
      <c r="AD49" s="939"/>
      <c r="AE49" s="939"/>
      <c r="AF49" s="939"/>
      <c r="AG49" s="939"/>
      <c r="AH49" s="951"/>
      <c r="AI49" s="939"/>
      <c r="AJ49" s="939"/>
      <c r="AK49" s="939"/>
      <c r="AL49" s="939"/>
      <c r="AM49" s="939"/>
      <c r="AN49" s="939"/>
      <c r="AO49" s="939"/>
      <c r="AP49" s="939"/>
      <c r="AQ49" s="939"/>
      <c r="AR49" s="939"/>
      <c r="AS49" s="939"/>
      <c r="AT49" s="939"/>
      <c r="AU49" s="939"/>
      <c r="AV49" s="939"/>
      <c r="AW49" s="939"/>
      <c r="AX49" s="939"/>
      <c r="AY49" s="939"/>
      <c r="AZ49" s="939"/>
      <c r="BA49" s="939"/>
      <c r="BB49" s="939"/>
      <c r="BC49" s="939"/>
      <c r="BD49" s="939"/>
      <c r="BE49" s="939"/>
      <c r="BF49" s="939"/>
    </row>
    <row r="50" spans="2:58" s="953" customFormat="1" ht="9.75" customHeight="1" x14ac:dyDescent="0.3">
      <c r="B50" s="939"/>
      <c r="C50" s="939"/>
      <c r="D50" s="939"/>
      <c r="E50" s="939"/>
      <c r="F50" s="939"/>
      <c r="G50" s="939"/>
      <c r="H50" s="939"/>
      <c r="I50" s="939"/>
      <c r="J50" s="939"/>
      <c r="K50" s="939"/>
      <c r="L50" s="939"/>
      <c r="M50" s="939"/>
      <c r="N50" s="939"/>
      <c r="O50" s="939"/>
      <c r="P50" s="939"/>
      <c r="Q50" s="939"/>
      <c r="R50" s="939"/>
      <c r="S50" s="939"/>
      <c r="T50" s="939"/>
      <c r="U50" s="939"/>
      <c r="V50" s="939"/>
      <c r="W50" s="939"/>
      <c r="X50" s="939"/>
      <c r="Y50" s="939"/>
      <c r="Z50" s="939"/>
      <c r="AA50" s="939"/>
      <c r="AB50" s="939"/>
      <c r="AC50" s="939"/>
      <c r="AD50" s="939"/>
      <c r="AE50" s="939"/>
      <c r="AF50" s="939"/>
      <c r="AG50" s="939"/>
      <c r="AH50" s="939"/>
      <c r="AI50" s="939"/>
      <c r="AJ50" s="939"/>
      <c r="AK50" s="939"/>
      <c r="AL50" s="939"/>
      <c r="AM50" s="939"/>
      <c r="AN50" s="939"/>
      <c r="AO50" s="939"/>
      <c r="AP50" s="939"/>
      <c r="AQ50" s="939"/>
      <c r="AR50" s="939"/>
      <c r="AS50" s="939"/>
      <c r="AT50" s="970"/>
      <c r="AU50" s="970"/>
      <c r="AV50" s="971"/>
      <c r="AW50" s="971"/>
      <c r="AX50" s="971"/>
      <c r="AY50" s="971"/>
      <c r="AZ50" s="971"/>
      <c r="BA50" s="971"/>
      <c r="BB50" s="971"/>
      <c r="BC50" s="971"/>
      <c r="BD50" s="971"/>
      <c r="BE50" s="971"/>
      <c r="BF50" s="939"/>
    </row>
    <row r="51" spans="2:58" s="953" customFormat="1" ht="9.75" customHeight="1" x14ac:dyDescent="0.3">
      <c r="B51" s="939"/>
      <c r="C51" s="939"/>
      <c r="D51" s="939"/>
      <c r="E51" s="939"/>
      <c r="F51" s="939"/>
      <c r="G51" s="939"/>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c r="AL51" s="939"/>
      <c r="AM51" s="939"/>
      <c r="AN51" s="939"/>
      <c r="AO51" s="939"/>
      <c r="AP51" s="939"/>
      <c r="AQ51" s="939"/>
      <c r="AR51" s="939"/>
      <c r="AS51" s="939"/>
      <c r="AT51" s="970"/>
      <c r="AU51" s="970"/>
      <c r="AV51" s="971"/>
      <c r="AW51" s="971"/>
      <c r="AX51" s="971"/>
      <c r="AY51" s="971"/>
      <c r="AZ51" s="971"/>
      <c r="BA51" s="971"/>
      <c r="BB51" s="971"/>
      <c r="BC51" s="971"/>
      <c r="BD51" s="971"/>
      <c r="BE51" s="971"/>
      <c r="BF51" s="939"/>
    </row>
    <row r="52" spans="2:58" s="953" customFormat="1" ht="18.75" customHeight="1" x14ac:dyDescent="0.3">
      <c r="B52" s="939"/>
      <c r="C52" s="939"/>
      <c r="D52" s="939"/>
      <c r="E52" s="939"/>
      <c r="F52" s="939"/>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s="939"/>
      <c r="AM52" s="939"/>
      <c r="AN52" s="939"/>
      <c r="AO52" s="939"/>
      <c r="AP52" s="939"/>
      <c r="AQ52" s="939"/>
      <c r="AR52" s="939"/>
      <c r="AS52" s="939"/>
      <c r="AT52" s="970"/>
      <c r="AU52" s="970"/>
      <c r="AV52" s="971"/>
      <c r="AW52" s="971"/>
      <c r="AX52" s="971"/>
      <c r="AY52" s="971"/>
      <c r="AZ52" s="971"/>
      <c r="BA52" s="971"/>
      <c r="BB52" s="971"/>
      <c r="BC52" s="971"/>
      <c r="BD52" s="971"/>
      <c r="BE52" s="971"/>
      <c r="BF52" s="939"/>
    </row>
    <row r="53" spans="2:58" s="953" customFormat="1" ht="21.75" customHeight="1" x14ac:dyDescent="0.3">
      <c r="B53" s="939"/>
      <c r="C53" s="968"/>
      <c r="D53" s="968"/>
      <c r="E53" s="968"/>
      <c r="F53" s="968"/>
      <c r="G53" s="968"/>
      <c r="H53" s="968"/>
      <c r="I53" s="968"/>
      <c r="J53" s="968"/>
      <c r="K53" s="968"/>
      <c r="L53" s="968"/>
      <c r="M53" s="968"/>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c r="AL53" s="939"/>
      <c r="AM53" s="939"/>
      <c r="AN53" s="939"/>
      <c r="AO53" s="939"/>
      <c r="AP53" s="939"/>
      <c r="AQ53" s="939"/>
      <c r="AR53" s="939"/>
      <c r="AS53" s="939"/>
      <c r="AT53" s="939"/>
      <c r="AU53" s="939"/>
      <c r="AV53" s="939"/>
      <c r="AW53" s="939"/>
      <c r="AX53" s="939"/>
      <c r="AY53" s="939"/>
      <c r="AZ53" s="939"/>
      <c r="BA53" s="939"/>
      <c r="BB53" s="939"/>
      <c r="BC53" s="939"/>
      <c r="BD53" s="939"/>
      <c r="BE53" s="939"/>
      <c r="BF53" s="939"/>
    </row>
    <row r="54" spans="2:58" ht="10.5" customHeight="1" x14ac:dyDescent="0.25">
      <c r="B54" s="952"/>
      <c r="C54" s="952"/>
      <c r="D54" s="952"/>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39"/>
      <c r="AP54" s="939"/>
      <c r="AQ54" s="939"/>
      <c r="AR54" s="939"/>
      <c r="AS54" s="939"/>
      <c r="AT54" s="939"/>
      <c r="AU54" s="939"/>
      <c r="AV54" s="939"/>
      <c r="AW54" s="939"/>
      <c r="AX54" s="939"/>
      <c r="AY54" s="939"/>
      <c r="AZ54" s="939"/>
      <c r="BA54" s="939"/>
      <c r="BB54" s="939"/>
      <c r="BC54" s="939"/>
      <c r="BD54" s="939"/>
      <c r="BE54" s="939"/>
      <c r="BF54" s="939"/>
    </row>
    <row r="55" spans="2:58" ht="18.75" customHeight="1" x14ac:dyDescent="0.25">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c r="AU55" s="977"/>
      <c r="AV55" s="977"/>
      <c r="AW55" s="977"/>
      <c r="AX55" s="977"/>
      <c r="AY55" s="977"/>
      <c r="AZ55" s="977"/>
      <c r="BA55" s="977"/>
      <c r="BB55" s="977"/>
      <c r="BC55" s="977"/>
      <c r="BD55" s="977"/>
      <c r="BE55" s="977"/>
      <c r="BF55" s="977"/>
    </row>
    <row r="56" spans="2:58" ht="8.25" customHeight="1" x14ac:dyDescent="0.25">
      <c r="B56" s="952"/>
      <c r="C56" s="952"/>
      <c r="D56" s="952"/>
      <c r="E56" s="939"/>
      <c r="F56" s="945"/>
      <c r="G56" s="939"/>
      <c r="H56" s="939"/>
      <c r="I56" s="939"/>
      <c r="J56" s="939"/>
      <c r="K56" s="939"/>
      <c r="L56" s="939"/>
      <c r="M56" s="939"/>
      <c r="N56" s="939"/>
      <c r="O56" s="939"/>
      <c r="P56" s="939"/>
      <c r="Q56" s="939"/>
      <c r="R56" s="939"/>
      <c r="S56" s="939"/>
      <c r="T56" s="939"/>
      <c r="U56" s="939"/>
      <c r="V56" s="939"/>
      <c r="W56" s="939"/>
      <c r="X56" s="939"/>
      <c r="Y56" s="939"/>
      <c r="Z56" s="939"/>
      <c r="AA56" s="939"/>
      <c r="AB56" s="939"/>
      <c r="AC56" s="939"/>
      <c r="AD56" s="939"/>
      <c r="AE56" s="939"/>
      <c r="AF56" s="939"/>
      <c r="AG56" s="939"/>
      <c r="AH56" s="939"/>
      <c r="AI56" s="939"/>
      <c r="AJ56" s="939"/>
      <c r="AK56" s="939"/>
      <c r="AL56" s="939"/>
      <c r="AM56" s="939"/>
      <c r="AN56" s="939"/>
      <c r="AO56" s="939"/>
      <c r="AP56" s="939"/>
      <c r="AQ56" s="939"/>
      <c r="AR56" s="939"/>
      <c r="AS56" s="939"/>
      <c r="AT56" s="939"/>
      <c r="AU56" s="939"/>
      <c r="AV56" s="939"/>
      <c r="AW56" s="939"/>
      <c r="AX56" s="939"/>
      <c r="AY56" s="939"/>
      <c r="AZ56" s="939"/>
      <c r="BA56" s="939"/>
      <c r="BB56" s="939"/>
      <c r="BC56" s="939"/>
      <c r="BD56" s="939"/>
      <c r="BE56" s="939"/>
      <c r="BF56" s="939"/>
    </row>
    <row r="57" spans="2:58" ht="13.5" customHeight="1" x14ac:dyDescent="0.25">
      <c r="B57" s="952"/>
      <c r="C57" s="952"/>
      <c r="D57" s="952"/>
      <c r="E57" s="939"/>
      <c r="F57" s="1002"/>
      <c r="G57" s="939"/>
      <c r="H57" s="939"/>
      <c r="I57" s="939"/>
      <c r="J57" s="939"/>
      <c r="K57" s="939"/>
      <c r="L57" s="939"/>
      <c r="M57" s="939"/>
      <c r="N57" s="939"/>
      <c r="O57" s="939"/>
      <c r="P57" s="939"/>
      <c r="Q57" s="939"/>
      <c r="R57" s="939"/>
      <c r="S57" s="939"/>
      <c r="T57" s="939"/>
      <c r="U57" s="939"/>
      <c r="V57" s="939"/>
      <c r="W57" s="939"/>
      <c r="X57" s="939"/>
      <c r="Y57" s="939"/>
      <c r="Z57" s="939"/>
      <c r="AA57" s="939"/>
      <c r="AB57" s="939"/>
      <c r="AC57" s="939"/>
      <c r="AD57" s="939"/>
      <c r="AE57" s="939"/>
      <c r="AF57" s="939"/>
      <c r="AG57" s="939"/>
      <c r="AH57" s="939"/>
      <c r="AI57" s="939"/>
      <c r="AJ57" s="939"/>
      <c r="AK57" s="939"/>
      <c r="AL57" s="939"/>
      <c r="AM57" s="939"/>
      <c r="AN57" s="939"/>
      <c r="AO57" s="939"/>
      <c r="AP57" s="939"/>
      <c r="AQ57" s="939"/>
      <c r="AR57" s="939"/>
      <c r="AS57" s="939"/>
      <c r="AT57" s="939"/>
      <c r="AU57" s="939"/>
      <c r="AV57" s="939"/>
      <c r="AW57" s="939"/>
      <c r="AX57" s="939"/>
      <c r="AY57" s="939"/>
      <c r="AZ57" s="939"/>
      <c r="BA57" s="939"/>
      <c r="BB57" s="939"/>
      <c r="BC57" s="939"/>
      <c r="BD57" s="939"/>
      <c r="BE57" s="939"/>
      <c r="BF57" s="939"/>
    </row>
    <row r="58" spans="2:58" ht="12.75" customHeight="1" x14ac:dyDescent="0.25">
      <c r="B58" s="952"/>
      <c r="C58" s="952"/>
      <c r="D58" s="952"/>
      <c r="E58" s="945"/>
      <c r="F58" s="939"/>
      <c r="G58" s="939"/>
      <c r="H58" s="939"/>
      <c r="I58" s="939"/>
      <c r="J58" s="939"/>
      <c r="K58" s="939"/>
      <c r="L58" s="939"/>
      <c r="M58" s="939"/>
      <c r="N58" s="939"/>
      <c r="O58" s="939"/>
      <c r="P58" s="939"/>
      <c r="Q58" s="939"/>
      <c r="R58" s="939"/>
      <c r="S58" s="939"/>
      <c r="T58" s="939"/>
      <c r="U58" s="939"/>
      <c r="V58" s="939"/>
      <c r="W58" s="939"/>
      <c r="X58" s="939"/>
      <c r="Y58" s="939"/>
      <c r="Z58" s="939"/>
      <c r="AA58" s="939"/>
      <c r="AB58" s="939"/>
      <c r="AC58" s="939"/>
      <c r="AD58" s="939"/>
      <c r="AE58" s="939"/>
      <c r="AF58" s="939"/>
      <c r="AG58" s="939"/>
      <c r="AH58" s="939"/>
      <c r="AI58" s="939"/>
      <c r="AJ58" s="939"/>
      <c r="AK58" s="939"/>
      <c r="AL58" s="939"/>
      <c r="AM58" s="939"/>
      <c r="AN58" s="939"/>
      <c r="AO58" s="939"/>
      <c r="AP58" s="939"/>
      <c r="AQ58" s="939"/>
      <c r="AR58" s="939"/>
      <c r="AS58" s="939"/>
      <c r="AT58" s="939"/>
      <c r="AU58" s="939"/>
      <c r="AV58" s="939"/>
      <c r="AW58" s="939"/>
      <c r="AX58" s="939"/>
      <c r="AY58" s="939"/>
      <c r="AZ58" s="939"/>
      <c r="BA58" s="939"/>
      <c r="BB58" s="939"/>
      <c r="BC58" s="939"/>
      <c r="BD58" s="939"/>
      <c r="BE58" s="939"/>
      <c r="BF58" s="939"/>
    </row>
    <row r="59" spans="2:58" ht="26.25" x14ac:dyDescent="0.25">
      <c r="B59" s="993"/>
      <c r="C59" s="993"/>
      <c r="D59" s="993"/>
      <c r="E59" s="993"/>
      <c r="F59" s="993"/>
      <c r="G59" s="993"/>
      <c r="H59" s="993"/>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993"/>
      <c r="AH59" s="993"/>
      <c r="AI59" s="993"/>
      <c r="AJ59" s="993"/>
      <c r="AK59" s="993"/>
      <c r="AL59" s="993"/>
      <c r="AM59" s="993"/>
      <c r="AN59" s="993"/>
      <c r="AO59" s="993"/>
      <c r="AP59" s="993"/>
      <c r="AQ59" s="993"/>
      <c r="AR59" s="993"/>
      <c r="AS59" s="993"/>
      <c r="AT59" s="993"/>
      <c r="AU59" s="993"/>
      <c r="AV59" s="993"/>
      <c r="AW59" s="993"/>
      <c r="AX59" s="993"/>
      <c r="AY59" s="993"/>
      <c r="AZ59" s="993"/>
      <c r="BA59" s="993"/>
      <c r="BB59" s="993"/>
      <c r="BC59" s="993"/>
      <c r="BD59" s="993"/>
      <c r="BE59" s="993"/>
      <c r="BF59" s="993"/>
    </row>
    <row r="60" spans="2:58" ht="18.75" customHeight="1" x14ac:dyDescent="0.25">
      <c r="B60" s="952"/>
      <c r="C60" s="952"/>
      <c r="D60" s="952"/>
      <c r="E60" s="945"/>
      <c r="F60" s="952"/>
      <c r="G60" s="952"/>
      <c r="H60" s="952"/>
      <c r="I60" s="937"/>
      <c r="J60" s="937"/>
      <c r="K60" s="937"/>
      <c r="L60" s="937"/>
      <c r="M60" s="937"/>
      <c r="N60" s="937"/>
      <c r="O60" s="937"/>
      <c r="P60" s="937"/>
      <c r="Q60" s="937"/>
      <c r="R60" s="937"/>
      <c r="S60" s="937"/>
      <c r="T60" s="937"/>
      <c r="U60" s="937"/>
      <c r="V60" s="937"/>
      <c r="W60" s="937"/>
      <c r="X60" s="937"/>
      <c r="Y60" s="937"/>
      <c r="Z60" s="994"/>
      <c r="AA60" s="994"/>
      <c r="AB60" s="994"/>
      <c r="AC60" s="994"/>
      <c r="AD60" s="994"/>
      <c r="AE60" s="994"/>
      <c r="AF60" s="994"/>
      <c r="AG60" s="994"/>
      <c r="AH60" s="994"/>
      <c r="AI60" s="939"/>
      <c r="AJ60" s="939"/>
      <c r="AK60" s="939"/>
      <c r="AL60" s="939"/>
      <c r="AM60" s="939"/>
      <c r="AN60" s="939"/>
      <c r="AO60" s="939"/>
      <c r="AP60" s="939"/>
      <c r="AQ60" s="939"/>
      <c r="AR60" s="939"/>
      <c r="AS60" s="940"/>
      <c r="AT60" s="940"/>
      <c r="AU60" s="940"/>
      <c r="AV60" s="940"/>
      <c r="AW60" s="940"/>
      <c r="AX60" s="940"/>
      <c r="AY60" s="940"/>
      <c r="AZ60" s="940"/>
      <c r="BA60" s="940"/>
      <c r="BB60" s="940"/>
      <c r="BC60" s="940"/>
      <c r="BD60" s="940"/>
      <c r="BE60" s="940"/>
      <c r="BF60" s="940"/>
    </row>
    <row r="61" spans="2:58" ht="18.75" customHeight="1" x14ac:dyDescent="0.25">
      <c r="B61" s="952"/>
      <c r="C61" s="952"/>
      <c r="D61" s="952"/>
      <c r="E61" s="945"/>
      <c r="F61" s="952"/>
      <c r="G61" s="952"/>
      <c r="H61" s="952"/>
      <c r="I61" s="937"/>
      <c r="J61" s="937"/>
      <c r="K61" s="937"/>
      <c r="L61" s="937"/>
      <c r="M61" s="937"/>
      <c r="N61" s="937"/>
      <c r="O61" s="937"/>
      <c r="P61" s="937"/>
      <c r="Q61" s="937"/>
      <c r="R61" s="937"/>
      <c r="S61" s="937"/>
      <c r="T61" s="937"/>
      <c r="U61" s="937"/>
      <c r="V61" s="937"/>
      <c r="W61" s="937"/>
      <c r="X61" s="937"/>
      <c r="Y61" s="937"/>
      <c r="Z61" s="939"/>
      <c r="AA61" s="939"/>
      <c r="AB61" s="939"/>
      <c r="AC61" s="939"/>
      <c r="AD61" s="939"/>
      <c r="AE61" s="939"/>
      <c r="AF61" s="939"/>
      <c r="AG61" s="939"/>
      <c r="AH61" s="939"/>
      <c r="AI61" s="940"/>
      <c r="AJ61" s="940"/>
      <c r="AK61" s="940"/>
      <c r="AL61" s="940"/>
      <c r="AM61" s="940"/>
      <c r="AN61" s="940"/>
      <c r="AO61" s="940"/>
      <c r="AP61" s="940"/>
      <c r="AQ61" s="940"/>
      <c r="AR61" s="939"/>
      <c r="AS61" s="940"/>
      <c r="AT61" s="940"/>
      <c r="AU61" s="940"/>
      <c r="AV61" s="940"/>
      <c r="AW61" s="940"/>
      <c r="AX61" s="940"/>
      <c r="AY61" s="940"/>
      <c r="AZ61" s="940"/>
      <c r="BA61" s="940"/>
      <c r="BB61" s="940"/>
      <c r="BC61" s="940"/>
      <c r="BD61" s="940"/>
      <c r="BE61" s="940"/>
      <c r="BF61" s="940"/>
    </row>
    <row r="62" spans="2:58" ht="15" customHeight="1" x14ac:dyDescent="0.25">
      <c r="B62" s="952"/>
      <c r="C62" s="952"/>
      <c r="D62" s="952"/>
      <c r="E62" s="945"/>
      <c r="F62" s="952"/>
      <c r="G62" s="952"/>
      <c r="H62" s="952"/>
      <c r="I62" s="944"/>
      <c r="J62" s="944"/>
      <c r="K62" s="944"/>
      <c r="L62" s="944"/>
      <c r="M62" s="944"/>
      <c r="N62" s="944"/>
      <c r="O62" s="944"/>
      <c r="P62" s="944"/>
      <c r="Q62" s="944"/>
      <c r="R62" s="944"/>
      <c r="S62" s="944"/>
      <c r="T62" s="944"/>
      <c r="U62" s="944"/>
      <c r="V62" s="944"/>
      <c r="W62" s="944"/>
      <c r="X62" s="944"/>
      <c r="Y62" s="944"/>
      <c r="Z62" s="945"/>
      <c r="AA62" s="945"/>
      <c r="AB62" s="945"/>
      <c r="AC62" s="945"/>
      <c r="AD62" s="945"/>
      <c r="AE62" s="945"/>
      <c r="AF62" s="945"/>
      <c r="AG62" s="945"/>
      <c r="AH62" s="939"/>
      <c r="AI62" s="939"/>
      <c r="AJ62" s="939"/>
      <c r="AK62" s="939"/>
      <c r="AL62" s="939"/>
      <c r="AM62" s="939"/>
      <c r="AN62" s="939"/>
      <c r="AO62" s="939"/>
      <c r="AP62" s="939"/>
      <c r="AQ62" s="939"/>
      <c r="AR62" s="939"/>
      <c r="AS62" s="940"/>
      <c r="AT62" s="940"/>
      <c r="AU62" s="940"/>
      <c r="AV62" s="940"/>
      <c r="AW62" s="940"/>
      <c r="AX62" s="940"/>
      <c r="AY62" s="940"/>
      <c r="AZ62" s="940"/>
      <c r="BA62" s="940"/>
      <c r="BB62" s="940"/>
      <c r="BC62" s="940"/>
      <c r="BD62" s="940"/>
      <c r="BE62" s="940"/>
      <c r="BF62" s="940"/>
    </row>
    <row r="63" spans="2:58" ht="18.75" x14ac:dyDescent="0.3">
      <c r="B63" s="952"/>
      <c r="C63" s="952"/>
      <c r="D63" s="952"/>
      <c r="E63" s="952"/>
      <c r="F63" s="952"/>
      <c r="G63" s="952"/>
      <c r="H63" s="945"/>
      <c r="I63" s="950"/>
      <c r="J63" s="950"/>
      <c r="K63" s="950"/>
      <c r="L63" s="950"/>
      <c r="M63" s="950"/>
      <c r="N63" s="950"/>
      <c r="O63" s="950"/>
      <c r="P63" s="950"/>
      <c r="Q63" s="950"/>
      <c r="R63" s="950"/>
      <c r="S63" s="950"/>
      <c r="T63" s="950"/>
      <c r="U63" s="950"/>
      <c r="V63" s="950"/>
      <c r="W63" s="950"/>
      <c r="X63" s="950"/>
      <c r="Y63" s="950"/>
      <c r="Z63" s="950"/>
      <c r="AA63" s="950"/>
      <c r="AB63" s="950"/>
      <c r="AC63" s="950"/>
      <c r="AD63" s="950"/>
      <c r="AE63" s="950"/>
      <c r="AF63" s="950"/>
      <c r="AG63" s="950"/>
      <c r="AH63" s="939"/>
      <c r="AI63" s="939"/>
      <c r="AJ63" s="939"/>
      <c r="AK63" s="939"/>
      <c r="AL63" s="939"/>
      <c r="AM63" s="939"/>
      <c r="AN63" s="939"/>
      <c r="AO63" s="939"/>
      <c r="AP63" s="939"/>
      <c r="AQ63" s="939"/>
      <c r="AR63" s="939"/>
      <c r="AS63" s="939"/>
      <c r="AT63" s="939"/>
      <c r="AU63" s="939"/>
      <c r="AV63" s="939"/>
      <c r="AW63" s="951"/>
      <c r="AX63" s="939"/>
      <c r="AY63" s="939"/>
      <c r="AZ63" s="939"/>
      <c r="BA63" s="939"/>
      <c r="BB63" s="939"/>
      <c r="BC63" s="952"/>
      <c r="BD63" s="952"/>
      <c r="BE63" s="952"/>
      <c r="BF63" s="952"/>
    </row>
    <row r="64" spans="2:58" s="953" customFormat="1" ht="18.75" customHeight="1" x14ac:dyDescent="0.3">
      <c r="B64" s="939"/>
      <c r="C64" s="957"/>
      <c r="D64" s="957"/>
      <c r="E64" s="957"/>
      <c r="F64" s="957"/>
      <c r="G64" s="957"/>
      <c r="H64" s="957"/>
      <c r="I64" s="957"/>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c r="AL64" s="956"/>
      <c r="AM64" s="956"/>
      <c r="AN64" s="956"/>
      <c r="AO64" s="939"/>
      <c r="AP64" s="951"/>
      <c r="AQ64" s="951"/>
      <c r="AR64" s="951"/>
      <c r="AS64" s="958"/>
      <c r="AT64" s="958"/>
      <c r="AU64" s="958"/>
      <c r="AV64" s="958"/>
      <c r="AW64" s="958"/>
      <c r="AX64" s="958"/>
      <c r="AY64" s="958"/>
      <c r="AZ64" s="958"/>
      <c r="BA64" s="958"/>
      <c r="BB64" s="958"/>
      <c r="BC64" s="958"/>
      <c r="BD64" s="958"/>
      <c r="BE64" s="958"/>
      <c r="BF64" s="958"/>
    </row>
    <row r="65" spans="2:58" s="953" customFormat="1" ht="18.75" customHeight="1" x14ac:dyDescent="0.3">
      <c r="B65" s="951"/>
      <c r="C65" s="951"/>
      <c r="D65" s="951"/>
      <c r="E65" s="951"/>
      <c r="F65" s="951"/>
      <c r="G65" s="951"/>
      <c r="H65" s="951"/>
      <c r="I65" s="951"/>
      <c r="J65" s="951"/>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c r="AL65" s="962"/>
      <c r="AM65" s="962"/>
      <c r="AN65" s="962"/>
      <c r="AO65" s="951"/>
      <c r="AP65" s="951"/>
      <c r="AQ65" s="951"/>
      <c r="AR65" s="951"/>
      <c r="AS65" s="951"/>
      <c r="AT65" s="951"/>
      <c r="AU65" s="951"/>
      <c r="AV65" s="951"/>
      <c r="AW65" s="951"/>
      <c r="AX65" s="951"/>
      <c r="AY65" s="951"/>
      <c r="AZ65" s="951"/>
      <c r="BA65" s="951"/>
      <c r="BB65" s="951"/>
      <c r="BC65" s="951"/>
      <c r="BD65" s="951"/>
      <c r="BE65" s="951"/>
      <c r="BF65" s="951"/>
    </row>
    <row r="66" spans="2:58" s="953" customFormat="1" ht="18.75" customHeight="1" x14ac:dyDescent="0.3">
      <c r="B66" s="951"/>
      <c r="C66" s="957"/>
      <c r="D66" s="957"/>
      <c r="E66" s="957"/>
      <c r="F66" s="957"/>
      <c r="G66" s="957"/>
      <c r="H66" s="957"/>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c r="AL66" s="957"/>
      <c r="AM66" s="957"/>
      <c r="AN66" s="957"/>
      <c r="AO66" s="957"/>
      <c r="AP66" s="956"/>
      <c r="AQ66" s="956"/>
      <c r="AR66" s="956"/>
      <c r="AS66" s="956"/>
      <c r="AT66" s="956"/>
      <c r="AU66" s="956"/>
      <c r="AV66" s="956"/>
      <c r="AW66" s="956"/>
      <c r="AX66" s="956"/>
      <c r="AY66" s="956"/>
      <c r="AZ66" s="956"/>
      <c r="BA66" s="956"/>
      <c r="BB66" s="956"/>
      <c r="BC66" s="956"/>
      <c r="BD66" s="956"/>
      <c r="BE66" s="956"/>
      <c r="BF66" s="956"/>
    </row>
    <row r="67" spans="2:58" s="953" customFormat="1" ht="30" customHeight="1" x14ac:dyDescent="0.3">
      <c r="B67" s="951"/>
      <c r="C67" s="957"/>
      <c r="D67" s="957"/>
      <c r="E67" s="957"/>
      <c r="F67" s="957"/>
      <c r="G67" s="957"/>
      <c r="H67" s="957"/>
      <c r="I67" s="956"/>
      <c r="J67" s="956"/>
      <c r="K67" s="956"/>
      <c r="L67" s="956"/>
      <c r="M67" s="956"/>
      <c r="N67" s="956"/>
      <c r="O67" s="956"/>
      <c r="P67" s="956"/>
      <c r="Q67" s="956"/>
      <c r="R67" s="956"/>
      <c r="S67" s="956"/>
      <c r="T67" s="956"/>
      <c r="U67" s="956"/>
      <c r="V67" s="956"/>
      <c r="W67" s="956"/>
      <c r="X67" s="956"/>
      <c r="Y67" s="956"/>
      <c r="Z67" s="956"/>
      <c r="AA67" s="957"/>
      <c r="AB67" s="957"/>
      <c r="AC67" s="957"/>
      <c r="AD67" s="957"/>
      <c r="AE67" s="957"/>
      <c r="AF67" s="957"/>
      <c r="AG67" s="957"/>
      <c r="AH67" s="995"/>
      <c r="AI67" s="995"/>
      <c r="AJ67" s="995"/>
      <c r="AK67" s="995"/>
      <c r="AL67" s="995"/>
      <c r="AM67" s="995"/>
      <c r="AN67" s="995"/>
      <c r="AO67" s="995"/>
      <c r="AP67" s="957"/>
      <c r="AQ67" s="957"/>
      <c r="AR67" s="957"/>
      <c r="AS67" s="957"/>
      <c r="AT67" s="957"/>
      <c r="AU67" s="957"/>
      <c r="AV67" s="957"/>
      <c r="AW67" s="957"/>
      <c r="AX67" s="1003"/>
      <c r="AY67" s="1003"/>
      <c r="AZ67" s="1003"/>
      <c r="BA67" s="1003"/>
      <c r="BB67" s="1003"/>
      <c r="BC67" s="1003"/>
      <c r="BD67" s="1003"/>
      <c r="BE67" s="1003"/>
      <c r="BF67" s="1003"/>
    </row>
    <row r="68" spans="2:58" s="953" customFormat="1" ht="9.75" customHeight="1" x14ac:dyDescent="0.3">
      <c r="B68" s="939"/>
      <c r="C68" s="939"/>
      <c r="D68" s="939"/>
      <c r="E68" s="939"/>
      <c r="F68" s="939"/>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39"/>
      <c r="AU68" s="939"/>
      <c r="AV68" s="939"/>
      <c r="AW68" s="939"/>
      <c r="AX68" s="939"/>
      <c r="AY68" s="939"/>
      <c r="AZ68" s="939"/>
      <c r="BA68" s="1004"/>
      <c r="BB68" s="939"/>
      <c r="BC68" s="939"/>
      <c r="BD68" s="939"/>
      <c r="BE68" s="939"/>
      <c r="BF68" s="939"/>
    </row>
    <row r="69" spans="2:58" s="953" customFormat="1" ht="6" customHeight="1" x14ac:dyDescent="0.3">
      <c r="B69" s="939"/>
      <c r="C69" s="939"/>
      <c r="D69" s="939"/>
      <c r="E69" s="939"/>
      <c r="F69" s="939"/>
      <c r="G69" s="939"/>
      <c r="H69" s="939"/>
      <c r="I69" s="939"/>
      <c r="J69" s="939"/>
      <c r="K69" s="939"/>
      <c r="L69" s="939"/>
      <c r="M69" s="939"/>
      <c r="N69" s="939"/>
      <c r="O69" s="939"/>
      <c r="P69" s="939"/>
      <c r="Q69" s="939"/>
      <c r="R69" s="939"/>
      <c r="S69" s="939"/>
      <c r="T69" s="939"/>
      <c r="U69" s="939"/>
      <c r="V69" s="939"/>
      <c r="W69" s="939"/>
      <c r="X69" s="951"/>
      <c r="Y69" s="951"/>
      <c r="Z69" s="939"/>
      <c r="AA69" s="951"/>
      <c r="AB69" s="939"/>
      <c r="AC69" s="939"/>
      <c r="AD69" s="939"/>
      <c r="AE69" s="939"/>
      <c r="AF69" s="939"/>
      <c r="AG69" s="939"/>
      <c r="AH69" s="951"/>
      <c r="AI69" s="939"/>
      <c r="AJ69" s="939"/>
      <c r="AK69" s="939"/>
      <c r="AL69" s="939"/>
      <c r="AM69" s="939"/>
      <c r="AN69" s="939"/>
      <c r="AO69" s="939"/>
      <c r="AP69" s="939"/>
      <c r="AQ69" s="939"/>
      <c r="AR69" s="939"/>
      <c r="AS69" s="939"/>
      <c r="AT69" s="939"/>
      <c r="AU69" s="939"/>
      <c r="AV69" s="939"/>
      <c r="AW69" s="939"/>
      <c r="AX69" s="939"/>
      <c r="AY69" s="939"/>
      <c r="AZ69" s="939"/>
      <c r="BA69" s="939"/>
      <c r="BB69" s="939"/>
      <c r="BC69" s="939"/>
      <c r="BD69" s="939"/>
      <c r="BE69" s="939"/>
      <c r="BF69" s="939"/>
    </row>
    <row r="70" spans="2:58" s="953" customFormat="1" ht="20.25" customHeight="1" x14ac:dyDescent="0.3">
      <c r="B70" s="939"/>
      <c r="C70" s="939"/>
      <c r="D70" s="968"/>
      <c r="E70" s="968"/>
      <c r="F70" s="968"/>
      <c r="G70" s="968"/>
      <c r="H70" s="968"/>
      <c r="I70" s="968"/>
      <c r="J70" s="951"/>
      <c r="K70" s="996"/>
      <c r="L70" s="996"/>
      <c r="M70" s="997"/>
      <c r="N70" s="966"/>
      <c r="O70" s="966"/>
      <c r="P70" s="998"/>
      <c r="Q70" s="998"/>
      <c r="R70" s="998"/>
      <c r="S70" s="998"/>
      <c r="T70" s="998"/>
      <c r="U70" s="998"/>
      <c r="V70" s="998"/>
      <c r="W70" s="998"/>
      <c r="X70" s="951"/>
      <c r="Y70" s="951"/>
      <c r="Z70" s="940"/>
      <c r="AA70" s="951"/>
      <c r="AB70" s="940"/>
      <c r="AC70" s="940"/>
      <c r="AD70" s="940"/>
      <c r="AE70" s="940"/>
      <c r="AF70" s="940"/>
      <c r="AG70" s="940"/>
      <c r="AH70" s="951"/>
      <c r="AI70" s="939"/>
      <c r="AJ70" s="939"/>
      <c r="AK70" s="939"/>
      <c r="AL70" s="939"/>
      <c r="AM70" s="939"/>
      <c r="AN70" s="939"/>
      <c r="AO70" s="939"/>
      <c r="AP70" s="939"/>
      <c r="AQ70" s="939"/>
      <c r="AR70" s="939"/>
      <c r="AS70" s="939"/>
      <c r="AT70" s="939"/>
      <c r="AU70" s="939"/>
      <c r="AV70" s="939"/>
      <c r="AW70" s="939"/>
      <c r="AX70" s="939"/>
      <c r="AY70" s="939"/>
      <c r="AZ70" s="939"/>
      <c r="BA70" s="939"/>
      <c r="BB70" s="939"/>
      <c r="BC70" s="939"/>
      <c r="BD70" s="939"/>
      <c r="BE70" s="939"/>
      <c r="BF70" s="939"/>
    </row>
    <row r="71" spans="2:58" s="953" customFormat="1" ht="5.0999999999999996" customHeight="1" x14ac:dyDescent="0.3">
      <c r="B71" s="939"/>
      <c r="C71" s="939"/>
      <c r="D71" s="999"/>
      <c r="E71" s="1000"/>
      <c r="F71" s="999"/>
      <c r="G71" s="999"/>
      <c r="H71" s="999"/>
      <c r="I71" s="1000"/>
      <c r="J71" s="951"/>
      <c r="K71" s="1001"/>
      <c r="L71" s="939"/>
      <c r="M71" s="997"/>
      <c r="N71" s="998"/>
      <c r="O71" s="998"/>
      <c r="P71" s="998"/>
      <c r="Q71" s="998"/>
      <c r="R71" s="998"/>
      <c r="S71" s="998"/>
      <c r="T71" s="998"/>
      <c r="U71" s="998"/>
      <c r="V71" s="998"/>
      <c r="W71" s="998"/>
      <c r="X71" s="951"/>
      <c r="Y71" s="951"/>
      <c r="Z71" s="940"/>
      <c r="AA71" s="951"/>
      <c r="AB71" s="940"/>
      <c r="AC71" s="940"/>
      <c r="AD71" s="940"/>
      <c r="AE71" s="940"/>
      <c r="AF71" s="940"/>
      <c r="AG71" s="940"/>
      <c r="AH71" s="951"/>
      <c r="AI71" s="939"/>
      <c r="AJ71" s="939"/>
      <c r="AK71" s="939"/>
      <c r="AL71" s="939"/>
      <c r="AM71" s="939"/>
      <c r="AN71" s="939"/>
      <c r="AO71" s="939"/>
      <c r="AP71" s="939"/>
      <c r="AQ71" s="939"/>
      <c r="AR71" s="939"/>
      <c r="AS71" s="939"/>
      <c r="AT71" s="939"/>
      <c r="AU71" s="939"/>
      <c r="AV71" s="939"/>
      <c r="AW71" s="939"/>
      <c r="AX71" s="939"/>
      <c r="AY71" s="939"/>
      <c r="AZ71" s="939"/>
      <c r="BA71" s="939"/>
      <c r="BB71" s="939"/>
      <c r="BC71" s="939"/>
      <c r="BD71" s="939"/>
      <c r="BE71" s="939"/>
      <c r="BF71" s="939"/>
    </row>
    <row r="72" spans="2:58" s="953" customFormat="1" ht="20.25" customHeight="1" x14ac:dyDescent="0.3">
      <c r="B72" s="939"/>
      <c r="C72" s="939"/>
      <c r="D72" s="968"/>
      <c r="E72" s="968"/>
      <c r="F72" s="968"/>
      <c r="G72" s="968"/>
      <c r="H72" s="968"/>
      <c r="I72" s="968"/>
      <c r="J72" s="951"/>
      <c r="K72" s="996"/>
      <c r="L72" s="996"/>
      <c r="M72" s="997"/>
      <c r="N72" s="998"/>
      <c r="O72" s="998"/>
      <c r="P72" s="998"/>
      <c r="Q72" s="998"/>
      <c r="R72" s="998"/>
      <c r="S72" s="998"/>
      <c r="T72" s="998"/>
      <c r="U72" s="998"/>
      <c r="V72" s="998"/>
      <c r="W72" s="998"/>
      <c r="X72" s="951"/>
      <c r="Y72" s="957"/>
      <c r="Z72" s="957"/>
      <c r="AA72" s="957"/>
      <c r="AB72" s="957"/>
      <c r="AC72" s="957"/>
      <c r="AD72" s="957"/>
      <c r="AE72" s="957"/>
      <c r="AF72" s="957"/>
      <c r="AG72" s="957"/>
      <c r="AH72" s="957"/>
      <c r="AI72" s="957"/>
      <c r="AJ72" s="957"/>
      <c r="AK72" s="957"/>
      <c r="AL72" s="957"/>
      <c r="AM72" s="957"/>
      <c r="AN72" s="957"/>
      <c r="AO72" s="957"/>
      <c r="AP72" s="957"/>
      <c r="AQ72" s="957"/>
      <c r="AR72" s="957"/>
      <c r="AS72" s="957"/>
      <c r="AT72" s="957"/>
      <c r="AU72" s="957"/>
      <c r="AV72" s="957"/>
      <c r="AW72" s="957"/>
      <c r="AX72" s="939"/>
      <c r="AY72" s="968"/>
      <c r="AZ72" s="968"/>
      <c r="BA72" s="968"/>
      <c r="BB72" s="968"/>
      <c r="BC72" s="968"/>
      <c r="BD72" s="968"/>
      <c r="BE72" s="968"/>
      <c r="BF72" s="968"/>
    </row>
    <row r="73" spans="2:58" s="953" customFormat="1" ht="5.0999999999999996" customHeight="1" x14ac:dyDescent="0.3">
      <c r="B73" s="939"/>
      <c r="C73" s="939"/>
      <c r="D73" s="999"/>
      <c r="E73" s="1000"/>
      <c r="F73" s="999"/>
      <c r="G73" s="999"/>
      <c r="H73" s="999"/>
      <c r="I73" s="1000"/>
      <c r="J73" s="951"/>
      <c r="K73" s="1001"/>
      <c r="L73" s="939"/>
      <c r="M73" s="997"/>
      <c r="N73" s="998"/>
      <c r="O73" s="998"/>
      <c r="P73" s="998"/>
      <c r="Q73" s="998"/>
      <c r="R73" s="998"/>
      <c r="S73" s="998"/>
      <c r="T73" s="998"/>
      <c r="U73" s="998"/>
      <c r="V73" s="998"/>
      <c r="W73" s="998"/>
      <c r="X73" s="951"/>
      <c r="Y73" s="951"/>
      <c r="Z73" s="940"/>
      <c r="AA73" s="951"/>
      <c r="AB73" s="940"/>
      <c r="AC73" s="940"/>
      <c r="AD73" s="940"/>
      <c r="AE73" s="940"/>
      <c r="AF73" s="940"/>
      <c r="AG73" s="940"/>
      <c r="AH73" s="951"/>
      <c r="AI73" s="939"/>
      <c r="AJ73" s="939"/>
      <c r="AK73" s="939"/>
      <c r="AL73" s="939"/>
      <c r="AM73" s="939"/>
      <c r="AN73" s="1004"/>
      <c r="AO73" s="939"/>
      <c r="AP73" s="939"/>
      <c r="AQ73" s="939"/>
      <c r="AR73" s="939"/>
      <c r="AS73" s="939"/>
      <c r="AT73" s="939"/>
      <c r="AU73" s="939"/>
      <c r="AV73" s="939"/>
      <c r="AW73" s="939"/>
      <c r="AX73" s="939"/>
      <c r="AY73" s="939"/>
      <c r="AZ73" s="939"/>
      <c r="BA73" s="939"/>
      <c r="BB73" s="939"/>
      <c r="BC73" s="939"/>
      <c r="BD73" s="939"/>
      <c r="BE73" s="939"/>
      <c r="BF73" s="939"/>
    </row>
    <row r="74" spans="2:58" s="953" customFormat="1" ht="20.25" customHeight="1" x14ac:dyDescent="0.3">
      <c r="B74" s="939"/>
      <c r="C74" s="939"/>
      <c r="D74" s="968"/>
      <c r="E74" s="968"/>
      <c r="F74" s="968"/>
      <c r="G74" s="968"/>
      <c r="H74" s="968"/>
      <c r="I74" s="968"/>
      <c r="J74" s="951"/>
      <c r="K74" s="996"/>
      <c r="L74" s="996"/>
      <c r="M74" s="997"/>
      <c r="N74" s="998"/>
      <c r="O74" s="998"/>
      <c r="P74" s="998"/>
      <c r="Q74" s="998"/>
      <c r="R74" s="998"/>
      <c r="S74" s="998"/>
      <c r="T74" s="998"/>
      <c r="U74" s="998"/>
      <c r="V74" s="998"/>
      <c r="W74" s="998"/>
      <c r="X74" s="951"/>
      <c r="Y74" s="951"/>
      <c r="Z74" s="940"/>
      <c r="AA74" s="951"/>
      <c r="AB74" s="940"/>
      <c r="AC74" s="940"/>
      <c r="AD74" s="940"/>
      <c r="AE74" s="940"/>
      <c r="AF74" s="940"/>
      <c r="AG74" s="940"/>
      <c r="AH74" s="951"/>
      <c r="AI74" s="939"/>
      <c r="AJ74" s="939"/>
      <c r="AK74" s="939"/>
      <c r="AL74" s="939"/>
      <c r="AM74" s="939"/>
      <c r="AN74" s="939"/>
      <c r="AO74" s="939"/>
      <c r="AP74" s="939"/>
      <c r="AQ74" s="939"/>
      <c r="AR74" s="939"/>
      <c r="AS74" s="939"/>
      <c r="AT74" s="939"/>
      <c r="AU74" s="939"/>
      <c r="AV74" s="939"/>
      <c r="AW74" s="939"/>
      <c r="AX74" s="939"/>
      <c r="AY74" s="939"/>
      <c r="AZ74" s="939"/>
      <c r="BA74" s="939"/>
      <c r="BB74" s="939"/>
      <c r="BC74" s="939"/>
      <c r="BD74" s="939"/>
      <c r="BE74" s="939"/>
      <c r="BF74" s="939"/>
    </row>
    <row r="75" spans="2:58" s="953" customFormat="1" ht="6" customHeight="1" x14ac:dyDescent="0.3">
      <c r="B75" s="939"/>
      <c r="C75" s="939"/>
      <c r="D75" s="939"/>
      <c r="E75" s="939"/>
      <c r="F75" s="939"/>
      <c r="G75" s="939"/>
      <c r="H75" s="939"/>
      <c r="I75" s="939"/>
      <c r="J75" s="939"/>
      <c r="K75" s="939"/>
      <c r="L75" s="951"/>
      <c r="M75" s="939"/>
      <c r="N75" s="939"/>
      <c r="O75" s="939"/>
      <c r="P75" s="939"/>
      <c r="Q75" s="939"/>
      <c r="R75" s="939"/>
      <c r="S75" s="939"/>
      <c r="T75" s="939"/>
      <c r="U75" s="939"/>
      <c r="V75" s="939"/>
      <c r="W75" s="939"/>
      <c r="X75" s="951"/>
      <c r="Y75" s="951"/>
      <c r="Z75" s="939"/>
      <c r="AA75" s="951"/>
      <c r="AB75" s="939"/>
      <c r="AC75" s="939"/>
      <c r="AD75" s="939"/>
      <c r="AE75" s="939"/>
      <c r="AF75" s="939"/>
      <c r="AG75" s="939"/>
      <c r="AH75" s="951"/>
      <c r="AI75" s="939"/>
      <c r="AJ75" s="939"/>
      <c r="AK75" s="939"/>
      <c r="AL75" s="939"/>
      <c r="AM75" s="939"/>
      <c r="AN75" s="939"/>
      <c r="AO75" s="939"/>
      <c r="AP75" s="939"/>
      <c r="AQ75" s="939"/>
      <c r="AR75" s="939"/>
      <c r="AS75" s="939"/>
      <c r="AT75" s="939"/>
      <c r="AU75" s="939"/>
      <c r="AV75" s="939"/>
      <c r="AW75" s="939"/>
      <c r="AX75" s="939"/>
      <c r="AY75" s="939"/>
      <c r="AZ75" s="939"/>
      <c r="BA75" s="939"/>
      <c r="BB75" s="939"/>
      <c r="BC75" s="939"/>
      <c r="BD75" s="939"/>
      <c r="BE75" s="939"/>
      <c r="BF75" s="939"/>
    </row>
    <row r="76" spans="2:58" s="953" customFormat="1" ht="9.75" customHeight="1" x14ac:dyDescent="0.3">
      <c r="B76" s="939"/>
      <c r="C76" s="939"/>
      <c r="D76" s="939"/>
      <c r="E76" s="939"/>
      <c r="F76" s="939"/>
      <c r="G76" s="939"/>
      <c r="H76" s="939"/>
      <c r="I76" s="939"/>
      <c r="J76" s="939"/>
      <c r="K76" s="939"/>
      <c r="L76" s="939"/>
      <c r="M76" s="939"/>
      <c r="N76" s="939"/>
      <c r="O76" s="939"/>
      <c r="P76" s="939"/>
      <c r="Q76" s="939"/>
      <c r="R76" s="939"/>
      <c r="S76" s="939"/>
      <c r="T76" s="939"/>
      <c r="U76" s="939"/>
      <c r="V76" s="939"/>
      <c r="W76" s="939"/>
      <c r="X76" s="939"/>
      <c r="Y76" s="939"/>
      <c r="Z76" s="939"/>
      <c r="AA76" s="939"/>
      <c r="AB76" s="939"/>
      <c r="AC76" s="939"/>
      <c r="AD76" s="939"/>
      <c r="AE76" s="939"/>
      <c r="AF76" s="939"/>
      <c r="AG76" s="939"/>
      <c r="AH76" s="939"/>
      <c r="AI76" s="939"/>
      <c r="AJ76" s="939"/>
      <c r="AK76" s="939"/>
      <c r="AL76" s="939"/>
      <c r="AM76" s="939"/>
      <c r="AN76" s="939"/>
      <c r="AO76" s="939"/>
      <c r="AP76" s="939"/>
      <c r="AQ76" s="939"/>
      <c r="AR76" s="939"/>
      <c r="AS76" s="939"/>
      <c r="AT76" s="970"/>
      <c r="AU76" s="970"/>
      <c r="AV76" s="971"/>
      <c r="AW76" s="971"/>
      <c r="AX76" s="971"/>
      <c r="AY76" s="971"/>
      <c r="AZ76" s="971"/>
      <c r="BA76" s="971"/>
      <c r="BB76" s="971"/>
      <c r="BC76" s="971"/>
      <c r="BD76" s="971"/>
      <c r="BE76" s="971"/>
      <c r="BF76" s="939"/>
    </row>
    <row r="77" spans="2:58" s="953" customFormat="1" ht="9.75" customHeight="1" x14ac:dyDescent="0.3">
      <c r="B77" s="939"/>
      <c r="C77" s="939"/>
      <c r="D77" s="939"/>
      <c r="E77" s="939"/>
      <c r="F77" s="939"/>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c r="AL77" s="939"/>
      <c r="AM77" s="939"/>
      <c r="AN77" s="939"/>
      <c r="AO77" s="939"/>
      <c r="AP77" s="939"/>
      <c r="AQ77" s="939"/>
      <c r="AR77" s="939"/>
      <c r="AS77" s="939"/>
      <c r="AT77" s="970"/>
      <c r="AU77" s="970"/>
      <c r="AV77" s="971"/>
      <c r="AW77" s="971"/>
      <c r="AX77" s="971"/>
      <c r="AY77" s="971"/>
      <c r="AZ77" s="971"/>
      <c r="BA77" s="971"/>
      <c r="BB77" s="971"/>
      <c r="BC77" s="971"/>
      <c r="BD77" s="971"/>
      <c r="BE77" s="971"/>
      <c r="BF77" s="939"/>
    </row>
    <row r="78" spans="2:58" s="953" customFormat="1" ht="18.75" customHeight="1" x14ac:dyDescent="0.3">
      <c r="B78" s="939"/>
      <c r="C78" s="939"/>
      <c r="D78" s="939"/>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939"/>
      <c r="AM78" s="939"/>
      <c r="AN78" s="939"/>
      <c r="AO78" s="939"/>
      <c r="AP78" s="939"/>
      <c r="AQ78" s="939"/>
      <c r="AR78" s="939"/>
      <c r="AS78" s="939"/>
      <c r="AT78" s="970"/>
      <c r="AU78" s="970"/>
      <c r="AV78" s="971"/>
      <c r="AW78" s="971"/>
      <c r="AX78" s="971"/>
      <c r="AY78" s="971"/>
      <c r="AZ78" s="971"/>
      <c r="BA78" s="971"/>
      <c r="BB78" s="971"/>
      <c r="BC78" s="971"/>
      <c r="BD78" s="971"/>
      <c r="BE78" s="971"/>
      <c r="BF78" s="939"/>
    </row>
    <row r="79" spans="2:58" s="953" customFormat="1" ht="21.75" customHeight="1" x14ac:dyDescent="0.3">
      <c r="B79" s="939"/>
      <c r="C79" s="968"/>
      <c r="D79" s="968"/>
      <c r="E79" s="968"/>
      <c r="F79" s="968"/>
      <c r="G79" s="968"/>
      <c r="H79" s="968"/>
      <c r="I79" s="968"/>
      <c r="J79" s="968"/>
      <c r="K79" s="968"/>
      <c r="L79" s="968"/>
      <c r="M79" s="968"/>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c r="AU79" s="939"/>
      <c r="AV79" s="939"/>
      <c r="AW79" s="939"/>
      <c r="AX79" s="939"/>
      <c r="AY79" s="939"/>
      <c r="AZ79" s="939"/>
      <c r="BA79" s="939"/>
      <c r="BB79" s="939"/>
      <c r="BC79" s="939"/>
      <c r="BD79" s="939"/>
      <c r="BE79" s="939"/>
      <c r="BF79" s="939"/>
    </row>
    <row r="80" spans="2:58" ht="8.25" customHeight="1" x14ac:dyDescent="0.25">
      <c r="B80" s="952"/>
      <c r="C80" s="952"/>
      <c r="D80" s="952"/>
      <c r="E80" s="974"/>
      <c r="F80" s="974"/>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39"/>
      <c r="AP80" s="939"/>
      <c r="AQ80" s="939"/>
      <c r="AR80" s="939"/>
      <c r="AS80" s="939"/>
      <c r="AT80" s="939"/>
      <c r="AU80" s="939"/>
      <c r="AV80" s="939"/>
      <c r="AW80" s="939"/>
      <c r="AX80" s="939"/>
      <c r="AY80" s="939"/>
      <c r="AZ80" s="939"/>
      <c r="BA80" s="939"/>
      <c r="BB80" s="939"/>
      <c r="BC80" s="939"/>
      <c r="BD80" s="939"/>
      <c r="BE80" s="939"/>
      <c r="BF80" s="939"/>
    </row>
    <row r="81" spans="2:58" ht="18.75" customHeight="1" x14ac:dyDescent="0.25">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c r="AU81" s="977"/>
      <c r="AV81" s="977"/>
      <c r="AW81" s="977"/>
      <c r="AX81" s="977"/>
      <c r="AY81" s="977"/>
      <c r="AZ81" s="977"/>
      <c r="BA81" s="977"/>
      <c r="BB81" s="977"/>
      <c r="BC81" s="977"/>
      <c r="BD81" s="977"/>
      <c r="BE81" s="977"/>
      <c r="BF81" s="977"/>
    </row>
    <row r="82" spans="2:58" x14ac:dyDescent="0.25">
      <c r="B82" s="945"/>
      <c r="C82" s="945"/>
      <c r="D82" s="945"/>
      <c r="E82" s="945"/>
      <c r="F82" s="945"/>
      <c r="G82" s="945"/>
      <c r="H82" s="945"/>
      <c r="I82" s="945"/>
      <c r="J82" s="945"/>
      <c r="K82" s="945"/>
      <c r="L82" s="945"/>
      <c r="M82" s="945"/>
      <c r="N82" s="945"/>
      <c r="O82" s="945"/>
      <c r="P82" s="945"/>
      <c r="Q82" s="945"/>
      <c r="R82" s="945"/>
      <c r="S82" s="945"/>
      <c r="T82" s="945"/>
      <c r="U82" s="945"/>
      <c r="V82" s="945"/>
      <c r="W82" s="945"/>
      <c r="X82" s="945"/>
      <c r="Y82" s="945"/>
      <c r="Z82" s="945"/>
      <c r="AA82" s="945"/>
      <c r="AB82" s="945"/>
      <c r="AC82" s="945"/>
      <c r="AD82" s="945"/>
      <c r="AE82" s="945"/>
      <c r="AF82" s="945"/>
      <c r="AG82" s="945"/>
      <c r="AH82" s="945"/>
      <c r="AI82" s="945"/>
      <c r="AJ82" s="945"/>
      <c r="AK82" s="945"/>
      <c r="AL82" s="945"/>
      <c r="AM82" s="945"/>
      <c r="AN82" s="945"/>
      <c r="AO82" s="945"/>
      <c r="AP82" s="945"/>
      <c r="AQ82" s="945"/>
      <c r="AR82" s="945"/>
      <c r="AS82" s="945"/>
      <c r="AT82" s="945"/>
      <c r="AU82" s="945"/>
      <c r="AV82" s="945"/>
      <c r="AW82" s="945"/>
      <c r="AX82" s="945"/>
      <c r="AY82" s="945"/>
      <c r="AZ82" s="945"/>
      <c r="BA82" s="945"/>
      <c r="BB82" s="945"/>
      <c r="BC82" s="945"/>
      <c r="BD82" s="945"/>
      <c r="BE82" s="945"/>
      <c r="BF82" s="945"/>
    </row>
    <row r="83" spans="2:58" x14ac:dyDescent="0.25">
      <c r="B83" s="945"/>
      <c r="C83" s="945"/>
      <c r="D83" s="945"/>
      <c r="E83" s="945"/>
      <c r="F83" s="945"/>
      <c r="G83" s="945"/>
      <c r="H83" s="945"/>
      <c r="I83" s="945"/>
      <c r="J83" s="945"/>
      <c r="K83" s="945"/>
      <c r="L83" s="945"/>
      <c r="M83" s="945"/>
      <c r="N83" s="945"/>
      <c r="O83" s="945"/>
      <c r="P83" s="945"/>
      <c r="Q83" s="945"/>
      <c r="R83" s="945"/>
      <c r="S83" s="945"/>
      <c r="T83" s="945"/>
      <c r="U83" s="945"/>
      <c r="V83" s="945"/>
      <c r="W83" s="945"/>
      <c r="X83" s="945"/>
      <c r="Y83" s="945"/>
      <c r="Z83" s="945"/>
      <c r="AA83" s="945"/>
      <c r="AB83" s="945"/>
      <c r="AC83" s="945"/>
      <c r="AD83" s="945"/>
      <c r="AE83" s="945"/>
      <c r="AF83" s="945"/>
      <c r="AG83" s="945"/>
      <c r="AH83" s="945"/>
      <c r="AI83" s="945"/>
      <c r="AJ83" s="945"/>
      <c r="AK83" s="945"/>
      <c r="AL83" s="945"/>
      <c r="AM83" s="945"/>
      <c r="AN83" s="945"/>
      <c r="AO83" s="945"/>
      <c r="AP83" s="945"/>
      <c r="AQ83" s="945"/>
      <c r="AR83" s="945"/>
      <c r="AS83" s="945"/>
      <c r="AT83" s="945"/>
      <c r="AU83" s="945"/>
      <c r="AV83" s="945"/>
      <c r="AW83" s="945"/>
      <c r="AX83" s="945"/>
      <c r="AY83" s="945"/>
      <c r="AZ83" s="945"/>
      <c r="BA83" s="945"/>
      <c r="BB83" s="945"/>
      <c r="BC83" s="945"/>
      <c r="BD83" s="945"/>
      <c r="BE83" s="945"/>
      <c r="BF83" s="945"/>
    </row>
    <row r="84" spans="2:58" x14ac:dyDescent="0.25">
      <c r="B84" s="945"/>
      <c r="C84" s="945"/>
      <c r="D84" s="945"/>
      <c r="E84" s="945"/>
      <c r="F84" s="945"/>
      <c r="G84" s="945"/>
      <c r="H84" s="945"/>
      <c r="I84" s="945"/>
      <c r="J84" s="945"/>
      <c r="K84" s="945"/>
      <c r="L84" s="945"/>
      <c r="M84" s="945"/>
      <c r="N84" s="945"/>
      <c r="O84" s="945"/>
      <c r="P84" s="945"/>
      <c r="Q84" s="945"/>
      <c r="R84" s="945"/>
      <c r="S84" s="945"/>
      <c r="T84" s="945"/>
      <c r="U84" s="945"/>
      <c r="V84" s="945"/>
      <c r="W84" s="945"/>
      <c r="X84" s="945"/>
      <c r="Y84" s="945"/>
      <c r="Z84" s="945"/>
      <c r="AA84" s="945"/>
      <c r="AB84" s="945"/>
      <c r="AC84" s="945"/>
      <c r="AD84" s="945"/>
      <c r="AE84" s="945"/>
      <c r="AF84" s="945"/>
      <c r="AG84" s="945"/>
      <c r="AH84" s="945"/>
      <c r="AI84" s="945"/>
      <c r="AJ84" s="945"/>
      <c r="AK84" s="945"/>
      <c r="AL84" s="945"/>
      <c r="AM84" s="945"/>
      <c r="AN84" s="945"/>
      <c r="AO84" s="945"/>
      <c r="AP84" s="945"/>
      <c r="AQ84" s="945"/>
      <c r="AR84" s="945"/>
      <c r="AS84" s="945"/>
      <c r="AT84" s="945"/>
      <c r="AU84" s="945"/>
      <c r="AV84" s="945"/>
      <c r="AW84" s="945"/>
      <c r="AX84" s="945"/>
      <c r="AY84" s="945"/>
      <c r="AZ84" s="945"/>
      <c r="BA84" s="945"/>
      <c r="BB84" s="945"/>
      <c r="BC84" s="945"/>
      <c r="BD84" s="945"/>
      <c r="BE84" s="945"/>
      <c r="BF84" s="945"/>
    </row>
    <row r="85" spans="2:58" x14ac:dyDescent="0.25">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45"/>
      <c r="AR85" s="945"/>
      <c r="AS85" s="945"/>
      <c r="AT85" s="945"/>
      <c r="AU85" s="945"/>
      <c r="AV85" s="945"/>
      <c r="AW85" s="945"/>
      <c r="AX85" s="945"/>
      <c r="AY85" s="945"/>
      <c r="AZ85" s="945"/>
      <c r="BA85" s="945"/>
      <c r="BB85" s="945"/>
      <c r="BC85" s="945"/>
      <c r="BD85" s="945"/>
      <c r="BE85" s="945"/>
      <c r="BF85" s="945"/>
    </row>
    <row r="86" spans="2:58" x14ac:dyDescent="0.25">
      <c r="B86" s="945"/>
      <c r="C86" s="945"/>
      <c r="D86" s="945"/>
      <c r="E86" s="945"/>
      <c r="F86" s="945"/>
      <c r="G86" s="945"/>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c r="AL86" s="945"/>
      <c r="AM86" s="945"/>
      <c r="AN86" s="945"/>
      <c r="AO86" s="945"/>
      <c r="AP86" s="945"/>
      <c r="AQ86" s="945"/>
      <c r="AR86" s="945"/>
      <c r="AS86" s="945"/>
      <c r="AT86" s="945"/>
      <c r="AU86" s="945"/>
      <c r="AV86" s="945"/>
      <c r="AW86" s="945"/>
      <c r="AX86" s="945"/>
      <c r="AY86" s="945"/>
      <c r="AZ86" s="945"/>
      <c r="BA86" s="945"/>
      <c r="BB86" s="945"/>
      <c r="BC86" s="945"/>
      <c r="BD86" s="945"/>
      <c r="BE86" s="945"/>
      <c r="BF86" s="945"/>
    </row>
  </sheetData>
  <sheetProtection algorithmName="SHA-512" hashValue="s8t4ESbpkwZwFl2qiGih217QjLRErbaeUb4HWFc6cO49hdpQ+oxuHeA8NecP6VH9Nz8b6pSeP7WWLsJTBlvwUA==" saltValue="ZMD5OqVCYW7wWO7hascmew==" spinCount="100000" sheet="1" objects="1" scenarios="1" selectLockedCells="1"/>
  <mergeCells count="3">
    <mergeCell ref="B1:P1"/>
    <mergeCell ref="B2:P2"/>
    <mergeCell ref="B3:P3"/>
  </mergeCells>
  <conditionalFormatting sqref="J38:AN38 I40:AK40 AP40:BF40 I41:Z41 AX41:BF41 Y46:AW46 AY46:BA46 AV50:BE52 J64:AN64 I66:AK66 I67:Z67 AH67:AO67 AP66:BF66 AX67:BF67 AY72:BA72 Y72:AW72 AV76:BE78">
    <cfRule type="cellIs" dxfId="33" priority="2" operator="equal">
      <formula>0</formula>
    </cfRule>
  </conditionalFormatting>
  <conditionalFormatting sqref="AS38:BF38 AS64:BF64">
    <cfRule type="cellIs" dxfId="32" priority="3" operator="equal">
      <formula>0</formula>
    </cfRule>
  </conditionalFormatting>
  <conditionalFormatting sqref="AH41:AO41">
    <cfRule type="cellIs" dxfId="31" priority="4" operator="equal">
      <formula>0</formula>
    </cfRule>
  </conditionalFormatting>
  <conditionalFormatting sqref="N70:W74 N44:W48">
    <cfRule type="cellIs" dxfId="30" priority="5" operator="equal">
      <formula>0</formula>
    </cfRule>
  </conditionalFormatting>
  <conditionalFormatting sqref="K44:L44 K46:L46 K48:L48">
    <cfRule type="cellIs" dxfId="29" priority="6" operator="equal">
      <formula>0</formula>
    </cfRule>
  </conditionalFormatting>
  <conditionalFormatting sqref="K70:L70 K72:L72 K74:L74">
    <cfRule type="cellIs" dxfId="28" priority="7" operator="equal">
      <formula>0</formula>
    </cfRule>
  </conditionalFormatting>
  <printOptions horizontalCentered="1"/>
  <pageMargins left="0.3" right="0.27013888888888898" top="0.30972222222222201" bottom="0.30972222222222201" header="0.511811023622047" footer="0.511811023622047"/>
  <pageSetup scale="65"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B1:Y58"/>
  <sheetViews>
    <sheetView showGridLines="0" showRowColHeaders="0" showZeros="0" zoomScale="70" zoomScaleNormal="70" zoomScalePageLayoutView="55" workbookViewId="0">
      <selection activeCell="P36" sqref="P36"/>
    </sheetView>
  </sheetViews>
  <sheetFormatPr defaultColWidth="8.7109375" defaultRowHeight="12.75" x14ac:dyDescent="0.2"/>
  <cols>
    <col min="2" max="2" width="86.28515625" customWidth="1"/>
    <col min="7" max="7" width="9.140625" customWidth="1"/>
    <col min="9" max="9" width="9.140625" customWidth="1"/>
  </cols>
  <sheetData>
    <row r="1" spans="2:25" x14ac:dyDescent="0.2">
      <c r="E1" s="1005">
        <f>'Data Set up'!K10</f>
        <v>1</v>
      </c>
    </row>
    <row r="4" spans="2:25" ht="72" customHeight="1" x14ac:dyDescent="0.4">
      <c r="B4" s="1666" t="str">
        <f>IF(E1=2,"Ligue des cadets de l'air du Canada
Comité provincial"&amp;" "&amp;"("&amp;'Data Set up'!C20&amp;")","Air Cadet League of Canada
Provincial Committee"&amp;" "&amp;"("&amp;'Data Set up'!C20&amp;")")</f>
        <v>Air Cadet League of Canada
Provincial Committee (British Columbia)</v>
      </c>
      <c r="C4" s="1666"/>
      <c r="D4" s="1666"/>
      <c r="E4" s="1666"/>
      <c r="F4" s="1666"/>
      <c r="G4" s="1666"/>
      <c r="H4" s="1666"/>
      <c r="I4" s="1666"/>
      <c r="J4" s="1666"/>
      <c r="K4" s="1666"/>
      <c r="L4" s="1666"/>
      <c r="M4" s="1666"/>
      <c r="N4" s="1666"/>
      <c r="O4" s="1666"/>
      <c r="P4" s="1666"/>
      <c r="Q4" s="1666"/>
      <c r="R4" s="1666"/>
      <c r="S4" s="1666"/>
      <c r="T4" s="1666"/>
      <c r="U4" s="1666"/>
      <c r="V4" s="1666"/>
      <c r="W4" s="1666"/>
      <c r="X4" s="1666"/>
      <c r="Y4" s="1666"/>
    </row>
    <row r="6" spans="2:25" ht="26.25" x14ac:dyDescent="0.4">
      <c r="B6" s="1667" t="str">
        <f>IF(E1=2,"Comité répondant d'escadron","Squadron Sponsoring Committee")</f>
        <v>Squadron Sponsoring Committee</v>
      </c>
      <c r="C6" s="1667"/>
      <c r="D6" s="1667"/>
      <c r="E6" s="1667"/>
      <c r="F6" s="1667"/>
      <c r="G6" s="1667"/>
      <c r="H6" s="1667"/>
      <c r="I6" s="1667"/>
      <c r="J6" s="1667"/>
      <c r="K6" s="1667"/>
      <c r="L6" s="1667"/>
      <c r="M6" s="1667"/>
      <c r="N6" s="1667"/>
      <c r="O6" s="1667"/>
      <c r="P6" s="1667"/>
      <c r="Q6" s="1667"/>
      <c r="R6" s="1667"/>
      <c r="S6" s="1667"/>
      <c r="T6" s="1667"/>
      <c r="U6" s="1667"/>
      <c r="V6" s="1667"/>
      <c r="W6" s="1667"/>
      <c r="X6" s="1667"/>
      <c r="Y6" s="1667"/>
    </row>
    <row r="9" spans="2:25" ht="35.25" x14ac:dyDescent="0.2">
      <c r="B9" s="1668">
        <f>'Data Set up'!B2</f>
        <v>0</v>
      </c>
      <c r="C9" s="1668"/>
      <c r="D9" s="1668"/>
      <c r="E9" s="1668"/>
      <c r="F9" s="1668"/>
      <c r="G9" s="1668"/>
      <c r="H9" s="1668"/>
      <c r="I9" s="1668"/>
      <c r="J9" s="1668"/>
      <c r="K9" s="1668"/>
      <c r="L9" s="1668"/>
      <c r="M9" s="1668"/>
      <c r="N9" s="1668"/>
      <c r="O9" s="1668"/>
      <c r="P9" s="1668"/>
      <c r="Q9" s="1668"/>
      <c r="R9" s="1668"/>
      <c r="S9" s="1668"/>
      <c r="T9" s="1668"/>
      <c r="U9" s="1668"/>
      <c r="V9" s="1668"/>
      <c r="W9" s="1668"/>
      <c r="X9" s="1668"/>
      <c r="Y9" s="1668"/>
    </row>
    <row r="57" spans="2:25" ht="45" x14ac:dyDescent="0.2">
      <c r="B57" s="1669" t="str">
        <f>IF(E1=2,"Rapport financier annuel","Annual Financial Report")</f>
        <v>Annual Financial Report</v>
      </c>
      <c r="C57" s="1669"/>
      <c r="D57" s="1669"/>
      <c r="E57" s="1669"/>
      <c r="F57" s="1669"/>
      <c r="G57" s="1669"/>
      <c r="H57" s="1669"/>
      <c r="I57" s="1669"/>
      <c r="J57" s="1669"/>
      <c r="K57" s="1669"/>
      <c r="L57" s="1669"/>
      <c r="M57" s="1669"/>
      <c r="N57" s="1669"/>
      <c r="O57" s="1669"/>
      <c r="P57" s="1669"/>
      <c r="Q57" s="1669"/>
      <c r="R57" s="1669"/>
      <c r="S57" s="1669"/>
      <c r="T57" s="1669"/>
      <c r="U57" s="1669"/>
      <c r="V57" s="1669"/>
      <c r="W57" s="1669"/>
      <c r="X57" s="1669"/>
      <c r="Y57" s="1669"/>
    </row>
    <row r="58" spans="2:25" ht="27.75" x14ac:dyDescent="0.4">
      <c r="B58" s="1670" t="str">
        <f>IF(E1=2,"pour l'exercice financier terminé le "&amp;'Data Set up'!K12,"For  Fiscal Year Ending on "&amp;'Data Set up'!K12)</f>
        <v>For  Fiscal Year Ending on 31 August 2024</v>
      </c>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row>
  </sheetData>
  <sheetProtection algorithmName="SHA-512" hashValue="Th6tvAN0vy+DucdxY2J/coBvn8/4DLD1RlxhQXFiDzOJf1LtL+dgyQMxdecAux8bmUC7TAhgYb/FreH9l5ptXQ==" saltValue="4S4AL1czICF+tz9xkIfjIg==" spinCount="100000" sheet="1" objects="1" scenarios="1" selectLockedCells="1" selectUnlockedCells="1"/>
  <mergeCells count="5">
    <mergeCell ref="B4:Y4"/>
    <mergeCell ref="B6:Y6"/>
    <mergeCell ref="B9:Y9"/>
    <mergeCell ref="B57:Y57"/>
    <mergeCell ref="B58:Y58"/>
  </mergeCells>
  <printOptions horizontalCentered="1"/>
  <pageMargins left="0.17013888888888901" right="0.17013888888888901" top="0.74791666666666701" bottom="0.74791666666666701" header="0.511811023622047" footer="0.511811023622047"/>
  <pageSetup scale="77"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MJ51"/>
  <sheetViews>
    <sheetView showGridLines="0" showRowColHeaders="0" showZeros="0" zoomScaleNormal="100" zoomScalePageLayoutView="40" workbookViewId="0">
      <selection activeCell="X33" sqref="X33"/>
    </sheetView>
  </sheetViews>
  <sheetFormatPr defaultColWidth="11.42578125" defaultRowHeight="12.75" x14ac:dyDescent="0.2"/>
  <cols>
    <col min="1" max="1" width="9.5703125" style="1" customWidth="1"/>
    <col min="2" max="2" width="5.85546875" style="1" customWidth="1"/>
    <col min="3" max="3" width="14.42578125" style="1" customWidth="1"/>
    <col min="4" max="4" width="16.140625" style="1" customWidth="1"/>
    <col min="5" max="5" width="16" style="1" customWidth="1"/>
    <col min="6" max="6" width="9.140625" style="1" customWidth="1"/>
    <col min="7" max="7" width="20.140625" style="1" customWidth="1"/>
    <col min="8" max="8" width="17.85546875" style="1" customWidth="1"/>
    <col min="9" max="9" width="11" style="1" customWidth="1"/>
    <col min="10" max="10" width="29.28515625" style="1" customWidth="1"/>
    <col min="11" max="11" width="1" style="1" customWidth="1"/>
    <col min="12" max="12" width="23.5703125" style="1" hidden="1" customWidth="1"/>
    <col min="13" max="13" width="1.42578125" style="1" hidden="1" customWidth="1"/>
    <col min="14" max="14" width="11.42578125" style="1" hidden="1"/>
    <col min="15" max="20" width="9.140625" style="1" hidden="1" customWidth="1"/>
    <col min="21" max="21" width="11.42578125" style="1" hidden="1"/>
    <col min="22" max="22" width="14.28515625" style="1" hidden="1" customWidth="1"/>
    <col min="23" max="23" width="8.85546875" style="1" customWidth="1"/>
    <col min="24" max="28" width="9.140625" style="1" customWidth="1"/>
    <col min="29" max="29" width="8.42578125" style="1" customWidth="1"/>
    <col min="30" max="30" width="9.140625" style="1" customWidth="1"/>
    <col min="31" max="31" width="8.28515625" style="1" customWidth="1"/>
    <col min="32" max="256" width="9.140625" style="1" customWidth="1"/>
    <col min="257" max="1024" width="11.42578125" style="1"/>
  </cols>
  <sheetData>
    <row r="1" spans="2:20" ht="54" customHeight="1" x14ac:dyDescent="0.2">
      <c r="B1" s="1671" t="str">
        <f>IF(N1=2,"Ligue des cadets de l'air du Canada
Rapport financier du Comité répondant d'escadron","Air Cadet League of Canada
Squadron Sponsoring Committee
Financial Report")</f>
        <v>Air Cadet League of Canada
Squadron Sponsoring Committee
Financial Report</v>
      </c>
      <c r="C1" s="1671"/>
      <c r="D1" s="1671"/>
      <c r="E1" s="1671"/>
      <c r="F1" s="1671"/>
      <c r="G1" s="1671"/>
      <c r="H1" s="1671"/>
      <c r="I1" s="1671"/>
      <c r="J1" s="1671"/>
      <c r="N1" s="147">
        <f>'Data Set up'!K10</f>
        <v>1</v>
      </c>
    </row>
    <row r="2" spans="2:20" ht="24.75" customHeight="1" x14ac:dyDescent="0.2">
      <c r="B2" s="1672">
        <f>'Data Set up'!B2</f>
        <v>0</v>
      </c>
      <c r="C2" s="1672"/>
      <c r="D2" s="1672"/>
      <c r="E2" s="1672"/>
      <c r="F2" s="1672"/>
      <c r="G2" s="1672"/>
      <c r="H2" s="1672"/>
      <c r="I2" s="1672"/>
      <c r="J2" s="1672"/>
      <c r="N2" s="152"/>
    </row>
    <row r="3" spans="2:20" ht="31.5" customHeight="1" x14ac:dyDescent="0.2">
      <c r="B3" s="1673" t="str">
        <f>IF(N1=2,"Rapport Financier Consolidé 'Comptes multiples' du
Comité Répondant (Formulaire ACC9MA)","Squadron Sponsoring Committee
Financial Report (Form ACC9MA)")</f>
        <v>Squadron Sponsoring Committee
Financial Report (Form ACC9MA)</v>
      </c>
      <c r="C3" s="1673"/>
      <c r="D3" s="1673"/>
      <c r="E3" s="1673"/>
      <c r="F3" s="1006"/>
      <c r="G3" s="1006"/>
      <c r="H3" s="1006"/>
      <c r="I3" s="1006"/>
      <c r="J3" s="1006"/>
    </row>
    <row r="4" spans="2:20" s="579" customFormat="1" ht="21.75" customHeight="1" x14ac:dyDescent="0.2">
      <c r="B4" s="1674" t="str">
        <f>IF(N1=2,"LA LIGUE DES CADETS DE L'AIR DU CANADA   --  RèGLEMENTS 2006, Article 1.3.9.2.4.v du MPP","AIR CADET LEAGUE OF CANADA   --  2006 BY- LAW Article 9.2.4.v. in the PPM")</f>
        <v>AIR CADET LEAGUE OF CANADA   --  2006 BY- LAW Article 9.2.4.v. in the PPM</v>
      </c>
      <c r="C4" s="1674"/>
      <c r="D4" s="1674"/>
      <c r="E4" s="1674"/>
      <c r="F4" s="1674"/>
      <c r="G4" s="1674"/>
      <c r="H4" s="1674"/>
      <c r="I4" s="1674"/>
      <c r="J4" s="1674"/>
      <c r="T4" s="145" t="s">
        <v>380</v>
      </c>
    </row>
    <row r="5" spans="2:20" ht="81" customHeight="1" x14ac:dyDescent="0.2">
      <c r="B5" s="1675" t="str">
        <f>IF(N1=2,T4,T5)</f>
        <v>As specified in the PPM Article 3.7.3 revised in January 2015, each Squadron Sponsoring  Committee must render an annual statement of receipts and expenditures on Form ACC9 to its ACL Provincial Committee within sixty (60) days of the end of the fiscal year, or by the date below.  The PC will then review before sending a signed off copy to the National level.</v>
      </c>
      <c r="C5" s="1675"/>
      <c r="D5" s="1675"/>
      <c r="E5" s="1675"/>
      <c r="F5" s="1675"/>
      <c r="G5" s="1675"/>
      <c r="H5" s="1675"/>
      <c r="I5" s="1675"/>
      <c r="J5" s="1675"/>
      <c r="T5" s="145" t="s">
        <v>381</v>
      </c>
    </row>
    <row r="6" spans="2:20" ht="23.25" customHeight="1" x14ac:dyDescent="0.2">
      <c r="B6" s="1674" t="str">
        <f>IF(N1=2,"CHAQUE PAGE DE CE FORMULAIRE DOIT ÊTRE COMPLÉTÉE ET REMISE ANNUELLEMENT.","THE FULL AND COMPLETE YEARLY SUBMISSION OF THIS FORM IS MANDATORY.")</f>
        <v>THE FULL AND COMPLETE YEARLY SUBMISSION OF THIS FORM IS MANDATORY.</v>
      </c>
      <c r="C6" s="1674"/>
      <c r="D6" s="1674"/>
      <c r="E6" s="1674"/>
      <c r="F6" s="1674"/>
      <c r="G6" s="1674"/>
      <c r="H6" s="1674"/>
      <c r="I6" s="1674"/>
      <c r="J6" s="1674"/>
      <c r="O6" s="1007"/>
      <c r="Q6" s="1008"/>
      <c r="T6" s="1" t="str">
        <f>"It must be completed with a Year-End of "&amp;'Data Set up'!F40&amp;" "&amp;'Data Set up'!G40&amp;" and submitted "</f>
        <v xml:space="preserve">It must be completed with a Year-End of 31 August and submitted </v>
      </c>
    </row>
    <row r="7" spans="2:20" x14ac:dyDescent="0.2">
      <c r="B7" s="1676" t="str">
        <f>IF(N1=2,T7, T6)</f>
        <v xml:space="preserve">It must be completed with a Year-End of 31 August and submitted </v>
      </c>
      <c r="C7" s="1676"/>
      <c r="D7" s="1676"/>
      <c r="E7" s="1676"/>
      <c r="F7" s="1676"/>
      <c r="G7" s="1676"/>
      <c r="H7" s="1676"/>
      <c r="I7" s="1676"/>
      <c r="J7" s="1676"/>
      <c r="O7" s="347"/>
      <c r="R7" s="1008"/>
      <c r="T7" s="1" t="str">
        <f>"Le rapport doit être complété avec une fin d'année au "&amp;'Data Set up'!F40&amp;" "&amp;'Data Set up'!G40&amp;" et remis "</f>
        <v xml:space="preserve">Le rapport doit être complété avec une fin d'année au 31 August et remis </v>
      </c>
    </row>
    <row r="8" spans="2:20" x14ac:dyDescent="0.2">
      <c r="B8" s="1677" t="str">
        <f>T10</f>
        <v>to the Provincial Committee by 30 November.</v>
      </c>
      <c r="C8" s="1677"/>
      <c r="D8" s="1677"/>
      <c r="E8" s="1677"/>
      <c r="F8" s="1677"/>
      <c r="G8" s="1677"/>
      <c r="H8" s="1677"/>
      <c r="I8" s="1677"/>
      <c r="J8" s="1677"/>
      <c r="O8" s="347"/>
      <c r="R8" s="355"/>
    </row>
    <row r="9" spans="2:20" ht="4.5" customHeight="1" x14ac:dyDescent="0.2">
      <c r="B9" s="611"/>
      <c r="C9" s="611"/>
      <c r="D9" s="611"/>
      <c r="E9" s="611"/>
      <c r="F9" s="611"/>
      <c r="G9" s="611"/>
      <c r="H9" s="611"/>
      <c r="I9" s="611"/>
      <c r="J9" s="611"/>
      <c r="O9" s="347"/>
      <c r="R9" s="355"/>
    </row>
    <row r="10" spans="2:20" ht="37.5" customHeight="1" x14ac:dyDescent="0.2">
      <c r="B10" s="1678" t="str">
        <f>IF(N1=2," IDENTIFICATION DU COMITÉ RÉPONDANT (CR)","SQUADRON SPONSORING COMMITTEE Identification")</f>
        <v>SQUADRON SPONSORING COMMITTEE Identification</v>
      </c>
      <c r="C10" s="1678"/>
      <c r="D10" s="1678"/>
      <c r="E10" s="1678"/>
      <c r="F10" s="1678"/>
      <c r="G10" s="1678"/>
      <c r="H10" s="1678"/>
      <c r="I10" s="1678"/>
      <c r="J10" s="1678"/>
      <c r="O10" s="347"/>
      <c r="R10" s="1008" t="s">
        <v>382</v>
      </c>
      <c r="T10" s="1009" t="str">
        <f>IF(N1=2,IF('Data Set up'!F40=30,"au comité provincial de la ligue avant le 30 Septembre.","au comité provincial de la ligue avant le 30 novembre."),IF('Data Set up'!F40=30,"to the Provincial Committee by 30 September","to the Provincial Committee by 30 November."))</f>
        <v>to the Provincial Committee by 30 November.</v>
      </c>
    </row>
    <row r="11" spans="2:20" ht="25.5" customHeight="1" x14ac:dyDescent="0.2">
      <c r="B11" s="1679" t="str">
        <f>IF(N1=2,"No. d'escadron:","Sqn Number")</f>
        <v>Sqn Number</v>
      </c>
      <c r="C11" s="1679"/>
      <c r="D11" s="1010">
        <f>'Data Set up'!F10</f>
        <v>0</v>
      </c>
      <c r="E11" s="1011" t="str">
        <f>IF(N1=2,"Nom du Comité:","Committee Name:")</f>
        <v>Committee Name:</v>
      </c>
      <c r="F11" s="1680">
        <f>'Data Set up'!C10</f>
        <v>0</v>
      </c>
      <c r="G11" s="1680"/>
      <c r="H11" s="1680"/>
      <c r="I11" s="1680"/>
      <c r="J11" s="1680"/>
      <c r="O11" s="347"/>
      <c r="R11" s="355" t="s">
        <v>383</v>
      </c>
    </row>
    <row r="12" spans="2:20" ht="25.5" customHeight="1" x14ac:dyDescent="0.2">
      <c r="B12" s="1681" t="str">
        <f>IF(N1=2,"Comité Provincial (juridiction):","Provincial Committee Jurisdiction:")</f>
        <v>Provincial Committee Jurisdiction:</v>
      </c>
      <c r="C12" s="1681"/>
      <c r="D12" s="1681"/>
      <c r="E12" s="1682" t="str">
        <f>'Data Set up'!C20</f>
        <v>British Columbia</v>
      </c>
      <c r="F12" s="1682"/>
      <c r="G12" s="1682"/>
      <c r="H12" s="1683" t="str">
        <f>'Cover Page'!B58</f>
        <v>For  Fiscal Year Ending on 31 August 2024</v>
      </c>
      <c r="I12" s="1683"/>
      <c r="J12" s="1683"/>
      <c r="O12" s="347"/>
      <c r="R12" s="355">
        <v>2006</v>
      </c>
    </row>
    <row r="13" spans="2:20" ht="23.1" customHeight="1" x14ac:dyDescent="0.2">
      <c r="B13" s="1684" t="str">
        <f>IF(N1=2,"Addresse postale - CR:","SSC Mailing Address:")</f>
        <v>SSC Mailing Address:</v>
      </c>
      <c r="C13" s="1684"/>
      <c r="D13" s="1685">
        <f>'Data Set up'!C11</f>
        <v>0</v>
      </c>
      <c r="E13" s="1685"/>
      <c r="F13" s="1685"/>
      <c r="G13" s="1685"/>
      <c r="H13" s="579"/>
      <c r="I13" s="579"/>
      <c r="J13" s="579"/>
      <c r="O13" s="347"/>
      <c r="R13" s="355">
        <v>2007</v>
      </c>
    </row>
    <row r="14" spans="2:20" ht="23.1" customHeight="1" x14ac:dyDescent="0.2">
      <c r="D14" s="1685">
        <f>'Data Set up'!C12</f>
        <v>0</v>
      </c>
      <c r="E14" s="1685"/>
      <c r="F14" s="1685"/>
      <c r="G14" s="1685"/>
      <c r="H14" s="579"/>
      <c r="I14" s="579"/>
      <c r="J14" s="579"/>
      <c r="O14" s="347"/>
      <c r="R14" s="355">
        <v>2008</v>
      </c>
    </row>
    <row r="15" spans="2:20" ht="23.1" customHeight="1" x14ac:dyDescent="0.2">
      <c r="D15" s="1685">
        <f>'Data Set up'!C13</f>
        <v>0</v>
      </c>
      <c r="E15" s="1685"/>
      <c r="F15" s="1685"/>
      <c r="G15" s="1685"/>
      <c r="H15" s="579"/>
      <c r="I15" s="579"/>
      <c r="J15" s="579"/>
      <c r="O15" s="347"/>
      <c r="R15" s="355">
        <v>2009</v>
      </c>
    </row>
    <row r="16" spans="2:20" ht="23.1" customHeight="1" x14ac:dyDescent="0.2">
      <c r="D16" s="1685">
        <f>'Data Set up'!C14</f>
        <v>0</v>
      </c>
      <c r="E16" s="1685"/>
      <c r="F16" s="1685"/>
      <c r="G16" s="1685"/>
      <c r="H16" s="579"/>
      <c r="I16" s="579"/>
      <c r="J16" s="579"/>
      <c r="O16" s="347"/>
      <c r="R16" s="355">
        <v>2010</v>
      </c>
    </row>
    <row r="17" spans="1:22" ht="25.5" customHeight="1" x14ac:dyDescent="0.2">
      <c r="B17" s="1686" t="str">
        <f>IF(N1=2,"Informations - personne ayant complétée ce rapport (normalement le trésorier):","Person completing this form (normally the treasurer):")</f>
        <v>Person completing this form (normally the treasurer):</v>
      </c>
      <c r="C17" s="1686"/>
      <c r="D17" s="1686"/>
      <c r="E17" s="1686"/>
      <c r="F17" s="1686"/>
      <c r="G17" s="1686"/>
      <c r="H17" s="1686"/>
      <c r="I17" s="1686"/>
      <c r="J17" s="1686"/>
      <c r="M17" s="1012"/>
      <c r="O17" s="347"/>
      <c r="R17" s="355">
        <v>2011</v>
      </c>
    </row>
    <row r="18" spans="1:22" ht="23.1" customHeight="1" x14ac:dyDescent="0.2">
      <c r="C18" s="1687" t="str">
        <f>IF(N1=2,"Nom &amp; Titre:","Name &amp; Title:")</f>
        <v>Name &amp; Title:</v>
      </c>
      <c r="D18" s="1687"/>
      <c r="E18" s="1688">
        <f>'Data Set up'!C21</f>
        <v>0</v>
      </c>
      <c r="F18" s="1688"/>
      <c r="G18" s="1688"/>
      <c r="H18" s="579"/>
      <c r="I18" s="579"/>
      <c r="J18" s="579"/>
      <c r="O18" s="347"/>
      <c r="R18" s="355">
        <v>2012</v>
      </c>
    </row>
    <row r="19" spans="1:22" ht="23.1" customHeight="1" x14ac:dyDescent="0.2">
      <c r="C19" s="1687" t="str">
        <f>IF(N1=2,"Addresse postale:","Mailing Address:")</f>
        <v>Mailing Address:</v>
      </c>
      <c r="D19" s="1687"/>
      <c r="E19" s="1689">
        <f>'Data Set up'!C22</f>
        <v>0</v>
      </c>
      <c r="F19" s="1689"/>
      <c r="G19" s="1689"/>
      <c r="H19" s="579"/>
      <c r="I19" s="579"/>
      <c r="J19" s="579"/>
      <c r="O19" s="355"/>
      <c r="R19" s="355">
        <v>2013</v>
      </c>
    </row>
    <row r="20" spans="1:22" ht="23.1" customHeight="1" x14ac:dyDescent="0.2">
      <c r="C20" s="1687" t="str">
        <f>IF(N1=2," Ville, Prov, Code Postal:","City,  Prov. &amp; Postal Code:")</f>
        <v>City,  Prov. &amp; Postal Code:</v>
      </c>
      <c r="D20" s="1687"/>
      <c r="E20" s="1689">
        <f>'Data Set up'!C23</f>
        <v>0</v>
      </c>
      <c r="F20" s="1689"/>
      <c r="G20" s="1689"/>
      <c r="H20" s="579"/>
      <c r="I20" s="579"/>
      <c r="J20" s="579"/>
      <c r="R20" s="355">
        <v>2014</v>
      </c>
    </row>
    <row r="21" spans="1:22" ht="23.1" customHeight="1" x14ac:dyDescent="0.2">
      <c r="C21" s="1687" t="str">
        <f>IF(N1=2,"Tél 1:  Résidence:","Phone 1:  Residence.:")</f>
        <v>Phone 1:  Residence.:</v>
      </c>
      <c r="D21" s="1687"/>
      <c r="E21" s="1690">
        <f>'Data Set up'!C24</f>
        <v>0</v>
      </c>
      <c r="F21" s="1690"/>
      <c r="G21" s="1013" t="str">
        <f>IF(N1=2,"Meilleur temps pour appeler:","Best Time to Call:")</f>
        <v>Best Time to Call:</v>
      </c>
      <c r="H21" s="1691">
        <f>'Data Set up'!C25</f>
        <v>0</v>
      </c>
      <c r="I21" s="1691"/>
      <c r="O21" s="80" t="s">
        <v>146</v>
      </c>
      <c r="R21" s="355">
        <v>2015</v>
      </c>
    </row>
    <row r="22" spans="1:22" ht="23.1" customHeight="1" x14ac:dyDescent="0.2">
      <c r="C22" s="1687" t="str">
        <f>IF(N1=2,"Tél 2:  Autre:","Phone 2:  Other:")</f>
        <v>Phone 2:  Other:</v>
      </c>
      <c r="D22" s="1687"/>
      <c r="E22" s="1690">
        <f>'Data Set up'!C26</f>
        <v>0</v>
      </c>
      <c r="F22" s="1690"/>
      <c r="G22" s="1013" t="str">
        <f>IF(N1=2,"Meilleur temps pour appeler:","Best Time to Call:")</f>
        <v>Best Time to Call:</v>
      </c>
      <c r="H22" s="1691">
        <f>'Data Set up'!C27</f>
        <v>0</v>
      </c>
      <c r="I22" s="1691"/>
      <c r="O22" s="80" t="s">
        <v>150</v>
      </c>
      <c r="R22" s="355">
        <v>2016</v>
      </c>
    </row>
    <row r="23" spans="1:22" ht="23.1" customHeight="1" x14ac:dyDescent="0.2">
      <c r="C23" s="1687" t="str">
        <f>IF(N1=2,"Télécopieur:","Fax:")</f>
        <v>Fax:</v>
      </c>
      <c r="D23" s="1687"/>
      <c r="E23" s="1692">
        <f>'Data Set up'!C28</f>
        <v>0</v>
      </c>
      <c r="F23" s="1692"/>
      <c r="G23" s="1692"/>
      <c r="H23" s="1691">
        <f>'Data Set up'!C29</f>
        <v>0</v>
      </c>
      <c r="I23" s="1691"/>
      <c r="O23" s="80" t="s">
        <v>384</v>
      </c>
      <c r="R23" s="355">
        <v>2017</v>
      </c>
    </row>
    <row r="24" spans="1:22" ht="23.1" customHeight="1" x14ac:dyDescent="0.2">
      <c r="C24" s="1687" t="str">
        <f>IF(N1=2,"Courriel:","e-mail:")</f>
        <v>e-mail:</v>
      </c>
      <c r="D24" s="1687"/>
      <c r="E24" s="1693">
        <f>'Data Set up'!C30</f>
        <v>0</v>
      </c>
      <c r="F24" s="1693"/>
      <c r="G24" s="1693"/>
      <c r="H24" s="1691">
        <f>'Data Set up'!C31</f>
        <v>0</v>
      </c>
      <c r="I24" s="1691"/>
      <c r="O24" s="80" t="s">
        <v>385</v>
      </c>
      <c r="R24" s="355">
        <v>2018</v>
      </c>
    </row>
    <row r="25" spans="1:22" ht="5.25" customHeight="1" x14ac:dyDescent="0.2">
      <c r="C25" s="1015"/>
      <c r="D25" s="1015"/>
      <c r="E25" s="205"/>
      <c r="F25" s="205"/>
      <c r="G25" s="205"/>
      <c r="H25" s="205"/>
      <c r="I25" s="205"/>
      <c r="J25" s="205"/>
      <c r="R25" s="355">
        <v>2019</v>
      </c>
    </row>
    <row r="26" spans="1:22" ht="23.1" customHeight="1" x14ac:dyDescent="0.2">
      <c r="B26" s="1694" t="str">
        <f>IF(N1=2,"L'escadron est-il un organisme sans but lucratif enregistré (Agence Revenue Canada)?","Is the Squadron Sponsoring Committee a Registered Canadian Charity?")</f>
        <v>Is the Squadron Sponsoring Committee a Registered Canadian Charity?</v>
      </c>
      <c r="C26" s="1694"/>
      <c r="D26" s="1694"/>
      <c r="E26" s="1694"/>
      <c r="F26" s="1694"/>
      <c r="G26" s="1694"/>
      <c r="H26" s="1694"/>
      <c r="I26" s="1694"/>
      <c r="J26" s="1014">
        <f>'Data Set up'!C16</f>
        <v>0</v>
      </c>
      <c r="R26" s="355">
        <v>2020</v>
      </c>
    </row>
    <row r="27" spans="1:22" ht="3.75" customHeight="1" x14ac:dyDescent="0.2"/>
    <row r="28" spans="1:22" ht="23.1" customHeight="1" x14ac:dyDescent="0.2">
      <c r="B28" s="1694" t="str">
        <f>IF(N1=2,"Si oui,  le numéro d'enregistrement est:","If yes,  the Registration Number is:")</f>
        <v>If yes,  the Registration Number is:</v>
      </c>
      <c r="C28" s="1694"/>
      <c r="D28" s="1694"/>
      <c r="E28" s="1694"/>
      <c r="F28" s="1694"/>
      <c r="G28" s="1695" t="str">
        <f>LEFT('Data Set up'!C17,9)</f>
        <v/>
      </c>
      <c r="H28" s="1695"/>
      <c r="I28" s="1016" t="s">
        <v>386</v>
      </c>
      <c r="J28" s="1017" t="str">
        <f>RIGHT('Data Set up'!C17,4)</f>
        <v/>
      </c>
      <c r="K28" s="1018"/>
      <c r="L28" s="1018"/>
      <c r="O28" s="1">
        <f>'Data Set up'!O34</f>
        <v>0</v>
      </c>
      <c r="P28" s="1">
        <f>'Data Set up'!P34</f>
        <v>0</v>
      </c>
      <c r="Q28" s="1">
        <f>'Data Set up'!Q34</f>
        <v>0</v>
      </c>
      <c r="R28" s="1">
        <f>'Data Set up'!R34</f>
        <v>0</v>
      </c>
      <c r="S28" s="1">
        <f>'Data Set up'!S34</f>
        <v>0</v>
      </c>
      <c r="T28" s="1">
        <f>'Data Set up'!T34</f>
        <v>0</v>
      </c>
      <c r="U28" s="1">
        <f>'Data Set up'!U34</f>
        <v>1</v>
      </c>
      <c r="V28" s="1">
        <f>'Data Set up'!V34</f>
        <v>0</v>
      </c>
    </row>
    <row r="29" spans="1:22" ht="23.1" customHeight="1" x14ac:dyDescent="0.2">
      <c r="B29" s="1694" t="str">
        <f>IF(N1=2,"Le numéro d'enregistrement d'entreprise (si applicable):","Business Registration Number (if applicable):")</f>
        <v>Business Registration Number (if applicable):</v>
      </c>
      <c r="C29" s="1694"/>
      <c r="D29" s="1694"/>
      <c r="E29" s="1694"/>
      <c r="F29" s="1694"/>
      <c r="G29" s="1695" t="str">
        <f>LEFT('Data Set up'!C18,9)</f>
        <v/>
      </c>
      <c r="H29" s="1695"/>
      <c r="I29" s="1016" t="s">
        <v>387</v>
      </c>
      <c r="J29" s="1019" t="str">
        <f>RIGHT('Data Set up'!C18,4)</f>
        <v/>
      </c>
    </row>
    <row r="30" spans="1:22" ht="23.1" customHeight="1" x14ac:dyDescent="0.2">
      <c r="B30" s="1694" t="str">
        <f>IF(N1=2,"Déclaration renseignements des org. de bienfaisance enregistrés (T3010A) a-t-elle été soumise?","Was the past year's Registered Charity Information Return (Form T3010A) submitted?")</f>
        <v>Was the past year's Registered Charity Information Return (Form T3010A) submitted?</v>
      </c>
      <c r="C30" s="1694"/>
      <c r="D30" s="1694"/>
      <c r="E30" s="1694"/>
      <c r="F30" s="1694"/>
      <c r="G30" s="1694"/>
      <c r="H30" s="1694"/>
      <c r="I30" s="1694"/>
      <c r="J30" s="1014">
        <f>'Data Set up'!C19</f>
        <v>0</v>
      </c>
    </row>
    <row r="31" spans="1:22" ht="9.75" customHeight="1" x14ac:dyDescent="0.2"/>
    <row r="32" spans="1:22" s="1012" customFormat="1" ht="15" customHeight="1" x14ac:dyDescent="0.2">
      <c r="A32" s="1"/>
      <c r="B32" s="1696" t="str">
        <f>IF(N1=2,"CETTE SECTION DOIT ÊTRE COMPLÉTÉE PAR L'AGENT AUX CONFORMITES FINANCIERES DU CP.","THIS SECTION IS TO BE COMPLETED BY THE PC Financial Compliance Officer")</f>
        <v>THIS SECTION IS TO BE COMPLETED BY THE PC Financial Compliance Officer</v>
      </c>
      <c r="C32" s="1696"/>
      <c r="D32" s="1696"/>
      <c r="E32" s="1696"/>
      <c r="F32" s="1696"/>
      <c r="G32" s="1696"/>
      <c r="H32" s="1696"/>
      <c r="I32" s="1696"/>
      <c r="J32" s="1696"/>
      <c r="K32" s="1"/>
      <c r="L32" s="1"/>
      <c r="M32" s="1"/>
      <c r="N32" s="1"/>
      <c r="O32" s="1"/>
      <c r="P32" s="1"/>
      <c r="Q32" s="1"/>
    </row>
    <row r="33" spans="1:20" s="1012" customFormat="1" ht="73.5" customHeight="1" x14ac:dyDescent="0.2">
      <c r="A33" s="1"/>
      <c r="B33" s="1697" t="str">
        <f>IF(N1=2,T34,T36)</f>
        <v>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v>
      </c>
      <c r="C33" s="1697"/>
      <c r="D33" s="1697"/>
      <c r="E33" s="1697"/>
      <c r="F33" s="1697"/>
      <c r="G33" s="1697"/>
      <c r="H33" s="1697"/>
      <c r="I33" s="1697"/>
      <c r="J33" s="1697"/>
      <c r="K33" s="1"/>
      <c r="L33" s="1"/>
      <c r="M33" s="1"/>
      <c r="N33" s="1"/>
      <c r="O33" s="1"/>
      <c r="P33" s="1"/>
      <c r="Q33" s="1"/>
    </row>
    <row r="34" spans="1:20" ht="30.75" customHeight="1" x14ac:dyDescent="0.2">
      <c r="A34" s="1012"/>
      <c r="B34" s="1698" t="s">
        <v>388</v>
      </c>
      <c r="C34" s="1698"/>
      <c r="D34" s="1698"/>
      <c r="E34" s="1698"/>
      <c r="F34" s="1698"/>
      <c r="G34" s="1698"/>
      <c r="H34" s="1698"/>
      <c r="I34" s="1698"/>
      <c r="J34" s="1698"/>
      <c r="K34" s="1012"/>
      <c r="L34" s="1012"/>
      <c r="M34" s="1012"/>
      <c r="N34" s="1012"/>
      <c r="O34" s="1012"/>
      <c r="P34" s="1012"/>
      <c r="Q34" s="1012"/>
      <c r="T34" s="80" t="s">
        <v>389</v>
      </c>
    </row>
    <row r="35" spans="1:20" ht="12" customHeight="1" x14ac:dyDescent="0.2">
      <c r="A35" s="1012"/>
      <c r="B35" s="205"/>
      <c r="C35" s="205"/>
      <c r="D35" s="205"/>
      <c r="E35" s="205"/>
      <c r="F35" s="205"/>
      <c r="G35" s="205"/>
      <c r="H35" s="205"/>
      <c r="I35" s="205"/>
      <c r="J35" s="205"/>
      <c r="K35" s="1012"/>
      <c r="L35" s="1012"/>
      <c r="M35" s="1012"/>
      <c r="N35" s="1012"/>
      <c r="O35" s="1012"/>
      <c r="P35" s="1012"/>
      <c r="Q35" s="1012"/>
    </row>
    <row r="36" spans="1:20" s="1020" customFormat="1" ht="14.25" customHeight="1" x14ac:dyDescent="0.2">
      <c r="A36" s="1"/>
      <c r="B36" s="1699" t="s">
        <v>364</v>
      </c>
      <c r="C36" s="1699"/>
      <c r="D36" s="1699" t="str">
        <f>IF(N1=2,"Nom de l'agent aux conformites financières du CP","PC Financial Compliance Officer (Name)")</f>
        <v>PC Financial Compliance Officer (Name)</v>
      </c>
      <c r="E36" s="1699"/>
      <c r="F36" s="1699"/>
      <c r="G36" s="1699"/>
      <c r="H36" s="1699" t="s">
        <v>390</v>
      </c>
      <c r="I36" s="1699"/>
      <c r="J36" s="1699"/>
      <c r="K36" s="1"/>
      <c r="L36" s="1"/>
      <c r="M36" s="1"/>
      <c r="N36" s="1"/>
      <c r="O36" s="1"/>
      <c r="P36" s="1"/>
      <c r="Q36" s="1"/>
      <c r="T36" s="1020" t="s">
        <v>391</v>
      </c>
    </row>
    <row r="37" spans="1:20" ht="26.25" customHeight="1" x14ac:dyDescent="0.2">
      <c r="A37" s="1020"/>
      <c r="B37" s="1700"/>
      <c r="C37" s="1700"/>
      <c r="D37" s="1700"/>
      <c r="E37" s="1700"/>
      <c r="F37" s="1700"/>
      <c r="G37" s="1700"/>
      <c r="H37" s="1700"/>
      <c r="I37" s="1700"/>
      <c r="J37" s="1700"/>
      <c r="K37" s="1020"/>
      <c r="L37" s="1020"/>
      <c r="M37" s="1020"/>
      <c r="N37" s="1020"/>
      <c r="O37" s="1020"/>
      <c r="P37" s="1020"/>
      <c r="Q37" s="1020"/>
    </row>
    <row r="38" spans="1:20" ht="25.5" customHeight="1" x14ac:dyDescent="0.2">
      <c r="B38" s="1687" t="str">
        <f>IF(N1=2,"Date ACC9 envoyé au CP:","Date ACC9 sent to Nat'l by the PC:")</f>
        <v>Date ACC9 sent to Nat'l by the PC:</v>
      </c>
      <c r="C38" s="1687"/>
      <c r="D38" s="1687"/>
      <c r="E38" s="1021"/>
      <c r="F38" s="1701" t="str">
        <f>IF(N1=2,"Date reçue au National:","Date rec'd by Nat'l:")</f>
        <v>Date rec'd by Nat'l:</v>
      </c>
      <c r="G38" s="1701"/>
      <c r="H38" s="1702"/>
      <c r="I38" s="1702"/>
      <c r="J38" s="1702"/>
    </row>
    <row r="39" spans="1:20" ht="15.75" x14ac:dyDescent="0.2">
      <c r="B39" s="1703"/>
      <c r="C39" s="1703"/>
      <c r="D39" s="1022"/>
      <c r="E39" s="1704"/>
      <c r="F39" s="1704"/>
      <c r="G39" s="1704"/>
      <c r="J39" s="1023" t="s">
        <v>392</v>
      </c>
    </row>
    <row r="40" spans="1:20" ht="25.5" customHeight="1" x14ac:dyDescent="0.2">
      <c r="B40" s="1705" t="str">
        <f>IF(N1=2,"No. d'escadron:","Sqn Number")</f>
        <v>Sqn Number</v>
      </c>
      <c r="C40" s="1705"/>
      <c r="D40" s="1010">
        <f>D11</f>
        <v>0</v>
      </c>
      <c r="E40" s="1024" t="str">
        <f>IF(N1=2,"Nom du Comité:","Committee Name:")</f>
        <v>Committee Name:</v>
      </c>
      <c r="F40" s="1689">
        <f>F11</f>
        <v>0</v>
      </c>
      <c r="G40" s="1689"/>
      <c r="H40" s="1689"/>
      <c r="I40" s="1689"/>
      <c r="J40" s="472" t="str">
        <f>IF(N1=2,"Annexe A","Annex A")</f>
        <v>Annex A</v>
      </c>
    </row>
    <row r="41" spans="1:20" ht="39" customHeight="1" x14ac:dyDescent="0.2">
      <c r="B41" s="1706" t="str">
        <f>IF(N1=2,"COMMENTAIRES DE L'AGENT AUX CONFORMITES FINANCIERES DU CP (s'il y a lieu):","ANNOTATIONS &amp; COMMENTS by PC FINANCIAL COMPLIANCE OFFICER (if any):")</f>
        <v>ANNOTATIONS &amp; COMMENTS by PC FINANCIAL COMPLIANCE OFFICER (if any):</v>
      </c>
      <c r="C41" s="1706"/>
      <c r="D41" s="1706"/>
      <c r="E41" s="1706"/>
      <c r="F41" s="1706"/>
      <c r="G41" s="1706"/>
      <c r="H41" s="1706"/>
      <c r="I41" s="1706"/>
      <c r="J41" s="1706"/>
    </row>
    <row r="42" spans="1:20" ht="23.25" customHeight="1" x14ac:dyDescent="0.2">
      <c r="B42" s="1707" t="str">
        <f>IF(N1=2,"Pour l'exercice terminé le "&amp;EndOfYear,"For the Financial Year Ending on "&amp;EndOfYear)</f>
        <v>For the Financial Year Ending on 31 August 2024</v>
      </c>
      <c r="C42" s="1707"/>
      <c r="D42" s="1707"/>
      <c r="E42" s="1707"/>
      <c r="F42" s="1707"/>
      <c r="G42" s="1707"/>
      <c r="H42" s="1707"/>
      <c r="I42" s="1707"/>
      <c r="J42" s="1707"/>
    </row>
    <row r="43" spans="1:20" ht="334.5" customHeight="1" x14ac:dyDescent="0.2">
      <c r="B43" s="1708">
        <v>1</v>
      </c>
      <c r="C43" s="1709"/>
      <c r="D43" s="1709"/>
      <c r="E43" s="1709"/>
      <c r="F43" s="1709"/>
      <c r="G43" s="1709"/>
      <c r="H43" s="1709"/>
      <c r="I43" s="1709"/>
      <c r="J43" s="1709"/>
      <c r="K43" s="1026"/>
    </row>
    <row r="44" spans="1:20" ht="80.25" customHeight="1" x14ac:dyDescent="0.2">
      <c r="B44" s="1708"/>
      <c r="C44" s="1709"/>
      <c r="D44" s="1709"/>
      <c r="E44" s="1709"/>
      <c r="F44" s="1709"/>
      <c r="G44" s="1709"/>
      <c r="H44" s="1709"/>
      <c r="I44" s="1709"/>
      <c r="J44" s="1709"/>
      <c r="K44" s="1026"/>
    </row>
    <row r="45" spans="1:20" ht="409.6" customHeight="1" x14ac:dyDescent="0.2">
      <c r="A45" s="54"/>
      <c r="B45" s="1025">
        <v>2</v>
      </c>
      <c r="C45" s="1708"/>
      <c r="D45" s="1708"/>
      <c r="E45" s="1708"/>
      <c r="F45" s="1708"/>
      <c r="G45" s="1708"/>
      <c r="H45" s="1708"/>
      <c r="I45" s="1708"/>
      <c r="J45" s="1708"/>
      <c r="K45" s="1026"/>
    </row>
    <row r="46" spans="1:20" ht="19.5" customHeight="1" x14ac:dyDescent="0.2">
      <c r="B46" s="1027"/>
      <c r="C46" s="1028"/>
      <c r="D46" s="1029"/>
      <c r="E46" s="1029"/>
      <c r="F46" s="1029"/>
      <c r="G46" s="1029"/>
      <c r="H46" s="1029"/>
      <c r="I46" s="1029"/>
      <c r="J46" s="1030"/>
    </row>
    <row r="47" spans="1:20" ht="42.75" customHeight="1" x14ac:dyDescent="0.2">
      <c r="B47" s="1699" t="s">
        <v>364</v>
      </c>
      <c r="C47" s="1699"/>
      <c r="D47" s="1699" t="str">
        <f>IF(N9=2,"Nom de l'agent aux conformites financières du CP","PC Financial Compliance Officer (Name)")</f>
        <v>PC Financial Compliance Officer (Name)</v>
      </c>
      <c r="E47" s="1699"/>
      <c r="F47" s="1699"/>
      <c r="G47" s="1699"/>
      <c r="H47" s="1699" t="s">
        <v>390</v>
      </c>
      <c r="I47" s="1699"/>
      <c r="J47" s="1699"/>
    </row>
    <row r="48" spans="1:20" ht="25.5" customHeight="1" x14ac:dyDescent="0.2">
      <c r="B48" s="1700"/>
      <c r="C48" s="1700"/>
      <c r="D48" s="1700"/>
      <c r="E48" s="1700"/>
      <c r="F48" s="1700"/>
      <c r="G48" s="1700"/>
      <c r="H48" s="1700"/>
      <c r="I48" s="1700"/>
      <c r="J48" s="1700"/>
    </row>
    <row r="49" spans="2:10" ht="14.25" customHeight="1" x14ac:dyDescent="0.2">
      <c r="B49" s="143"/>
      <c r="C49" s="143"/>
      <c r="D49" s="143"/>
      <c r="E49" s="143"/>
      <c r="F49" s="143"/>
      <c r="G49" s="143"/>
      <c r="H49" s="143"/>
      <c r="I49" s="143"/>
      <c r="J49" s="1023" t="s">
        <v>393</v>
      </c>
    </row>
    <row r="51" spans="2:10" ht="20.25" customHeight="1" x14ac:dyDescent="0.2"/>
  </sheetData>
  <sheetProtection algorithmName="SHA-512" hashValue="mDfz4sYImsXhI7Zo89vCMIXt8YjrpFgEtnnUnbKWeqifjnuwAvhVxcOQbdctRhkbs55ZIeP3Tg7Cq2Rsdh2idA==" saltValue="kbTYHH8FXvNkByXCEENj6g==" spinCount="100000" sheet="1" objects="1" scenarios="1" selectLockedCells="1" selectUnlockedCells="1"/>
  <mergeCells count="71">
    <mergeCell ref="C45:J45"/>
    <mergeCell ref="B47:C47"/>
    <mergeCell ref="D47:G47"/>
    <mergeCell ref="H47:J47"/>
    <mergeCell ref="B48:C48"/>
    <mergeCell ref="D48:G48"/>
    <mergeCell ref="H48:J48"/>
    <mergeCell ref="B40:C40"/>
    <mergeCell ref="F40:I40"/>
    <mergeCell ref="B41:J41"/>
    <mergeCell ref="B42:J42"/>
    <mergeCell ref="B43:B44"/>
    <mergeCell ref="C43:J44"/>
    <mergeCell ref="B38:D38"/>
    <mergeCell ref="F38:G38"/>
    <mergeCell ref="H38:J38"/>
    <mergeCell ref="B39:C39"/>
    <mergeCell ref="E39:G39"/>
    <mergeCell ref="B34:J34"/>
    <mergeCell ref="B36:C36"/>
    <mergeCell ref="D36:G36"/>
    <mergeCell ref="H36:J36"/>
    <mergeCell ref="B37:C37"/>
    <mergeCell ref="D37:G37"/>
    <mergeCell ref="H37:J37"/>
    <mergeCell ref="B29:F29"/>
    <mergeCell ref="G29:H29"/>
    <mergeCell ref="B30:I30"/>
    <mergeCell ref="B32:J32"/>
    <mergeCell ref="B33:J33"/>
    <mergeCell ref="C24:D24"/>
    <mergeCell ref="E24:G24"/>
    <mergeCell ref="H24:I24"/>
    <mergeCell ref="B26:I26"/>
    <mergeCell ref="B28:F28"/>
    <mergeCell ref="G28:H28"/>
    <mergeCell ref="H21:I21"/>
    <mergeCell ref="C22:D22"/>
    <mergeCell ref="E22:F22"/>
    <mergeCell ref="H22:I22"/>
    <mergeCell ref="C23:D23"/>
    <mergeCell ref="E23:G23"/>
    <mergeCell ref="H23:I23"/>
    <mergeCell ref="C19:D19"/>
    <mergeCell ref="E19:G19"/>
    <mergeCell ref="C20:D20"/>
    <mergeCell ref="E20:G20"/>
    <mergeCell ref="C21:D21"/>
    <mergeCell ref="E21:F21"/>
    <mergeCell ref="D14:G14"/>
    <mergeCell ref="D15:G15"/>
    <mergeCell ref="D16:G16"/>
    <mergeCell ref="B17:J17"/>
    <mergeCell ref="C18:D18"/>
    <mergeCell ref="E18:G18"/>
    <mergeCell ref="B12:D12"/>
    <mergeCell ref="E12:G12"/>
    <mergeCell ref="H12:J12"/>
    <mergeCell ref="B13:C13"/>
    <mergeCell ref="D13:G13"/>
    <mergeCell ref="B6:J6"/>
    <mergeCell ref="B7:J7"/>
    <mergeCell ref="B8:J8"/>
    <mergeCell ref="B10:J10"/>
    <mergeCell ref="B11:C11"/>
    <mergeCell ref="F11:J11"/>
    <mergeCell ref="B1:J1"/>
    <mergeCell ref="B2:J2"/>
    <mergeCell ref="B3:E3"/>
    <mergeCell ref="B4:J4"/>
    <mergeCell ref="B5:J5"/>
  </mergeCells>
  <conditionalFormatting sqref="D16 H16:J16">
    <cfRule type="cellIs" dxfId="27" priority="2" operator="equal">
      <formula>0</formula>
    </cfRule>
  </conditionalFormatting>
  <conditionalFormatting sqref="D11 F11:J11 E12:G12 E24:G24 D13:D16 H13:J16 E18:E20 H18:J20 H21:H24">
    <cfRule type="cellIs" dxfId="26" priority="3" operator="equal">
      <formula>0</formula>
    </cfRule>
  </conditionalFormatting>
  <conditionalFormatting sqref="J26 J30">
    <cfRule type="expression" dxfId="25" priority="4">
      <formula>J30=0</formula>
    </cfRule>
  </conditionalFormatting>
  <dataValidations count="2">
    <dataValidation allowBlank="1" showInputMessage="1" showErrorMessage="1" promptTitle="year selection" prompt="Click down arrow, cursor to the appropriate year end, hit enter key" sqref="R9 R12:R13">
      <formula1>0</formula1>
      <formula2>0</formula2>
    </dataValidation>
    <dataValidation allowBlank="1" showErrorMessage="1" promptTitle="message" prompt="Scroll down the list and select your appropriate jurisdiction" sqref="E12:G12">
      <formula1>0</formula1>
      <formula2>0</formula2>
    </dataValidation>
  </dataValidations>
  <printOptions horizontalCentered="1"/>
  <pageMargins left="0.55972222222222201" right="0.17013888888888901" top="0.42986111111111103" bottom="0.31527777777777799" header="0.511811023622047" footer="0.511811023622047"/>
  <pageSetup scale="70" orientation="portrait" horizontalDpi="300" verticalDpi="300"/>
  <rowBreaks count="1" manualBreakCount="1">
    <brk id="39" max="16383" man="1"/>
  </rowBreaks>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MJ78"/>
  <sheetViews>
    <sheetView showGridLines="0" showRowColHeaders="0" showZeros="0" zoomScale="85" zoomScaleNormal="85" workbookViewId="0">
      <selection activeCell="M1" sqref="M1"/>
    </sheetView>
  </sheetViews>
  <sheetFormatPr defaultColWidth="11.42578125" defaultRowHeight="12.75" x14ac:dyDescent="0.2"/>
  <cols>
    <col min="1" max="1" width="13.28515625" style="1" customWidth="1"/>
    <col min="2" max="2" width="3.28515625" style="1" customWidth="1"/>
    <col min="3" max="3" width="3.7109375" style="1" customWidth="1"/>
    <col min="4" max="4" width="5.42578125" style="1" customWidth="1"/>
    <col min="5" max="5" width="9.5703125" style="1" customWidth="1"/>
    <col min="6" max="6" width="9.140625" style="1" customWidth="1"/>
    <col min="7" max="7" width="9.5703125" style="1" customWidth="1"/>
    <col min="8" max="8" width="9.140625" style="1" customWidth="1"/>
    <col min="9" max="9" width="46.28515625" style="1" customWidth="1"/>
    <col min="10" max="10" width="15.7109375" style="1" customWidth="1"/>
    <col min="11" max="11" width="15.85546875" style="1" customWidth="1"/>
    <col min="12" max="12" width="1.42578125" style="1" customWidth="1"/>
    <col min="13" max="13" width="9.140625" style="1" customWidth="1"/>
    <col min="14" max="14" width="22.42578125" style="1" customWidth="1"/>
    <col min="15" max="15" width="12.28515625" style="1" customWidth="1"/>
    <col min="16" max="256" width="9.140625" style="1" customWidth="1"/>
    <col min="257" max="1024" width="11.42578125" style="1"/>
  </cols>
  <sheetData>
    <row r="1" spans="1:20" ht="33.75" customHeight="1" x14ac:dyDescent="0.2">
      <c r="B1" s="1710" t="str">
        <f>IF(N4=2,"État des résultats","Statement of Operations")</f>
        <v>Statement of Operations</v>
      </c>
      <c r="C1" s="1710"/>
      <c r="D1" s="1710"/>
      <c r="E1" s="1710"/>
      <c r="F1" s="1710"/>
      <c r="G1" s="1710"/>
      <c r="H1" s="1710"/>
      <c r="I1" s="1710"/>
      <c r="J1" s="1710"/>
      <c r="K1" s="1710"/>
      <c r="L1" s="1031"/>
    </row>
    <row r="2" spans="1:20" ht="33.75" customHeight="1" x14ac:dyDescent="0.2">
      <c r="B2" s="1569">
        <f>'Data Set up'!B2:I2</f>
        <v>0</v>
      </c>
      <c r="C2" s="1569"/>
      <c r="D2" s="1569"/>
      <c r="E2" s="1569"/>
      <c r="F2" s="1569"/>
      <c r="G2" s="1569"/>
      <c r="H2" s="1569"/>
      <c r="I2" s="1569"/>
      <c r="J2" s="1569"/>
      <c r="K2" s="1569"/>
      <c r="L2" s="1031"/>
    </row>
    <row r="3" spans="1:20" ht="47.25" customHeight="1" x14ac:dyDescent="0.3">
      <c r="B3" s="1641" t="str">
        <f>IF(N4=2,"REVENUS","REVENUES")</f>
        <v>REVENUES</v>
      </c>
      <c r="C3" s="1641"/>
      <c r="D3" s="1641"/>
      <c r="E3" s="1641"/>
      <c r="F3" s="1641"/>
      <c r="G3" s="1641"/>
      <c r="H3" s="1641"/>
      <c r="I3" s="1641"/>
      <c r="J3" s="1641"/>
      <c r="K3" s="1641"/>
      <c r="L3" s="1032"/>
      <c r="O3" s="1033"/>
    </row>
    <row r="4" spans="1:20" ht="24.75" customHeight="1" x14ac:dyDescent="0.2">
      <c r="A4" s="22"/>
      <c r="B4" s="1711" t="str">
        <f>IF(N4=2,"pour la période du "&amp;'Data Set up'!K8&amp;" au "&amp;'Data Set up'!K12,"For the period from "&amp;'Data Set up'!K9&amp;" to "&amp;'Data Set up'!K12)</f>
        <v>For the period from 1 september 2023 to 31 August 2024</v>
      </c>
      <c r="C4" s="1711"/>
      <c r="D4" s="1711"/>
      <c r="E4" s="1711"/>
      <c r="F4" s="1711"/>
      <c r="G4" s="1711"/>
      <c r="H4" s="1711"/>
      <c r="I4" s="1711"/>
      <c r="J4" s="1711"/>
      <c r="K4" s="1711"/>
      <c r="L4" s="22"/>
      <c r="N4" s="152">
        <f>'Data Set up'!K10</f>
        <v>1</v>
      </c>
    </row>
    <row r="5" spans="1:20" ht="23.25" customHeight="1" x14ac:dyDescent="0.2">
      <c r="B5" s="1712"/>
      <c r="C5" s="1712"/>
      <c r="D5" s="1712"/>
      <c r="E5" s="1712"/>
      <c r="F5" s="1034"/>
      <c r="G5" s="1035"/>
      <c r="H5" s="1713"/>
      <c r="I5" s="1713"/>
      <c r="J5" s="1036"/>
    </row>
    <row r="6" spans="1:20" ht="12" hidden="1" customHeight="1" x14ac:dyDescent="0.2">
      <c r="B6" s="1037"/>
      <c r="C6" s="1037"/>
      <c r="D6" s="1037"/>
      <c r="E6" s="1037"/>
      <c r="F6" s="1037"/>
      <c r="G6" s="1037"/>
      <c r="H6" s="1037"/>
      <c r="I6" s="1037"/>
      <c r="J6" s="1038"/>
    </row>
    <row r="7" spans="1:20" ht="18" customHeight="1" x14ac:dyDescent="0.2">
      <c r="B7" s="1714"/>
      <c r="C7" s="1715" t="str">
        <f>CONCATENATE('Revenue Jrnl'!Q4," - ",'Revenue Jrnl'!Q5)</f>
        <v>4000 - Donations, Grants &amp; Other</v>
      </c>
      <c r="D7" s="1715"/>
      <c r="E7" s="1715"/>
      <c r="F7" s="1715"/>
      <c r="G7" s="1715"/>
      <c r="H7" s="1715"/>
      <c r="I7" s="1715"/>
      <c r="J7" s="1715"/>
      <c r="K7" s="1715"/>
      <c r="L7" s="80"/>
      <c r="N7" s="1039"/>
    </row>
    <row r="8" spans="1:20" s="703" customFormat="1" ht="18" customHeight="1" x14ac:dyDescent="0.2">
      <c r="B8" s="1714"/>
      <c r="C8" s="1716" t="str">
        <f>LEFT('Revenue Jrnl'!Q7,1)</f>
        <v>1</v>
      </c>
      <c r="D8" s="1040" t="str">
        <f>RIGHT('Revenue Jrnl'!Q$7,3)</f>
        <v>(a)</v>
      </c>
      <c r="E8" s="1041">
        <f>+'Revenue Jrnl'!Q6</f>
        <v>4010</v>
      </c>
      <c r="F8" s="1717" t="str">
        <f>+'Revenue Jrnl'!Q8</f>
        <v>From Official Sponsor(s)</v>
      </c>
      <c r="G8" s="1717"/>
      <c r="H8" s="1717"/>
      <c r="I8" s="1717"/>
      <c r="J8" s="1042">
        <f>+'Revenue Jrnl'!Q516</f>
        <v>0</v>
      </c>
      <c r="K8" s="1718"/>
      <c r="M8" s="1043"/>
      <c r="N8" s="80"/>
      <c r="O8" s="80"/>
    </row>
    <row r="9" spans="1:20" s="703" customFormat="1" ht="18" customHeight="1" x14ac:dyDescent="0.2">
      <c r="B9" s="1714"/>
      <c r="C9" s="1716"/>
      <c r="D9" s="1044" t="str">
        <f>RIGHT('Revenue Jrnl'!R$7,3)</f>
        <v>(b)</v>
      </c>
      <c r="E9" s="1045">
        <f>+'Revenue Jrnl'!R6</f>
        <v>4020</v>
      </c>
      <c r="F9" s="1719" t="str">
        <f>+'Revenue Jrnl'!R8</f>
        <v>From Non-Sponsor Veterans Organizations &amp; their Auxiliaries</v>
      </c>
      <c r="G9" s="1719"/>
      <c r="H9" s="1719"/>
      <c r="I9" s="1719"/>
      <c r="J9" s="1046">
        <f>+'Revenue Jrnl'!R516</f>
        <v>0</v>
      </c>
      <c r="K9" s="1718"/>
      <c r="M9" s="1043"/>
    </row>
    <row r="10" spans="1:20" s="703" customFormat="1" ht="18" customHeight="1" x14ac:dyDescent="0.2">
      <c r="B10" s="1714"/>
      <c r="C10" s="1716"/>
      <c r="D10" s="1044" t="str">
        <f>RIGHT('Revenue Jrnl'!S$7,3)</f>
        <v>(c)</v>
      </c>
      <c r="E10" s="1045">
        <f>+'Revenue Jrnl'!S6</f>
        <v>4030</v>
      </c>
      <c r="F10" s="1719" t="str">
        <f>+'Revenue Jrnl'!S8</f>
        <v>From Other Service Clubs (Charities)</v>
      </c>
      <c r="G10" s="1719"/>
      <c r="H10" s="1719"/>
      <c r="I10" s="1719"/>
      <c r="J10" s="1046">
        <f>+'Revenue Jrnl'!S516</f>
        <v>0</v>
      </c>
      <c r="K10" s="1718"/>
      <c r="M10" s="1043"/>
    </row>
    <row r="11" spans="1:20" s="703" customFormat="1" ht="18" customHeight="1" x14ac:dyDescent="0.2">
      <c r="B11" s="1714"/>
      <c r="C11" s="1716"/>
      <c r="D11" s="1044" t="str">
        <f>RIGHT('Revenue Jrnl'!X$7,3)</f>
        <v>(d)</v>
      </c>
      <c r="E11" s="1045">
        <f>+'Revenue Jrnl'!X6</f>
        <v>4040</v>
      </c>
      <c r="F11" s="1719" t="str">
        <f>+'Revenue Jrnl'!X8</f>
        <v>Specific Purpose Non-DND Grants</v>
      </c>
      <c r="G11" s="1719"/>
      <c r="H11" s="1719"/>
      <c r="I11" s="1719"/>
      <c r="J11" s="1046">
        <f>+'Revenue Jrnl'!X516</f>
        <v>0</v>
      </c>
      <c r="K11" s="1718"/>
      <c r="M11" s="1043"/>
    </row>
    <row r="12" spans="1:20" s="703" customFormat="1" ht="18" customHeight="1" x14ac:dyDescent="0.2">
      <c r="B12" s="1714"/>
      <c r="C12" s="1716"/>
      <c r="D12" s="1044" t="str">
        <f>RIGHT('Revenue Jrnl'!Y$7,3)</f>
        <v>(e)</v>
      </c>
      <c r="E12" s="1045">
        <f>+'Revenue Jrnl'!Y6</f>
        <v>4050</v>
      </c>
      <c r="F12" s="1719" t="str">
        <f>+'Revenue Jrnl'!Y8</f>
        <v>Bequests and Such</v>
      </c>
      <c r="G12" s="1719"/>
      <c r="H12" s="1719"/>
      <c r="I12" s="1719"/>
      <c r="J12" s="1046">
        <f>+'Revenue Jrnl'!Y516</f>
        <v>0</v>
      </c>
      <c r="K12" s="1718"/>
      <c r="M12" s="1043"/>
    </row>
    <row r="13" spans="1:20" s="703" customFormat="1" ht="18" customHeight="1" x14ac:dyDescent="0.2">
      <c r="B13" s="1714"/>
      <c r="C13" s="1716"/>
      <c r="D13" s="1044" t="str">
        <f>RIGHT('Revenue Jrnl'!Z$7,3)</f>
        <v>(f)</v>
      </c>
      <c r="E13" s="1045">
        <f>+'Revenue Jrnl'!Z6</f>
        <v>4060</v>
      </c>
      <c r="F13" s="1719" t="str">
        <f>+'Revenue Jrnl'!Z8</f>
        <v>Other Non-Tax Receipted Donations</v>
      </c>
      <c r="G13" s="1719"/>
      <c r="H13" s="1719"/>
      <c r="I13" s="1719"/>
      <c r="J13" s="1046">
        <f>+'Revenue Jrnl'!Z516</f>
        <v>0</v>
      </c>
      <c r="K13" s="1718"/>
      <c r="M13" s="1043"/>
    </row>
    <row r="14" spans="1:20" s="703" customFormat="1" ht="18" customHeight="1" x14ac:dyDescent="0.2">
      <c r="B14" s="1714"/>
      <c r="C14" s="1716"/>
      <c r="D14" s="1044" t="str">
        <f>RIGHT('Revenue Jrnl'!AA$7,3)</f>
        <v>(g)</v>
      </c>
      <c r="E14" s="1045">
        <f>+'Revenue Jrnl'!AA6</f>
        <v>4070</v>
      </c>
      <c r="F14" s="1719" t="str">
        <f>+'Revenue Jrnl'!AA8</f>
        <v>Other Tax Receipted Donations</v>
      </c>
      <c r="G14" s="1719"/>
      <c r="H14" s="1719"/>
      <c r="I14" s="1719"/>
      <c r="J14" s="1046">
        <f>+'Revenue Jrnl'!AA516</f>
        <v>0</v>
      </c>
      <c r="K14" s="1718"/>
      <c r="M14" s="1043"/>
    </row>
    <row r="15" spans="1:20" s="703" customFormat="1" ht="18" customHeight="1" x14ac:dyDescent="0.2">
      <c r="B15" s="1714"/>
      <c r="C15" s="1716"/>
      <c r="D15" s="1044" t="str">
        <f>RIGHT('Revenue Jrnl'!AB$7,3)</f>
        <v>(h)</v>
      </c>
      <c r="E15" s="1045">
        <f>+'Revenue Jrnl'!AB6</f>
        <v>4080</v>
      </c>
      <c r="F15" s="1719" t="str">
        <f>IF('Revenue Jrnl'!AB$8="Available (Rename)","Available",'Revenue Jrnl'!AB$8)</f>
        <v>Available</v>
      </c>
      <c r="G15" s="1719"/>
      <c r="H15" s="1719"/>
      <c r="I15" s="1719"/>
      <c r="J15" s="1046">
        <f>+'Revenue Jrnl'!AB516</f>
        <v>0</v>
      </c>
      <c r="K15" s="1718"/>
      <c r="M15" s="1043"/>
      <c r="P15" s="1047"/>
      <c r="Q15" s="80"/>
      <c r="R15" s="80"/>
      <c r="S15" s="80"/>
      <c r="T15" s="80"/>
    </row>
    <row r="16" spans="1:20" s="703" customFormat="1" ht="18" customHeight="1" x14ac:dyDescent="0.2">
      <c r="B16" s="1714"/>
      <c r="C16" s="1716"/>
      <c r="D16" s="1048" t="str">
        <f>RIGHT('Revenue Jrnl'!AC$7,3)</f>
        <v>(i)</v>
      </c>
      <c r="E16" s="1045">
        <f>+'Revenue Jrnl'!AC6</f>
        <v>4090</v>
      </c>
      <c r="F16" s="1719" t="str">
        <f>IF('Revenue Jrnl'!AC$8="Available (Rename)","Available",'Revenue Jrnl'!AC$8)</f>
        <v>Available</v>
      </c>
      <c r="G16" s="1719"/>
      <c r="H16" s="1719"/>
      <c r="I16" s="1719"/>
      <c r="J16" s="1046">
        <f>+'Revenue Jrnl'!AC516</f>
        <v>0</v>
      </c>
      <c r="K16" s="1718"/>
      <c r="M16" s="1043"/>
      <c r="P16" s="1047"/>
      <c r="Q16" s="80"/>
      <c r="R16" s="80"/>
      <c r="S16" s="80"/>
      <c r="T16" s="80"/>
    </row>
    <row r="17" spans="2:16" s="703" customFormat="1" ht="18" customHeight="1" x14ac:dyDescent="0.2">
      <c r="B17" s="1714"/>
      <c r="C17" s="1049"/>
      <c r="D17" s="1050"/>
      <c r="E17" s="1051">
        <v>4099</v>
      </c>
      <c r="F17" s="1720" t="str">
        <f>CONCATENATE('Revenue Jrnl'!Q5," - ","Total")</f>
        <v>Donations, Grants &amp; Other - Total</v>
      </c>
      <c r="G17" s="1720"/>
      <c r="H17" s="1720"/>
      <c r="I17" s="1720"/>
      <c r="J17" s="1720"/>
      <c r="K17" s="1052">
        <f>SUM(J8:J16)</f>
        <v>0</v>
      </c>
    </row>
    <row r="18" spans="2:16" ht="15.75" x14ac:dyDescent="0.2">
      <c r="B18" s="1009"/>
      <c r="C18" s="1678"/>
      <c r="D18" s="1678"/>
      <c r="E18" s="1678"/>
      <c r="F18" s="1678"/>
      <c r="G18" s="1678"/>
      <c r="H18" s="1678"/>
      <c r="I18" s="1678"/>
      <c r="J18" s="1678"/>
      <c r="K18" s="1678"/>
    </row>
    <row r="19" spans="2:16" ht="18" customHeight="1" x14ac:dyDescent="0.2">
      <c r="B19" s="1714"/>
      <c r="C19" s="1721" t="str">
        <f>CONCATENATE('Revenue Jrnl'!AD4," - ",'Revenue Jrnl'!AD5)</f>
        <v>4200 - Gaming &amp; Lotteries Fundraising</v>
      </c>
      <c r="D19" s="1721"/>
      <c r="E19" s="1721"/>
      <c r="F19" s="1721"/>
      <c r="G19" s="1721"/>
      <c r="H19" s="1721"/>
      <c r="I19" s="1721"/>
      <c r="J19" s="1721"/>
      <c r="K19" s="1721"/>
    </row>
    <row r="20" spans="2:16" s="703" customFormat="1" ht="18" customHeight="1" x14ac:dyDescent="0.2">
      <c r="B20" s="1714"/>
      <c r="C20" s="1716" t="str">
        <f>LEFT('Revenue Jrnl'!AD7,1)</f>
        <v>2</v>
      </c>
      <c r="D20" s="1040" t="str">
        <f>RIGHT('Revenue Jrnl'!AD$7,3)</f>
        <v>(a)</v>
      </c>
      <c r="E20" s="1045">
        <f>+'Revenue Jrnl'!AD6</f>
        <v>4210</v>
      </c>
      <c r="F20" s="1722" t="str">
        <f>IF('Revenue Jrnl'!AD$8="Available (Rename)","Available",'Revenue Jrnl'!AD$8)</f>
        <v>Sqn Lottery/Raffle</v>
      </c>
      <c r="G20" s="1722"/>
      <c r="H20" s="1722"/>
      <c r="I20" s="1722"/>
      <c r="J20" s="1053">
        <f>+'Revenue Jrnl'!AD516</f>
        <v>0</v>
      </c>
      <c r="K20" s="1702"/>
      <c r="M20" s="1054"/>
    </row>
    <row r="21" spans="2:16" s="703" customFormat="1" ht="18" customHeight="1" x14ac:dyDescent="0.2">
      <c r="B21" s="1714"/>
      <c r="C21" s="1716"/>
      <c r="D21" s="1044" t="str">
        <f>RIGHT('Revenue Jrnl'!AE$7,3)</f>
        <v>(b)</v>
      </c>
      <c r="E21" s="1045">
        <f>+'Revenue Jrnl'!AE6</f>
        <v>4220</v>
      </c>
      <c r="F21" s="1722" t="str">
        <f>IF('Revenue Jrnl'!AE$8="Available (Rename)","Available",'Revenue Jrnl'!AE$8)</f>
        <v>Bingo/Casino Income</v>
      </c>
      <c r="G21" s="1722"/>
      <c r="H21" s="1722"/>
      <c r="I21" s="1722"/>
      <c r="J21" s="1055">
        <f>+'Revenue Jrnl'!AE516</f>
        <v>0</v>
      </c>
      <c r="K21" s="1702"/>
      <c r="M21" s="1054"/>
    </row>
    <row r="22" spans="2:16" s="703" customFormat="1" ht="18" customHeight="1" x14ac:dyDescent="0.2">
      <c r="B22" s="1714"/>
      <c r="C22" s="1716"/>
      <c r="D22" s="1044" t="str">
        <f>RIGHT('Revenue Jrnl'!AF$7,3)</f>
        <v>(c)</v>
      </c>
      <c r="E22" s="1045">
        <f>+'Revenue Jrnl'!AF6</f>
        <v>4230</v>
      </c>
      <c r="F22" s="1722" t="str">
        <f>IF('Revenue Jrnl'!AF$8="Available (Rename)","Available",'Revenue Jrnl'!AF$8)</f>
        <v>Available</v>
      </c>
      <c r="G22" s="1722"/>
      <c r="H22" s="1722"/>
      <c r="I22" s="1722"/>
      <c r="J22" s="1055">
        <f>+'Revenue Jrnl'!AF516</f>
        <v>0</v>
      </c>
      <c r="K22" s="1702"/>
      <c r="M22" s="1054"/>
      <c r="P22" s="1012"/>
    </row>
    <row r="23" spans="2:16" s="703" customFormat="1" ht="18" customHeight="1" x14ac:dyDescent="0.2">
      <c r="B23" s="1714"/>
      <c r="C23" s="1716"/>
      <c r="D23" s="1044" t="str">
        <f>RIGHT('Revenue Jrnl'!AG$7,3)</f>
        <v>(e)</v>
      </c>
      <c r="E23" s="1045">
        <f>+'Revenue Jrnl'!AG6</f>
        <v>4240</v>
      </c>
      <c r="F23" s="1722" t="str">
        <f>IF('Revenue Jrnl'!AG$8="Available (Rename)","Available",'Revenue Jrnl'!AG$8)</f>
        <v>Available</v>
      </c>
      <c r="G23" s="1722"/>
      <c r="H23" s="1722"/>
      <c r="I23" s="1722"/>
      <c r="J23" s="1055">
        <f>+'Revenue Jrnl'!AG516</f>
        <v>0</v>
      </c>
      <c r="K23" s="1702"/>
      <c r="M23" s="709"/>
    </row>
    <row r="24" spans="2:16" s="703" customFormat="1" ht="18" customHeight="1" x14ac:dyDescent="0.2">
      <c r="B24" s="1714"/>
      <c r="C24" s="1716"/>
      <c r="D24" s="1044" t="str">
        <f>RIGHT('Revenue Jrnl'!AH$7,3)</f>
        <v>(f)</v>
      </c>
      <c r="E24" s="1045">
        <f>+'Revenue Jrnl'!AH6</f>
        <v>4250</v>
      </c>
      <c r="F24" s="1722" t="str">
        <f>IF('Revenue Jrnl'!AH$8="Available (Rename)","Available",'Revenue Jrnl'!AH$8)</f>
        <v>Available</v>
      </c>
      <c r="G24" s="1722"/>
      <c r="H24" s="1722"/>
      <c r="I24" s="1722"/>
      <c r="J24" s="1055">
        <f>+'Revenue Jrnl'!AH516</f>
        <v>0</v>
      </c>
      <c r="K24" s="1702"/>
      <c r="M24" s="709"/>
    </row>
    <row r="25" spans="2:16" s="703" customFormat="1" ht="18" customHeight="1" x14ac:dyDescent="0.2">
      <c r="B25" s="1714"/>
      <c r="C25" s="1716"/>
      <c r="D25" s="1044" t="str">
        <f>RIGHT('Revenue Jrnl'!AI$7,3)</f>
        <v>(g)</v>
      </c>
      <c r="E25" s="1045">
        <f>+'Revenue Jrnl'!AI6</f>
        <v>4260</v>
      </c>
      <c r="F25" s="1722" t="str">
        <f>IF('Revenue Jrnl'!AI$8="Available (Rename)","Available",'Revenue Jrnl'!AI$8)</f>
        <v>Available</v>
      </c>
      <c r="G25" s="1722"/>
      <c r="H25" s="1722"/>
      <c r="I25" s="1722"/>
      <c r="J25" s="1055">
        <f>+'Revenue Jrnl'!AI516</f>
        <v>0</v>
      </c>
      <c r="K25" s="1702"/>
      <c r="M25" s="709"/>
    </row>
    <row r="26" spans="2:16" s="703" customFormat="1" ht="18" customHeight="1" x14ac:dyDescent="0.2">
      <c r="B26" s="1714"/>
      <c r="C26" s="1716"/>
      <c r="D26" s="1044" t="str">
        <f>RIGHT('Revenue Jrnl'!AJ$7,3)</f>
        <v>(h)</v>
      </c>
      <c r="E26" s="1045">
        <f>+'Revenue Jrnl'!AJ$6</f>
        <v>4270</v>
      </c>
      <c r="F26" s="1722" t="str">
        <f>IF('Revenue Jrnl'!AJ$8="Available (Rename)","Available",'Revenue Jrnl'!AJ$8)</f>
        <v>Available</v>
      </c>
      <c r="G26" s="1722"/>
      <c r="H26" s="1722"/>
      <c r="I26" s="1722"/>
      <c r="J26" s="1046">
        <f>+'Revenue Jrnl'!AJ516</f>
        <v>0</v>
      </c>
      <c r="K26" s="1702"/>
      <c r="M26" s="709"/>
    </row>
    <row r="27" spans="2:16" s="703" customFormat="1" ht="18" customHeight="1" x14ac:dyDescent="0.2">
      <c r="B27" s="1714"/>
      <c r="C27" s="1716"/>
      <c r="D27" s="1044" t="str">
        <f>RIGHT('Revenue Jrnl'!AK$7,3)</f>
        <v>(i)</v>
      </c>
      <c r="E27" s="1045">
        <f>+'Revenue Jrnl'!AK$6</f>
        <v>4280</v>
      </c>
      <c r="F27" s="1722" t="str">
        <f>IF('Revenue Jrnl'!AK$8="Available (Rename)","Available",'Revenue Jrnl'!AK$8)</f>
        <v>Available</v>
      </c>
      <c r="G27" s="1722"/>
      <c r="H27" s="1722"/>
      <c r="I27" s="1722"/>
      <c r="J27" s="1046">
        <f>+'Revenue Jrnl'!AK516</f>
        <v>0</v>
      </c>
      <c r="K27" s="1702"/>
      <c r="M27" s="709"/>
    </row>
    <row r="28" spans="2:16" s="703" customFormat="1" ht="18" customHeight="1" x14ac:dyDescent="0.2">
      <c r="B28" s="1714"/>
      <c r="C28" s="1716"/>
      <c r="D28" s="1048" t="str">
        <f>RIGHT('Revenue Jrnl'!AL$7,3)</f>
        <v>(j)</v>
      </c>
      <c r="E28" s="1045">
        <f>+'Revenue Jrnl'!AL$6</f>
        <v>4290</v>
      </c>
      <c r="F28" s="1722" t="str">
        <f>IF('Revenue Jrnl'!AL$8="Available (Rename)","Available",'Revenue Jrnl'!AL$8)</f>
        <v>Available</v>
      </c>
      <c r="G28" s="1722"/>
      <c r="H28" s="1722"/>
      <c r="I28" s="1722"/>
      <c r="J28" s="1046">
        <f>+'Revenue Jrnl'!AL516</f>
        <v>0</v>
      </c>
      <c r="K28" s="1702"/>
      <c r="M28" s="709"/>
    </row>
    <row r="29" spans="2:16" s="703" customFormat="1" ht="18" customHeight="1" x14ac:dyDescent="0.2">
      <c r="B29" s="1714"/>
      <c r="C29" s="1049"/>
      <c r="D29" s="1050"/>
      <c r="E29" s="1056">
        <v>4299</v>
      </c>
      <c r="F29" s="1723" t="str">
        <f>CONCATENATE('Revenue Jrnl'!AD5," -  ","Total")</f>
        <v>Gaming &amp; Lotteries Fundraising -  Total</v>
      </c>
      <c r="G29" s="1723"/>
      <c r="H29" s="1723"/>
      <c r="I29" s="1723"/>
      <c r="J29" s="1723"/>
      <c r="K29" s="1057">
        <f>SUM(J20:J28)</f>
        <v>0</v>
      </c>
      <c r="M29" s="709"/>
    </row>
    <row r="30" spans="2:16" s="703" customFormat="1" x14ac:dyDescent="0.2">
      <c r="B30" s="1009"/>
      <c r="C30" s="1724"/>
      <c r="D30" s="1724"/>
      <c r="E30" s="1724"/>
      <c r="F30" s="1724"/>
      <c r="G30" s="1724"/>
      <c r="H30" s="1724"/>
      <c r="I30" s="1724"/>
      <c r="J30" s="1724"/>
      <c r="K30" s="1724"/>
    </row>
    <row r="31" spans="2:16" s="703" customFormat="1" ht="18" customHeight="1" x14ac:dyDescent="0.2">
      <c r="B31" s="1714"/>
      <c r="C31" s="1715" t="str">
        <f>CONCATENATE('Revenue Jrnl'!AM4," - ",'Revenue Jrnl'!AM5)</f>
        <v>4400 - Other Fundraising</v>
      </c>
      <c r="D31" s="1715"/>
      <c r="E31" s="1715"/>
      <c r="F31" s="1715"/>
      <c r="G31" s="1715"/>
      <c r="H31" s="1715"/>
      <c r="I31" s="1715"/>
      <c r="J31" s="1715"/>
      <c r="K31" s="1715"/>
    </row>
    <row r="32" spans="2:16" s="703" customFormat="1" ht="18" customHeight="1" x14ac:dyDescent="0.2">
      <c r="B32" s="1714"/>
      <c r="C32" s="1716" t="str">
        <f>LEFT('Revenue Jrnl'!AM7,1)</f>
        <v>4</v>
      </c>
      <c r="D32" s="1040" t="str">
        <f>RIGHT('Revenue Jrnl'!AM$7,3)</f>
        <v>(a)</v>
      </c>
      <c r="E32" s="1045">
        <f>+'Revenue Jrnl'!AM6</f>
        <v>4410</v>
      </c>
      <c r="F32" s="1725" t="str">
        <f>IF('Revenue Jrnl'!AM$8="Available (Rename)","Available",'Revenue Jrnl'!AM$8)</f>
        <v>Tagging (Fall)</v>
      </c>
      <c r="G32" s="1725"/>
      <c r="H32" s="1725"/>
      <c r="I32" s="1725"/>
      <c r="J32" s="1058">
        <f>+'Revenue Jrnl'!AM516</f>
        <v>0</v>
      </c>
      <c r="K32" s="1702"/>
      <c r="L32" s="1059"/>
      <c r="M32" s="1059"/>
      <c r="N32" s="1059"/>
    </row>
    <row r="33" spans="2:14" s="703" customFormat="1" ht="18" customHeight="1" x14ac:dyDescent="0.2">
      <c r="B33" s="1714"/>
      <c r="C33" s="1716"/>
      <c r="D33" s="1044" t="str">
        <f>RIGHT('Revenue Jrnl'!AN$7,3)</f>
        <v>(b)</v>
      </c>
      <c r="E33" s="1045">
        <f>+'Revenue Jrnl'!AN6</f>
        <v>4420</v>
      </c>
      <c r="F33" s="1725" t="str">
        <f>IF('Revenue Jrnl'!AN$8="Available (Rename)","Available",'Revenue Jrnl'!AN$8)</f>
        <v>Tagging (Spring)</v>
      </c>
      <c r="G33" s="1725"/>
      <c r="H33" s="1725"/>
      <c r="I33" s="1725"/>
      <c r="J33" s="1055">
        <f>+'Revenue Jrnl'!AN516</f>
        <v>0</v>
      </c>
      <c r="K33" s="1702"/>
      <c r="N33" s="709"/>
    </row>
    <row r="34" spans="2:14" s="703" customFormat="1" ht="18" customHeight="1" x14ac:dyDescent="0.2">
      <c r="B34" s="1714"/>
      <c r="C34" s="1716"/>
      <c r="D34" s="1044" t="str">
        <f>RIGHT('Revenue Jrnl'!AO$7,3)</f>
        <v>(c)</v>
      </c>
      <c r="E34" s="1045">
        <f>+'Revenue Jrnl'!AO6</f>
        <v>4430</v>
      </c>
      <c r="F34" s="1725" t="str">
        <f>IF('Revenue Jrnl'!AO$8="Available (Rename)","Available",'Revenue Jrnl'!AO$8)</f>
        <v>Annual Ticket Sales &amp; Such</v>
      </c>
      <c r="G34" s="1725"/>
      <c r="H34" s="1725"/>
      <c r="I34" s="1725"/>
      <c r="J34" s="1055">
        <f>+'Revenue Jrnl'!AO516</f>
        <v>0</v>
      </c>
      <c r="K34" s="1702"/>
      <c r="N34" s="709"/>
    </row>
    <row r="35" spans="2:14" s="703" customFormat="1" ht="18" customHeight="1" x14ac:dyDescent="0.2">
      <c r="B35" s="1714"/>
      <c r="C35" s="1716"/>
      <c r="D35" s="1044" t="str">
        <f>RIGHT('Revenue Jrnl'!AP$7,3)</f>
        <v>(d)</v>
      </c>
      <c r="E35" s="1045">
        <f>+'Revenue Jrnl'!AP6</f>
        <v>4440</v>
      </c>
      <c r="F35" s="1725" t="str">
        <f>IF('Revenue Jrnl'!AP$8="Available (Rename)","Available",'Revenue Jrnl'!AP$8)</f>
        <v>Bottle Drive</v>
      </c>
      <c r="G35" s="1725"/>
      <c r="H35" s="1725"/>
      <c r="I35" s="1725"/>
      <c r="J35" s="1055">
        <f>+'Revenue Jrnl'!AP516</f>
        <v>0</v>
      </c>
      <c r="K35" s="1702"/>
      <c r="N35" s="709"/>
    </row>
    <row r="36" spans="2:14" s="703" customFormat="1" ht="18" customHeight="1" x14ac:dyDescent="0.2">
      <c r="B36" s="1714"/>
      <c r="C36" s="1716"/>
      <c r="D36" s="1044" t="str">
        <f>RIGHT('Revenue Jrnl'!AQ$7,3)</f>
        <v>(e)</v>
      </c>
      <c r="E36" s="1045">
        <f>+'Revenue Jrnl'!AQ$6</f>
        <v>4450</v>
      </c>
      <c r="F36" s="1725" t="str">
        <f>IF('Revenue Jrnl'!AQ$8="Available (Rename)","Available",'Revenue Jrnl'!AQ$8)</f>
        <v>Available</v>
      </c>
      <c r="G36" s="1725"/>
      <c r="H36" s="1725"/>
      <c r="I36" s="1725"/>
      <c r="J36" s="1055">
        <f>+'Revenue Jrnl'!AQ516</f>
        <v>0</v>
      </c>
      <c r="K36" s="1702"/>
      <c r="N36" s="709"/>
    </row>
    <row r="37" spans="2:14" s="703" customFormat="1" ht="18" customHeight="1" x14ac:dyDescent="0.2">
      <c r="B37" s="1714"/>
      <c r="C37" s="1716"/>
      <c r="D37" s="1044" t="str">
        <f>RIGHT('Revenue Jrnl'!AR$7,3)</f>
        <v>(f)</v>
      </c>
      <c r="E37" s="1045">
        <f>+'Revenue Jrnl'!AR$6</f>
        <v>4460</v>
      </c>
      <c r="F37" s="1725" t="str">
        <f>IF('Revenue Jrnl'!AR$8="Available (Rename)","Available",'Revenue Jrnl'!AR$8)</f>
        <v>Available</v>
      </c>
      <c r="G37" s="1725"/>
      <c r="H37" s="1725"/>
      <c r="I37" s="1725"/>
      <c r="J37" s="1046">
        <f>+'Revenue Jrnl'!AR516</f>
        <v>0</v>
      </c>
      <c r="K37" s="1702"/>
      <c r="N37" s="709"/>
    </row>
    <row r="38" spans="2:14" s="703" customFormat="1" ht="18" customHeight="1" x14ac:dyDescent="0.2">
      <c r="B38" s="1714"/>
      <c r="C38" s="1716"/>
      <c r="D38" s="1044" t="str">
        <f>RIGHT('Revenue Jrnl'!AS$7,3)</f>
        <v>(g)</v>
      </c>
      <c r="E38" s="1045">
        <f>+'Revenue Jrnl'!AS$6</f>
        <v>4470</v>
      </c>
      <c r="F38" s="1725" t="str">
        <f>IF('Revenue Jrnl'!AS$8="Available (Rename)","Available",'Revenue Jrnl'!AS$8)</f>
        <v>Available</v>
      </c>
      <c r="G38" s="1725"/>
      <c r="H38" s="1725"/>
      <c r="I38" s="1725"/>
      <c r="J38" s="1046">
        <f>+'Revenue Jrnl'!AS$516</f>
        <v>0</v>
      </c>
      <c r="K38" s="1702"/>
      <c r="N38" s="709"/>
    </row>
    <row r="39" spans="2:14" s="703" customFormat="1" ht="18" customHeight="1" x14ac:dyDescent="0.2">
      <c r="B39" s="1714"/>
      <c r="C39" s="1716"/>
      <c r="D39" s="1044" t="str">
        <f>RIGHT('Revenue Jrnl'!AT$7,3)</f>
        <v>(h)</v>
      </c>
      <c r="E39" s="1045">
        <f>+'Revenue Jrnl'!AT$6</f>
        <v>4480</v>
      </c>
      <c r="F39" s="1725" t="str">
        <f>IF('Revenue Jrnl'!AT$8="Available (Rename)","Available",'Revenue Jrnl'!AT$8)</f>
        <v>Available</v>
      </c>
      <c r="G39" s="1725"/>
      <c r="H39" s="1725"/>
      <c r="I39" s="1725"/>
      <c r="J39" s="1046">
        <f>+'Revenue Jrnl'!AT$516</f>
        <v>0</v>
      </c>
      <c r="K39" s="1702"/>
      <c r="N39" s="709"/>
    </row>
    <row r="40" spans="2:14" s="703" customFormat="1" ht="18" customHeight="1" x14ac:dyDescent="0.2">
      <c r="B40" s="1714"/>
      <c r="C40" s="1716"/>
      <c r="D40" s="1048" t="str">
        <f>RIGHT('Revenue Jrnl'!AU$7,3)</f>
        <v>(i)</v>
      </c>
      <c r="E40" s="1045">
        <f>+'Revenue Jrnl'!AU$6</f>
        <v>4490</v>
      </c>
      <c r="F40" s="1725" t="str">
        <f>IF('Revenue Jrnl'!AU$8="Available (Rename)","Available",'Revenue Jrnl'!AU$8)</f>
        <v>Available</v>
      </c>
      <c r="G40" s="1725"/>
      <c r="H40" s="1725"/>
      <c r="I40" s="1725"/>
      <c r="J40" s="1046">
        <f>+'Revenue Jrnl'!AU$516</f>
        <v>0</v>
      </c>
      <c r="K40" s="1702"/>
      <c r="N40" s="709"/>
    </row>
    <row r="41" spans="2:14" s="703" customFormat="1" ht="18" customHeight="1" x14ac:dyDescent="0.2">
      <c r="B41" s="1714"/>
      <c r="C41" s="1049"/>
      <c r="D41" s="1060"/>
      <c r="E41" s="1056">
        <v>4499</v>
      </c>
      <c r="F41" s="1723" t="str">
        <f>CONCATENATE('Revenue Jrnl'!AM5," - ","Total")</f>
        <v>Other Fundraising - Total</v>
      </c>
      <c r="G41" s="1723"/>
      <c r="H41" s="1723"/>
      <c r="I41" s="1723"/>
      <c r="J41" s="1723"/>
      <c r="K41" s="1057">
        <f>SUM(J32:J40)</f>
        <v>0</v>
      </c>
      <c r="N41" s="709"/>
    </row>
    <row r="42" spans="2:14" s="703" customFormat="1" ht="12.75" customHeight="1" x14ac:dyDescent="0.2">
      <c r="B42" s="1061"/>
      <c r="C42" s="1061"/>
      <c r="D42" s="592"/>
      <c r="E42" s="592"/>
      <c r="F42" s="592"/>
      <c r="G42" s="592"/>
      <c r="H42" s="592"/>
      <c r="I42" s="592"/>
      <c r="J42" s="592"/>
      <c r="K42" s="1062" t="s">
        <v>394</v>
      </c>
      <c r="N42" s="709"/>
    </row>
    <row r="43" spans="2:14" s="703" customFormat="1" ht="18" customHeight="1" x14ac:dyDescent="0.2">
      <c r="B43" s="1726"/>
      <c r="C43" s="1715" t="str">
        <f>CONCATENATE('Revenue Jrnl'!AV4," - ",'Revenue Jrnl'!AV5)</f>
        <v>4600 - Misc Revenues (Other than Gov't)</v>
      </c>
      <c r="D43" s="1715"/>
      <c r="E43" s="1715"/>
      <c r="F43" s="1715"/>
      <c r="G43" s="1715"/>
      <c r="H43" s="1715"/>
      <c r="I43" s="1715"/>
      <c r="J43" s="1715"/>
      <c r="K43" s="1715"/>
    </row>
    <row r="44" spans="2:14" ht="18" customHeight="1" x14ac:dyDescent="0.2">
      <c r="B44" s="1726"/>
      <c r="C44" s="1716" t="str">
        <f>LEFT('Revenue Jrnl'!AV7,1)</f>
        <v>6</v>
      </c>
      <c r="D44" s="1040" t="str">
        <f>RIGHT('Revenue Jrnl'!AV$7,3)</f>
        <v>(a)</v>
      </c>
      <c r="E44" s="1045">
        <f>+'Revenue Jrnl'!AV6</f>
        <v>4610</v>
      </c>
      <c r="F44" s="1719" t="str">
        <f>+'Revenue Jrnl'!AV8</f>
        <v>Money Collected for Activities</v>
      </c>
      <c r="G44" s="1719"/>
      <c r="H44" s="1719"/>
      <c r="I44" s="1719"/>
      <c r="J44" s="1053">
        <f>+'Revenue Jrnl'!AV516</f>
        <v>0</v>
      </c>
      <c r="K44" s="1702"/>
      <c r="M44" s="143"/>
      <c r="N44" s="709"/>
    </row>
    <row r="45" spans="2:14" ht="18" customHeight="1" x14ac:dyDescent="0.2">
      <c r="B45" s="1726"/>
      <c r="C45" s="1716"/>
      <c r="D45" s="1044" t="str">
        <f>RIGHT('Revenue Jrnl'!AW$7,3)</f>
        <v>(b)</v>
      </c>
      <c r="E45" s="1045">
        <f>+'Revenue Jrnl'!AW6</f>
        <v>4620</v>
      </c>
      <c r="F45" s="1719" t="str">
        <f>+'Revenue Jrnl'!AW8</f>
        <v>Refunds</v>
      </c>
      <c r="G45" s="1719"/>
      <c r="H45" s="1719"/>
      <c r="I45" s="1719"/>
      <c r="J45" s="1055">
        <f>+'Revenue Jrnl'!AW516</f>
        <v>0</v>
      </c>
      <c r="K45" s="1702"/>
      <c r="M45" s="355"/>
      <c r="N45" s="709"/>
    </row>
    <row r="46" spans="2:14" ht="18" customHeight="1" x14ac:dyDescent="0.2">
      <c r="B46" s="1726"/>
      <c r="C46" s="1716"/>
      <c r="D46" s="1044" t="str">
        <f>RIGHT('Revenue Jrnl'!AX$7,3)</f>
        <v>(c)</v>
      </c>
      <c r="E46" s="1045">
        <f>+'Revenue Jrnl'!AX6</f>
        <v>4630</v>
      </c>
      <c r="F46" s="1719" t="str">
        <f>+'Revenue Jrnl'!AX8</f>
        <v>Canteen Proceeds</v>
      </c>
      <c r="G46" s="1719"/>
      <c r="H46" s="1719"/>
      <c r="I46" s="1719"/>
      <c r="J46" s="1055">
        <f>+'Revenue Jrnl'!AX516</f>
        <v>0</v>
      </c>
      <c r="K46" s="1702"/>
      <c r="M46" s="355"/>
      <c r="N46" s="709"/>
    </row>
    <row r="47" spans="2:14" ht="18" customHeight="1" x14ac:dyDescent="0.2">
      <c r="B47" s="1726"/>
      <c r="C47" s="1716"/>
      <c r="D47" s="1044" t="str">
        <f>RIGHT('Revenue Jrnl'!AY$7,3)</f>
        <v>(d)</v>
      </c>
      <c r="E47" s="1045">
        <f>+'Revenue Jrnl'!AY6</f>
        <v>4640</v>
      </c>
      <c r="F47" s="1719" t="str">
        <f>+'Revenue Jrnl'!AY8</f>
        <v>Sale of Sqn Logo Items</v>
      </c>
      <c r="G47" s="1719"/>
      <c r="H47" s="1719"/>
      <c r="I47" s="1719"/>
      <c r="J47" s="1055">
        <f>+'Revenue Jrnl'!AY516</f>
        <v>0</v>
      </c>
      <c r="K47" s="1702"/>
      <c r="M47" s="355"/>
      <c r="N47" s="709"/>
    </row>
    <row r="48" spans="2:14" ht="18" customHeight="1" x14ac:dyDescent="0.2">
      <c r="B48" s="1726"/>
      <c r="C48" s="1716"/>
      <c r="D48" s="1044" t="str">
        <f>RIGHT('Revenue Jrnl'!AZ$7,3)</f>
        <v>(e)</v>
      </c>
      <c r="E48" s="1045">
        <f>+'Revenue Jrnl'!AZ6</f>
        <v>4650</v>
      </c>
      <c r="F48" s="1719" t="str">
        <f>+'Revenue Jrnl'!AZ8</f>
        <v>Bank &amp; Investments Interest/Income</v>
      </c>
      <c r="G48" s="1719"/>
      <c r="H48" s="1719"/>
      <c r="I48" s="1719"/>
      <c r="J48" s="1055">
        <f>+'Revenue Jrnl'!AZ516</f>
        <v>0</v>
      </c>
      <c r="K48" s="1702"/>
      <c r="M48" s="355"/>
      <c r="N48" s="709"/>
    </row>
    <row r="49" spans="2:16" ht="18" customHeight="1" x14ac:dyDescent="0.2">
      <c r="B49" s="1726"/>
      <c r="C49" s="1716"/>
      <c r="D49" s="1044" t="str">
        <f>RIGHT('Revenue Jrnl'!BA$7,3)</f>
        <v>(f)</v>
      </c>
      <c r="E49" s="1045">
        <f>+'Revenue Jrnl'!BA6</f>
        <v>4660</v>
      </c>
      <c r="F49" s="1719" t="str">
        <f>+'Revenue Jrnl'!BA8</f>
        <v>Capital Gains</v>
      </c>
      <c r="G49" s="1719"/>
      <c r="H49" s="1719"/>
      <c r="I49" s="1719"/>
      <c r="J49" s="1055">
        <f>+'Revenue Jrnl'!BA516</f>
        <v>0</v>
      </c>
      <c r="K49" s="1702"/>
      <c r="M49" s="355"/>
      <c r="N49" s="709"/>
    </row>
    <row r="50" spans="2:16" ht="18" customHeight="1" x14ac:dyDescent="0.2">
      <c r="B50" s="1726"/>
      <c r="C50" s="1716"/>
      <c r="D50" s="1044" t="str">
        <f>RIGHT('Revenue Jrnl'!BB$7,3)</f>
        <v>(g)</v>
      </c>
      <c r="E50" s="1045">
        <f>+'Revenue Jrnl'!BB6</f>
        <v>4670</v>
      </c>
      <c r="F50" s="1719" t="str">
        <f>IF('Revenue Jrnl'!BB$8="Available (Rename)","Available",'Revenue Jrnl'!BB$8)</f>
        <v>Assessments</v>
      </c>
      <c r="G50" s="1719"/>
      <c r="H50" s="1719"/>
      <c r="I50" s="1719"/>
      <c r="J50" s="1055">
        <f>+'Revenue Jrnl'!BB516</f>
        <v>0</v>
      </c>
      <c r="K50" s="1702"/>
      <c r="M50" s="355"/>
      <c r="N50" s="709"/>
    </row>
    <row r="51" spans="2:16" ht="18" customHeight="1" x14ac:dyDescent="0.2">
      <c r="B51" s="1726"/>
      <c r="C51" s="1716"/>
      <c r="D51" s="1044" t="str">
        <f>RIGHT('Revenue Jrnl'!BC$7,3)</f>
        <v>(h)</v>
      </c>
      <c r="E51" s="1045">
        <f>+'Revenue Jrnl'!BC6</f>
        <v>4680</v>
      </c>
      <c r="F51" s="1719" t="str">
        <f>IF('Revenue Jrnl'!BC$8="Available (Rename)","Available",'Revenue Jrnl'!BC$8)</f>
        <v>Rental Income</v>
      </c>
      <c r="G51" s="1719"/>
      <c r="H51" s="1719"/>
      <c r="I51" s="1719"/>
      <c r="J51" s="1055">
        <f>+'Revenue Jrnl'!BC516</f>
        <v>0</v>
      </c>
      <c r="K51" s="1702"/>
      <c r="M51" s="355"/>
      <c r="N51" s="709"/>
    </row>
    <row r="52" spans="2:16" ht="18" customHeight="1" x14ac:dyDescent="0.2">
      <c r="B52" s="1726"/>
      <c r="C52" s="1716"/>
      <c r="D52" s="1048" t="str">
        <f>RIGHT('Revenue Jrnl'!BD$7,3)</f>
        <v>(i)</v>
      </c>
      <c r="E52" s="1045">
        <f>+'Revenue Jrnl'!BD6</f>
        <v>4690</v>
      </c>
      <c r="F52" s="1719" t="str">
        <f>IF('Revenue Jrnl'!BD$8="Available (Rename)","Available",'Revenue Jrnl'!BD$8)</f>
        <v>Available</v>
      </c>
      <c r="G52" s="1719"/>
      <c r="H52" s="1719"/>
      <c r="I52" s="1719"/>
      <c r="J52" s="1055">
        <f>+'Revenue Jrnl'!BD516</f>
        <v>0</v>
      </c>
      <c r="K52" s="1702"/>
      <c r="M52" s="355"/>
      <c r="N52" s="709"/>
    </row>
    <row r="53" spans="2:16" ht="18" customHeight="1" x14ac:dyDescent="0.2">
      <c r="B53" s="1726"/>
      <c r="C53" s="677"/>
      <c r="D53" s="1060"/>
      <c r="E53" s="1056">
        <v>4699</v>
      </c>
      <c r="F53" s="1723" t="str">
        <f>CONCATENATE('Revenue Jrnl'!AV5," - ","Total")</f>
        <v>Misc Revenues (Other than Gov't) - Total</v>
      </c>
      <c r="G53" s="1723"/>
      <c r="H53" s="1723"/>
      <c r="I53" s="1723"/>
      <c r="J53" s="1723"/>
      <c r="K53" s="1057">
        <f>SUM(J44:J52)</f>
        <v>0</v>
      </c>
      <c r="L53" s="1026"/>
      <c r="M53" s="347"/>
      <c r="N53" s="709"/>
    </row>
    <row r="54" spans="2:16" s="1" customFormat="1" x14ac:dyDescent="0.2">
      <c r="C54" s="1586"/>
      <c r="D54" s="1586"/>
      <c r="E54" s="1586"/>
      <c r="F54" s="1586"/>
      <c r="G54" s="1586"/>
      <c r="H54" s="1586"/>
      <c r="I54" s="1586"/>
      <c r="J54" s="1586"/>
      <c r="K54" s="1586"/>
    </row>
    <row r="55" spans="2:16" s="1" customFormat="1" ht="18" customHeight="1" x14ac:dyDescent="0.2">
      <c r="B55" s="1729"/>
      <c r="C55" s="1715" t="str">
        <f>CONCATENATE('Revenue Jrnl'!BE4," - ",'Revenue Jrnl'!BE5)</f>
        <v>4800 - Funding &amp; Recoveries (Gov't)</v>
      </c>
      <c r="D55" s="1715"/>
      <c r="E55" s="1715"/>
      <c r="F55" s="1715"/>
      <c r="G55" s="1715"/>
      <c r="H55" s="1715"/>
      <c r="I55" s="1715"/>
      <c r="J55" s="1715"/>
      <c r="K55" s="1715"/>
    </row>
    <row r="56" spans="2:16" s="1" customFormat="1" ht="18" customHeight="1" x14ac:dyDescent="0.2">
      <c r="B56" s="1729"/>
      <c r="C56" s="1716" t="str">
        <f>LEFT('Revenue Jrnl'!BE7,1)</f>
        <v>8</v>
      </c>
      <c r="D56" s="1040" t="str">
        <f>RIGHT('Revenue Jrnl'!BE$7,3)</f>
        <v>(a)</v>
      </c>
      <c r="E56" s="1045">
        <f>+'Revenue Jrnl'!BE6</f>
        <v>4810</v>
      </c>
      <c r="F56" s="1719" t="str">
        <f>+'Revenue Jrnl'!BE$8</f>
        <v>DND Local Support Allocation (LSA)</v>
      </c>
      <c r="G56" s="1719"/>
      <c r="H56" s="1719"/>
      <c r="I56" s="1719"/>
      <c r="J56" s="1063">
        <f>+'Revenue Jrnl'!BE516</f>
        <v>0</v>
      </c>
      <c r="K56" s="1708"/>
    </row>
    <row r="57" spans="2:16" s="1" customFormat="1" ht="18" customHeight="1" x14ac:dyDescent="0.2">
      <c r="B57" s="1729"/>
      <c r="C57" s="1716"/>
      <c r="D57" s="1044" t="str">
        <f>RIGHT('Revenue Jrnl'!BF$7,3)</f>
        <v>(b)</v>
      </c>
      <c r="E57" s="1045">
        <f>+'Revenue Jrnl'!BF6</f>
        <v>4820</v>
      </c>
      <c r="F57" s="1719" t="str">
        <f>+'Revenue Jrnl'!BF$8</f>
        <v>DND Allocation - Mandatory and Complementary Pgm (MCP)</v>
      </c>
      <c r="G57" s="1719"/>
      <c r="H57" s="1719"/>
      <c r="I57" s="1719"/>
      <c r="J57" s="1046">
        <f>+'Revenue Jrnl'!BF516</f>
        <v>0</v>
      </c>
      <c r="K57" s="1708"/>
      <c r="O57" s="709"/>
    </row>
    <row r="58" spans="2:16" s="1" customFormat="1" ht="18" customHeight="1" x14ac:dyDescent="0.2">
      <c r="B58" s="1729"/>
      <c r="C58" s="1716"/>
      <c r="D58" s="1044" t="str">
        <f>RIGHT('Revenue Jrnl'!BG$7,3)</f>
        <v>(c)</v>
      </c>
      <c r="E58" s="1045">
        <f>+'Revenue Jrnl'!BG6</f>
        <v>4830</v>
      </c>
      <c r="F58" s="1719" t="str">
        <f>+'Revenue Jrnl'!BG$8</f>
        <v>Federal Portion - Tax Rebate</v>
      </c>
      <c r="G58" s="1719"/>
      <c r="H58" s="1719"/>
      <c r="I58" s="1719"/>
      <c r="J58" s="1046">
        <f>+'Revenue Jrnl'!BG516</f>
        <v>0</v>
      </c>
      <c r="K58" s="1708"/>
      <c r="L58" s="806"/>
      <c r="M58" s="432"/>
      <c r="N58" s="432"/>
      <c r="O58" s="709"/>
      <c r="P58" s="432"/>
    </row>
    <row r="59" spans="2:16" s="1" customFormat="1" ht="18" customHeight="1" x14ac:dyDescent="0.2">
      <c r="B59" s="1729"/>
      <c r="C59" s="1716"/>
      <c r="D59" s="1044" t="str">
        <f>RIGHT('Revenue Jrnl'!BH$7,3)</f>
        <v>(d)</v>
      </c>
      <c r="E59" s="1045">
        <f>+'Revenue Jrnl'!BH$6</f>
        <v>4840</v>
      </c>
      <c r="F59" s="1719" t="str">
        <f>+'Revenue Jrnl'!BH$8</f>
        <v>Governmental Grants - Provincial</v>
      </c>
      <c r="G59" s="1719"/>
      <c r="H59" s="1719"/>
      <c r="I59" s="1719"/>
      <c r="J59" s="1046">
        <f>+'Revenue Jrnl'!BH$516</f>
        <v>0</v>
      </c>
      <c r="K59" s="1708"/>
      <c r="O59" s="709"/>
    </row>
    <row r="60" spans="2:16" s="1" customFormat="1" ht="18" customHeight="1" x14ac:dyDescent="0.2">
      <c r="B60" s="1729"/>
      <c r="C60" s="1716"/>
      <c r="D60" s="1044" t="str">
        <f>RIGHT('Revenue Jrnl'!BI$7,3)</f>
        <v>(e)</v>
      </c>
      <c r="E60" s="1045">
        <f>+'Revenue Jrnl'!BI$6</f>
        <v>4850</v>
      </c>
      <c r="F60" s="1719" t="str">
        <f>IF('Revenue Jrnl'!BI$8="Available (Rename)","Available",'Revenue Jrnl'!BI$8)</f>
        <v>Available</v>
      </c>
      <c r="G60" s="1719"/>
      <c r="H60" s="1719"/>
      <c r="I60" s="1719"/>
      <c r="J60" s="1046">
        <f>+'Revenue Jrnl'!BI$516</f>
        <v>0</v>
      </c>
      <c r="K60" s="1708"/>
      <c r="O60" s="709"/>
    </row>
    <row r="61" spans="2:16" s="1" customFormat="1" ht="18" customHeight="1" x14ac:dyDescent="0.2">
      <c r="B61" s="1729"/>
      <c r="C61" s="1716"/>
      <c r="D61" s="1044" t="str">
        <f>RIGHT('Revenue Jrnl'!BJ$7,3)</f>
        <v>(f)</v>
      </c>
      <c r="E61" s="1045">
        <f>+'Revenue Jrnl'!BJ$6</f>
        <v>4860</v>
      </c>
      <c r="F61" s="1719" t="str">
        <f>IF('Revenue Jrnl'!BJ$8="Available (Rename)","Available",'Revenue Jrnl'!BJ$8)</f>
        <v>Provincial Portion - Tax Rebate</v>
      </c>
      <c r="G61" s="1719"/>
      <c r="H61" s="1719"/>
      <c r="I61" s="1719"/>
      <c r="J61" s="1046">
        <f>+'Revenue Jrnl'!BJ$516</f>
        <v>0</v>
      </c>
      <c r="K61" s="1708"/>
      <c r="O61" s="709"/>
    </row>
    <row r="62" spans="2:16" s="1" customFormat="1" ht="18" customHeight="1" x14ac:dyDescent="0.2">
      <c r="B62" s="1729"/>
      <c r="C62" s="1716"/>
      <c r="D62" s="1044" t="str">
        <f>RIGHT('Revenue Jrnl'!BK$7,3)</f>
        <v>(g)</v>
      </c>
      <c r="E62" s="1045">
        <f>+'Revenue Jrnl'!BK$6</f>
        <v>4870</v>
      </c>
      <c r="F62" s="1719" t="str">
        <f>+'Revenue Jrnl'!BK$8</f>
        <v>Governmental Grants - Regional/
Municipal</v>
      </c>
      <c r="G62" s="1719"/>
      <c r="H62" s="1719"/>
      <c r="I62" s="1719"/>
      <c r="J62" s="1046">
        <f>+'Revenue Jrnl'!BK$516</f>
        <v>0</v>
      </c>
      <c r="K62" s="1708"/>
      <c r="O62" s="709"/>
    </row>
    <row r="63" spans="2:16" s="1" customFormat="1" ht="18" customHeight="1" x14ac:dyDescent="0.2">
      <c r="B63" s="1729"/>
      <c r="C63" s="1716"/>
      <c r="D63" s="1044" t="str">
        <f>RIGHT('Revenue Jrnl'!BL$7,3)</f>
        <v>(h)</v>
      </c>
      <c r="E63" s="1045">
        <f>+'Revenue Jrnl'!BL$6</f>
        <v>4880</v>
      </c>
      <c r="F63" s="1719" t="str">
        <f>IF('Revenue Jrnl'!BL$8="Available (Rename)","Available",'Revenue Jrnl'!BL$8)</f>
        <v>Available</v>
      </c>
      <c r="G63" s="1719"/>
      <c r="H63" s="1719"/>
      <c r="I63" s="1719"/>
      <c r="J63" s="1046">
        <f>+'Revenue Jrnl'!BL$516</f>
        <v>0</v>
      </c>
      <c r="K63" s="1708"/>
      <c r="O63" s="709"/>
    </row>
    <row r="64" spans="2:16" s="1" customFormat="1" ht="18" customHeight="1" x14ac:dyDescent="0.2">
      <c r="B64" s="1729"/>
      <c r="C64" s="1716"/>
      <c r="D64" s="1048" t="str">
        <f>RIGHT('Revenue Jrnl'!BM$7,3)</f>
        <v>(i)</v>
      </c>
      <c r="E64" s="1045">
        <f>+'Revenue Jrnl'!BM$6</f>
        <v>4890</v>
      </c>
      <c r="F64" s="1719" t="str">
        <f>IF('Revenue Jrnl'!BM$8="Available (Rename)","Available",'Revenue Jrnl'!BM$8)</f>
        <v>Available</v>
      </c>
      <c r="G64" s="1719"/>
      <c r="H64" s="1719"/>
      <c r="I64" s="1719"/>
      <c r="J64" s="1046">
        <f>+'Revenue Jrnl'!BM$516</f>
        <v>0</v>
      </c>
      <c r="K64" s="1708"/>
      <c r="O64" s="709"/>
    </row>
    <row r="65" spans="2:15" s="1" customFormat="1" ht="18" customHeight="1" x14ac:dyDescent="0.2">
      <c r="B65" s="1729"/>
      <c r="C65" s="677"/>
      <c r="D65" s="1060"/>
      <c r="E65" s="1056">
        <v>4899</v>
      </c>
      <c r="F65" s="1723" t="str">
        <f>CONCATENATE('Revenue Jrnl'!BE5," - ","Total")</f>
        <v>Funding &amp; Recoveries (Gov't) - Total</v>
      </c>
      <c r="G65" s="1723"/>
      <c r="H65" s="1723"/>
      <c r="I65" s="1723"/>
      <c r="J65" s="1723"/>
      <c r="K65" s="1057">
        <f>SUM(J56:J64)</f>
        <v>0</v>
      </c>
      <c r="O65" s="709"/>
    </row>
    <row r="66" spans="2:15" s="1" customFormat="1" x14ac:dyDescent="0.2">
      <c r="D66" s="1009"/>
      <c r="E66" s="1064"/>
      <c r="F66" s="1065"/>
      <c r="G66" s="80"/>
      <c r="J66" s="703"/>
      <c r="K66" s="355"/>
      <c r="O66" s="709"/>
    </row>
    <row r="67" spans="2:15" s="1" customFormat="1" ht="18" customHeight="1" x14ac:dyDescent="0.2">
      <c r="C67" s="143"/>
      <c r="D67" s="1066"/>
      <c r="E67" s="1067">
        <v>5000</v>
      </c>
      <c r="F67" s="1727" t="str">
        <f>IF(N4=2,"TOTAL des revenus (reporté à la ligne 5000 page 5):","TOTAL Income (forwarded to line 5000 page 5):")</f>
        <v>TOTAL Income (forwarded to line 5000 page 5):</v>
      </c>
      <c r="G67" s="1727"/>
      <c r="H67" s="1727"/>
      <c r="I67" s="1727"/>
      <c r="J67" s="1727"/>
      <c r="K67" s="1068">
        <f>K65+K53+K41+K29+K17</f>
        <v>0</v>
      </c>
      <c r="M67" s="1069"/>
    </row>
    <row r="68" spans="2:15" s="1" customFormat="1" ht="18" customHeight="1" x14ac:dyDescent="0.2">
      <c r="C68" s="1728"/>
      <c r="D68" s="1728"/>
      <c r="E68" s="1728"/>
      <c r="F68" s="1728"/>
      <c r="G68" s="80"/>
      <c r="I68" s="611"/>
      <c r="J68" s="703"/>
      <c r="K68" s="1070" t="s">
        <v>395</v>
      </c>
    </row>
    <row r="69" spans="2:15" s="1" customFormat="1" x14ac:dyDescent="0.2">
      <c r="C69" s="1728"/>
      <c r="D69" s="1728"/>
      <c r="E69" s="1728"/>
      <c r="F69" s="1728"/>
      <c r="G69" s="80"/>
      <c r="J69" s="703"/>
      <c r="K69" s="355"/>
    </row>
    <row r="70" spans="2:15" ht="12.75" customHeight="1" x14ac:dyDescent="0.2"/>
    <row r="71" spans="2:15" s="703" customFormat="1" ht="15" customHeight="1" x14ac:dyDescent="0.2">
      <c r="B71" s="1"/>
      <c r="C71" s="1"/>
      <c r="D71" s="1"/>
      <c r="E71" s="1"/>
      <c r="F71" s="1"/>
      <c r="G71" s="1"/>
      <c r="H71" s="1"/>
      <c r="I71" s="1"/>
      <c r="J71" s="1"/>
      <c r="K71" s="1"/>
      <c r="L71" s="1"/>
      <c r="M71" s="1"/>
    </row>
    <row r="72" spans="2:15" s="703" customFormat="1" ht="15" customHeight="1" x14ac:dyDescent="0.2">
      <c r="B72" s="1"/>
      <c r="C72" s="1"/>
      <c r="D72" s="1"/>
      <c r="E72" s="1"/>
      <c r="F72" s="1"/>
      <c r="G72" s="1"/>
      <c r="H72" s="1"/>
      <c r="I72" s="1"/>
      <c r="J72" s="1"/>
      <c r="K72" s="1"/>
      <c r="L72" s="1"/>
      <c r="M72" s="1"/>
    </row>
    <row r="73" spans="2:15" s="703" customFormat="1" ht="15" customHeight="1" x14ac:dyDescent="0.2">
      <c r="B73" s="1"/>
      <c r="C73" s="1"/>
      <c r="D73" s="1"/>
      <c r="E73" s="1"/>
      <c r="F73" s="1"/>
      <c r="G73" s="1"/>
      <c r="H73" s="1"/>
      <c r="I73" s="1"/>
      <c r="J73" s="1"/>
      <c r="K73" s="1"/>
      <c r="L73" s="1"/>
      <c r="M73" s="1"/>
    </row>
    <row r="74" spans="2:15" ht="15" customHeight="1" x14ac:dyDescent="0.2"/>
    <row r="75" spans="2:15" ht="15" customHeight="1" x14ac:dyDescent="0.2"/>
    <row r="76" spans="2:15" s="703" customFormat="1" ht="15" customHeight="1" x14ac:dyDescent="0.2">
      <c r="B76" s="1"/>
      <c r="C76" s="1"/>
      <c r="D76" s="1"/>
      <c r="E76" s="1"/>
      <c r="F76" s="1"/>
      <c r="G76" s="1"/>
      <c r="H76" s="1"/>
      <c r="I76" s="1"/>
      <c r="J76" s="1"/>
      <c r="K76" s="1"/>
      <c r="L76" s="1"/>
      <c r="M76" s="1"/>
    </row>
    <row r="77" spans="2:15" s="703" customFormat="1" ht="15" customHeight="1" x14ac:dyDescent="0.2">
      <c r="B77" s="1"/>
      <c r="C77" s="1"/>
      <c r="D77" s="1"/>
      <c r="E77" s="1"/>
      <c r="F77" s="1"/>
      <c r="G77" s="1"/>
      <c r="H77" s="1"/>
      <c r="I77" s="1"/>
      <c r="J77" s="1"/>
      <c r="K77" s="1"/>
      <c r="L77" s="1"/>
      <c r="M77" s="1"/>
    </row>
    <row r="78" spans="2:15" ht="15" customHeight="1" x14ac:dyDescent="0.2"/>
  </sheetData>
  <sheetProtection algorithmName="SHA-512" hashValue="0Kz5rc/Cg4dIEnQHa+6VaIxf6sp98CjDcOrqmoRzBAjlhQuwpbYNe8EaZFJEzAxfvQWgq7sQAzbMu9S7mgvv0g==" saltValue="qmQ0G+Cy16LFVsdwvKsV3A==" spinCount="100000" sheet="1" objects="1" scenarios="1" selectLockedCells="1" selectUnlockedCells="1"/>
  <protectedRanges>
    <protectedRange sqref="F60:I64" name="Range2"/>
    <protectedRange sqref="F50:I52" name="Range1"/>
  </protectedRanges>
  <mergeCells count="81">
    <mergeCell ref="F67:J67"/>
    <mergeCell ref="C68:F69"/>
    <mergeCell ref="C54:K54"/>
    <mergeCell ref="B55:B65"/>
    <mergeCell ref="C55:K55"/>
    <mergeCell ref="C56:C64"/>
    <mergeCell ref="F56:I56"/>
    <mergeCell ref="K56:K64"/>
    <mergeCell ref="F57:I57"/>
    <mergeCell ref="F58:I58"/>
    <mergeCell ref="F59:I59"/>
    <mergeCell ref="F60:I60"/>
    <mergeCell ref="F61:I61"/>
    <mergeCell ref="F62:I62"/>
    <mergeCell ref="F63:I63"/>
    <mergeCell ref="F64:I64"/>
    <mergeCell ref="F65:J65"/>
    <mergeCell ref="B43:B53"/>
    <mergeCell ref="C43:K43"/>
    <mergeCell ref="C44:C52"/>
    <mergeCell ref="F44:I44"/>
    <mergeCell ref="K44:K52"/>
    <mergeCell ref="F45:I45"/>
    <mergeCell ref="F46:I46"/>
    <mergeCell ref="F47:I47"/>
    <mergeCell ref="F48:I48"/>
    <mergeCell ref="F49:I49"/>
    <mergeCell ref="F50:I50"/>
    <mergeCell ref="F51:I51"/>
    <mergeCell ref="F52:I52"/>
    <mergeCell ref="F53:J53"/>
    <mergeCell ref="C30:K30"/>
    <mergeCell ref="B31:B41"/>
    <mergeCell ref="C31:K31"/>
    <mergeCell ref="C32:C40"/>
    <mergeCell ref="F32:I32"/>
    <mergeCell ref="K32:K40"/>
    <mergeCell ref="F33:I33"/>
    <mergeCell ref="F34:I34"/>
    <mergeCell ref="F35:I35"/>
    <mergeCell ref="F36:I36"/>
    <mergeCell ref="F37:I37"/>
    <mergeCell ref="F38:I38"/>
    <mergeCell ref="F39:I39"/>
    <mergeCell ref="F40:I40"/>
    <mergeCell ref="F41:J41"/>
    <mergeCell ref="C18:K18"/>
    <mergeCell ref="B19:B29"/>
    <mergeCell ref="C19:K19"/>
    <mergeCell ref="C20:C28"/>
    <mergeCell ref="F20:I20"/>
    <mergeCell ref="K20:K28"/>
    <mergeCell ref="F21:I21"/>
    <mergeCell ref="F22:I22"/>
    <mergeCell ref="F23:I23"/>
    <mergeCell ref="F24:I24"/>
    <mergeCell ref="F25:I25"/>
    <mergeCell ref="F26:I26"/>
    <mergeCell ref="F27:I27"/>
    <mergeCell ref="F28:I28"/>
    <mergeCell ref="F29:J29"/>
    <mergeCell ref="B7:B17"/>
    <mergeCell ref="C7:K7"/>
    <mergeCell ref="C8:C16"/>
    <mergeCell ref="F8:I8"/>
    <mergeCell ref="K8:K16"/>
    <mergeCell ref="F9:I9"/>
    <mergeCell ref="F10:I10"/>
    <mergeCell ref="F11:I11"/>
    <mergeCell ref="F12:I12"/>
    <mergeCell ref="F13:I13"/>
    <mergeCell ref="F14:I14"/>
    <mergeCell ref="F15:I15"/>
    <mergeCell ref="F16:I16"/>
    <mergeCell ref="F17:J17"/>
    <mergeCell ref="B1:K1"/>
    <mergeCell ref="B2:K2"/>
    <mergeCell ref="B3:K3"/>
    <mergeCell ref="B4:K4"/>
    <mergeCell ref="B5:E5"/>
    <mergeCell ref="H5:I5"/>
  </mergeCells>
  <conditionalFormatting sqref="F5 H5">
    <cfRule type="cellIs" dxfId="24" priority="2" operator="equal">
      <formula>0</formula>
    </cfRule>
  </conditionalFormatting>
  <printOptions horizontalCentered="1"/>
  <pageMargins left="0.70833333333333304" right="0.15763888888888899" top="0.35416666666666702" bottom="0.15763888888888899" header="0.511811023622047" footer="0.511811023622047"/>
  <pageSetup scale="75" orientation="portrait" horizontalDpi="300" verticalDpi="300"/>
  <rowBreaks count="1" manualBreakCount="1">
    <brk id="42" max="16383"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A1:AMJ105"/>
  <sheetViews>
    <sheetView showGridLines="0" showRowColHeaders="0" showZeros="0" zoomScale="85" zoomScaleNormal="85" workbookViewId="0">
      <selection activeCell="N1" sqref="N1"/>
    </sheetView>
  </sheetViews>
  <sheetFormatPr defaultColWidth="11.42578125" defaultRowHeight="12.75" x14ac:dyDescent="0.2"/>
  <cols>
    <col min="1" max="1" width="13.28515625" style="1" customWidth="1"/>
    <col min="2" max="2" width="3.28515625" style="1" customWidth="1"/>
    <col min="3" max="3" width="3.7109375" style="1" customWidth="1"/>
    <col min="4" max="4" width="5.42578125" style="1" customWidth="1"/>
    <col min="5" max="5" width="9.5703125" style="1" customWidth="1"/>
    <col min="6" max="6" width="9.140625" style="1" customWidth="1"/>
    <col min="7" max="7" width="9.5703125" style="1" customWidth="1"/>
    <col min="8" max="8" width="9.140625" style="1" customWidth="1"/>
    <col min="9" max="9" width="46.28515625" style="1" customWidth="1"/>
    <col min="10" max="11" width="15.7109375" style="1" customWidth="1"/>
    <col min="12" max="12" width="1.42578125" style="1" customWidth="1"/>
    <col min="13" max="13" width="10.7109375" style="1" hidden="1" customWidth="1"/>
    <col min="14" max="17" width="11.42578125" style="1"/>
    <col min="18" max="18" width="11.42578125" style="1" hidden="1"/>
    <col min="19" max="19" width="11.42578125" style="80"/>
    <col min="20" max="255" width="9.140625" style="1" customWidth="1"/>
    <col min="256" max="1024" width="11.42578125" style="1"/>
  </cols>
  <sheetData>
    <row r="1" spans="2:18" ht="33.75" customHeight="1" x14ac:dyDescent="0.4">
      <c r="B1" s="1452" t="str">
        <f>IF(M4=2,"État des résultats","Statement of Operations")</f>
        <v>Statement of Operations</v>
      </c>
      <c r="C1" s="1452"/>
      <c r="D1" s="1452"/>
      <c r="E1" s="1452"/>
      <c r="F1" s="1452"/>
      <c r="G1" s="1452"/>
      <c r="H1" s="1452"/>
      <c r="I1" s="1452"/>
      <c r="J1" s="1452"/>
      <c r="K1" s="1452"/>
      <c r="L1" s="1031"/>
    </row>
    <row r="2" spans="2:18" ht="33.75" customHeight="1" x14ac:dyDescent="0.2">
      <c r="B2" s="1569">
        <f>'Data Set up'!B2:I2</f>
        <v>0</v>
      </c>
      <c r="C2" s="1569"/>
      <c r="D2" s="1569"/>
      <c r="E2" s="1569"/>
      <c r="F2" s="1569"/>
      <c r="G2" s="1569"/>
      <c r="H2" s="1569"/>
      <c r="I2" s="1569"/>
      <c r="J2" s="1569"/>
      <c r="K2" s="1569"/>
      <c r="L2" s="1031"/>
    </row>
    <row r="3" spans="2:18" ht="53.25" customHeight="1" x14ac:dyDescent="0.3">
      <c r="B3" s="1641" t="str">
        <f>IF(M4=2,"DÉPENSES","EXPENSES")</f>
        <v>EXPENSES</v>
      </c>
      <c r="C3" s="1641"/>
      <c r="D3" s="1641"/>
      <c r="E3" s="1641"/>
      <c r="F3" s="1641"/>
      <c r="G3" s="1641"/>
      <c r="H3" s="1641"/>
      <c r="I3" s="1641"/>
      <c r="J3" s="1641"/>
      <c r="K3" s="1641"/>
      <c r="L3" s="1031"/>
    </row>
    <row r="4" spans="2:18" ht="18.75" customHeight="1" x14ac:dyDescent="0.2">
      <c r="B4" s="1454" t="s">
        <v>396</v>
      </c>
      <c r="C4" s="1454"/>
      <c r="D4" s="1454"/>
      <c r="E4" s="1454"/>
      <c r="F4" s="1454"/>
      <c r="G4" s="1454"/>
      <c r="H4" s="1454"/>
      <c r="I4" s="1454"/>
      <c r="J4" s="1454"/>
      <c r="K4" s="1454"/>
      <c r="L4" s="1031"/>
      <c r="M4" s="152">
        <f>'Data Set up'!K10</f>
        <v>1</v>
      </c>
      <c r="R4" s="1" t="str">
        <f>"STATEMENT OF EXPENSES &amp; SURPLUS (DEFICIT) FOR THE YEAR ENDING " &amp; UPPER(EndOfYear) &amp;","</f>
        <v>STATEMENT OF EXPENSES &amp; SURPLUS (DEFICIT) FOR THE YEAR ENDING 31 AUGUST 2024,</v>
      </c>
    </row>
    <row r="5" spans="2:18" ht="21" customHeight="1" x14ac:dyDescent="0.2">
      <c r="B5" s="1711" t="str">
        <f>'ACC9 (Pages 2-3) Revenues'!B4:K4</f>
        <v>For the period from 1 september 2023 to 31 August 2024</v>
      </c>
      <c r="C5" s="1711"/>
      <c r="D5" s="1711"/>
      <c r="E5" s="1711"/>
      <c r="F5" s="1711"/>
      <c r="G5" s="1711"/>
      <c r="H5" s="1711"/>
      <c r="I5" s="1711"/>
      <c r="J5" s="1711"/>
      <c r="K5" s="1711"/>
      <c r="L5" s="1071"/>
      <c r="R5" s="1" t="str">
        <f>"RELEVÉ DES DÉBOURSÉS ET SURPLUS (DÉFICIT) EXERCISE TERMINÉE LE " &amp; UPPER(EndOfYear) &amp;","</f>
        <v>RELEVÉ DES DÉBOURSÉS ET SURPLUS (DÉFICIT) EXERCISE TERMINÉE LE 31 AUGUST 2024,</v>
      </c>
    </row>
    <row r="6" spans="2:18" ht="12" hidden="1" customHeight="1" x14ac:dyDescent="0.2">
      <c r="B6" s="1730"/>
      <c r="C6" s="1730"/>
      <c r="D6" s="1730"/>
      <c r="E6" s="1730"/>
      <c r="F6" s="1730"/>
      <c r="G6" s="1730"/>
      <c r="H6" s="1730"/>
      <c r="I6" s="1730"/>
      <c r="J6" s="1730"/>
      <c r="K6" s="1730"/>
    </row>
    <row r="7" spans="2:18" ht="14.25" hidden="1" customHeight="1" x14ac:dyDescent="0.2">
      <c r="B7" s="1731"/>
      <c r="C7" s="1731"/>
      <c r="D7" s="1731"/>
      <c r="E7" s="1731"/>
      <c r="F7" s="608"/>
      <c r="G7" s="1036"/>
      <c r="H7" s="1732"/>
      <c r="I7" s="1732"/>
      <c r="J7" s="1036"/>
      <c r="L7" s="1072"/>
    </row>
    <row r="8" spans="2:18" ht="24" customHeight="1" x14ac:dyDescent="0.2">
      <c r="B8" s="1037"/>
      <c r="C8" s="677"/>
      <c r="D8" s="677"/>
      <c r="E8" s="677"/>
      <c r="F8" s="677"/>
      <c r="G8" s="677"/>
      <c r="H8" s="677"/>
      <c r="I8" s="677"/>
      <c r="J8" s="1038"/>
      <c r="L8" s="1072"/>
    </row>
    <row r="9" spans="2:18" ht="18" customHeight="1" x14ac:dyDescent="0.2">
      <c r="B9" s="1073"/>
      <c r="C9" s="1715" t="str">
        <f>CONCATENATE('Expense Jrnl'!P4," - ",'Expense Jrnl'!P5)</f>
        <v>5000 - Administrative &amp; Operating Expenses</v>
      </c>
      <c r="D9" s="1715"/>
      <c r="E9" s="1715"/>
      <c r="F9" s="1715"/>
      <c r="G9" s="1715"/>
      <c r="H9" s="1715"/>
      <c r="I9" s="1715"/>
      <c r="J9" s="1715"/>
      <c r="K9" s="1715"/>
    </row>
    <row r="10" spans="2:18" ht="18" customHeight="1" x14ac:dyDescent="0.2">
      <c r="B10" s="1733"/>
      <c r="C10" s="1716" t="str">
        <f>LEFT('Expense Jrnl'!P7,1)</f>
        <v>1</v>
      </c>
      <c r="D10" s="1074" t="str">
        <f>RIGHT('Expense Jrnl'!P$7,3)</f>
        <v>(a)</v>
      </c>
      <c r="E10" s="1045">
        <f>+'Expense Jrnl'!P6</f>
        <v>5010</v>
      </c>
      <c r="F10" s="1734" t="str">
        <f>+'Expense Jrnl'!P8</f>
        <v>Admin &amp; Office Supplies</v>
      </c>
      <c r="G10" s="1734"/>
      <c r="H10" s="1734"/>
      <c r="I10" s="1734"/>
      <c r="J10" s="1063">
        <f>+'Expense Jrnl'!P516</f>
        <v>0</v>
      </c>
      <c r="K10" s="1735"/>
    </row>
    <row r="11" spans="2:18" ht="18" customHeight="1" x14ac:dyDescent="0.2">
      <c r="B11" s="1733"/>
      <c r="C11" s="1716"/>
      <c r="D11" s="1074" t="str">
        <f>RIGHT('Expense Jrnl'!Q$7,3)</f>
        <v>(b)</v>
      </c>
      <c r="E11" s="1045">
        <f>+'Expense Jrnl'!Q6</f>
        <v>5020</v>
      </c>
      <c r="F11" s="1734" t="str">
        <f>+'Expense Jrnl'!Q8</f>
        <v>Office Equipment</v>
      </c>
      <c r="G11" s="1734"/>
      <c r="H11" s="1734"/>
      <c r="I11" s="1734"/>
      <c r="J11" s="1046">
        <f>+'Expense Jrnl'!Q516</f>
        <v>0</v>
      </c>
      <c r="K11" s="1735"/>
      <c r="M11" s="355"/>
    </row>
    <row r="12" spans="2:18" ht="18" customHeight="1" x14ac:dyDescent="0.2">
      <c r="B12" s="1733"/>
      <c r="C12" s="1716"/>
      <c r="D12" s="1074" t="str">
        <f>RIGHT('Expense Jrnl'!R$7,3)</f>
        <v>(c)</v>
      </c>
      <c r="E12" s="1045">
        <f>+'Expense Jrnl'!R6</f>
        <v>5030</v>
      </c>
      <c r="F12" s="1734" t="str">
        <f>+'Expense Jrnl'!R8</f>
        <v>Sqn Quarters Rental and/or Mortgage Costs</v>
      </c>
      <c r="G12" s="1734"/>
      <c r="H12" s="1734"/>
      <c r="I12" s="1734"/>
      <c r="J12" s="1046">
        <f>+'Expense Jrnl'!R516</f>
        <v>0</v>
      </c>
      <c r="K12" s="1735"/>
    </row>
    <row r="13" spans="2:18" ht="18" customHeight="1" x14ac:dyDescent="0.2">
      <c r="B13" s="1733"/>
      <c r="C13" s="1716"/>
      <c r="D13" s="1074" t="str">
        <f>RIGHT('Expense Jrnl'!S$7,3)</f>
        <v>(d)</v>
      </c>
      <c r="E13" s="1045">
        <f>+'Expense Jrnl'!S6</f>
        <v>5040</v>
      </c>
      <c r="F13" s="1734" t="str">
        <f>+'Expense Jrnl'!S8</f>
        <v>Sqn Quarters Expenditures - Maintenance, Repairs, Expansion, etc</v>
      </c>
      <c r="G13" s="1734"/>
      <c r="H13" s="1734"/>
      <c r="I13" s="1734"/>
      <c r="J13" s="1046">
        <f>+'Expense Jrnl'!S516</f>
        <v>0</v>
      </c>
      <c r="K13" s="1735"/>
    </row>
    <row r="14" spans="2:18" ht="18" customHeight="1" x14ac:dyDescent="0.2">
      <c r="B14" s="1733"/>
      <c r="C14" s="1716"/>
      <c r="D14" s="1074" t="str">
        <f>RIGHT('Expense Jrnl'!T$7,3)</f>
        <v>(e)</v>
      </c>
      <c r="E14" s="1045">
        <f>+'Expense Jrnl'!T6</f>
        <v>5050</v>
      </c>
      <c r="F14" s="1734" t="str">
        <f>+'Expense Jrnl'!T$8</f>
        <v>Utilities/Telephone/Internet/PO Box Rental</v>
      </c>
      <c r="G14" s="1734"/>
      <c r="H14" s="1734"/>
      <c r="I14" s="1734"/>
      <c r="J14" s="1046">
        <f>+'Expense Jrnl'!T$516</f>
        <v>0</v>
      </c>
      <c r="K14" s="1735"/>
    </row>
    <row r="15" spans="2:18" ht="18" customHeight="1" x14ac:dyDescent="0.2">
      <c r="B15" s="1733"/>
      <c r="C15" s="1716"/>
      <c r="D15" s="1074" t="str">
        <f>RIGHT('Expense Jrnl'!U$7,3)</f>
        <v>(f)</v>
      </c>
      <c r="E15" s="1045">
        <f>+'Expense Jrnl'!U6</f>
        <v>5060</v>
      </c>
      <c r="F15" s="1734" t="str">
        <f>+'Expense Jrnl'!U$8</f>
        <v>Committee/Staff AGM &amp; Mtg Attendance</v>
      </c>
      <c r="G15" s="1734"/>
      <c r="H15" s="1734"/>
      <c r="I15" s="1734"/>
      <c r="J15" s="1046">
        <f>+'Expense Jrnl'!U$516</f>
        <v>0</v>
      </c>
      <c r="K15" s="1735"/>
    </row>
    <row r="16" spans="2:18" ht="18" customHeight="1" x14ac:dyDescent="0.2">
      <c r="B16" s="1733"/>
      <c r="C16" s="1716"/>
      <c r="D16" s="1074" t="str">
        <f>RIGHT('Expense Jrnl'!V$7,3)</f>
        <v>(g)</v>
      </c>
      <c r="E16" s="1045">
        <f>+'Expense Jrnl'!V6</f>
        <v>5070</v>
      </c>
      <c r="F16" s="1734" t="str">
        <f>+'Expense Jrnl'!V$8</f>
        <v>Committee/Staff Accoutrement and such</v>
      </c>
      <c r="G16" s="1734"/>
      <c r="H16" s="1734"/>
      <c r="I16" s="1734"/>
      <c r="J16" s="1046">
        <f>+'Expense Jrnl'!V$516</f>
        <v>0</v>
      </c>
      <c r="K16" s="1735"/>
    </row>
    <row r="17" spans="2:13" ht="18" customHeight="1" x14ac:dyDescent="0.2">
      <c r="B17" s="1733"/>
      <c r="C17" s="1716"/>
      <c r="D17" s="1074" t="str">
        <f>RIGHT('Expense Jrnl'!W$7,3)</f>
        <v>(h)</v>
      </c>
      <c r="E17" s="1045">
        <f>+'Expense Jrnl'!W6</f>
        <v>5080</v>
      </c>
      <c r="F17" s="1734" t="str">
        <f>+'Expense Jrnl'!W$8</f>
        <v>Recruiting &amp; Advertizing</v>
      </c>
      <c r="G17" s="1734"/>
      <c r="H17" s="1734"/>
      <c r="I17" s="1734"/>
      <c r="J17" s="1046">
        <f>+'Expense Jrnl'!W$516</f>
        <v>0</v>
      </c>
      <c r="K17" s="1735"/>
    </row>
    <row r="18" spans="2:13" ht="18" customHeight="1" x14ac:dyDescent="0.2">
      <c r="B18" s="1733"/>
      <c r="C18" s="1716"/>
      <c r="D18" s="1074" t="str">
        <f>RIGHT('Expense Jrnl'!X$7,3)</f>
        <v>(i)</v>
      </c>
      <c r="E18" s="1045">
        <f>+'Expense Jrnl'!X6</f>
        <v>5090</v>
      </c>
      <c r="F18" s="1734" t="str">
        <f>+'Expense Jrnl'!X$8</f>
        <v>Annual Provinvial Committee Assessment</v>
      </c>
      <c r="G18" s="1734"/>
      <c r="H18" s="1734"/>
      <c r="I18" s="1734"/>
      <c r="J18" s="1046">
        <f>+'Expense Jrnl'!X$516</f>
        <v>0</v>
      </c>
      <c r="K18" s="1735"/>
    </row>
    <row r="19" spans="2:13" ht="18" customHeight="1" x14ac:dyDescent="0.2">
      <c r="B19" s="1733"/>
      <c r="C19" s="1716"/>
      <c r="D19" s="1074" t="str">
        <f>RIGHT('Expense Jrnl'!Y$7,3)</f>
        <v>(j)</v>
      </c>
      <c r="E19" s="1045">
        <f>+'Expense Jrnl'!Y6</f>
        <v>5100</v>
      </c>
      <c r="F19" s="1734" t="str">
        <f>+'Expense Jrnl'!Y$8</f>
        <v>Air Group, Air Wing Dues and such</v>
      </c>
      <c r="G19" s="1734"/>
      <c r="H19" s="1734"/>
      <c r="I19" s="1734"/>
      <c r="J19" s="1046">
        <f>+'Expense Jrnl'!Y$516</f>
        <v>0</v>
      </c>
      <c r="K19" s="1735"/>
    </row>
    <row r="20" spans="2:13" ht="18" customHeight="1" x14ac:dyDescent="0.2">
      <c r="B20" s="1733"/>
      <c r="C20" s="1716"/>
      <c r="D20" s="1074" t="str">
        <f>RIGHT('Expense Jrnl'!Z$7,3)</f>
        <v>(k)</v>
      </c>
      <c r="E20" s="1045">
        <f>+'Expense Jrnl'!Z6</f>
        <v>5110</v>
      </c>
      <c r="F20" s="1734" t="str">
        <f>+'Expense Jrnl'!Z$8</f>
        <v>Financial &amp; Bank Charges</v>
      </c>
      <c r="G20" s="1734"/>
      <c r="H20" s="1734"/>
      <c r="I20" s="1734"/>
      <c r="J20" s="1046">
        <f>+'Expense Jrnl'!Z$516</f>
        <v>0</v>
      </c>
      <c r="K20" s="1735"/>
    </row>
    <row r="21" spans="2:13" ht="18" customHeight="1" x14ac:dyDescent="0.2">
      <c r="B21" s="1733"/>
      <c r="C21" s="1716"/>
      <c r="D21" s="1040" t="str">
        <f>RIGHT('Expense Jrnl'!AA$7,3)</f>
        <v>(l)</v>
      </c>
      <c r="E21" s="1045">
        <f>+'Expense Jrnl'!AA$6</f>
        <v>5120</v>
      </c>
      <c r="F21" s="1734" t="str">
        <f>+'Expense Jrnl'!AA$8</f>
        <v>Professional Fees</v>
      </c>
      <c r="G21" s="1734"/>
      <c r="H21" s="1734"/>
      <c r="I21" s="1734"/>
      <c r="J21" s="1046">
        <f>+'Expense Jrnl'!AA$516</f>
        <v>0</v>
      </c>
      <c r="K21" s="1735"/>
    </row>
    <row r="22" spans="2:13" ht="18" customHeight="1" x14ac:dyDescent="0.2">
      <c r="B22" s="1733"/>
      <c r="C22" s="1716"/>
      <c r="D22" s="1040" t="str">
        <f>RIGHT('Expense Jrnl'!AB$7,3)</f>
        <v>(m)</v>
      </c>
      <c r="E22" s="1045">
        <f>+'Expense Jrnl'!AB$6</f>
        <v>5130</v>
      </c>
      <c r="F22" s="1734" t="str">
        <f>+'Expense Jrnl'!AB$8</f>
        <v>Compensation for employee</v>
      </c>
      <c r="G22" s="1734"/>
      <c r="H22" s="1734"/>
      <c r="I22" s="1734"/>
      <c r="J22" s="1046">
        <f>+'Expense Jrnl'!AB$516</f>
        <v>0</v>
      </c>
      <c r="K22" s="1735"/>
    </row>
    <row r="23" spans="2:13" ht="18" customHeight="1" x14ac:dyDescent="0.2">
      <c r="B23" s="1733"/>
      <c r="C23" s="1716"/>
      <c r="D23" s="1040" t="str">
        <f>RIGHT('Expense Jrnl'!AC$7,3)</f>
        <v>(n)</v>
      </c>
      <c r="E23" s="1045">
        <f>+'Expense Jrnl'!AC$6</f>
        <v>5140</v>
      </c>
      <c r="F23" s="1734" t="str">
        <f>+'Expense Jrnl'!AC$8</f>
        <v>Donations made to qualified donees</v>
      </c>
      <c r="G23" s="1734"/>
      <c r="H23" s="1734"/>
      <c r="I23" s="1734"/>
      <c r="J23" s="1046">
        <f>+'Expense Jrnl'!AC$516</f>
        <v>0</v>
      </c>
      <c r="K23" s="1735"/>
    </row>
    <row r="24" spans="2:13" ht="18" customHeight="1" x14ac:dyDescent="0.2">
      <c r="B24" s="1733"/>
      <c r="C24" s="1716"/>
      <c r="D24" s="1040" t="str">
        <f>RIGHT('Expense Jrnl'!AD$7,3)</f>
        <v>(o)</v>
      </c>
      <c r="E24" s="1045">
        <f>+'Expense Jrnl'!AD$6</f>
        <v>5150</v>
      </c>
      <c r="F24" s="1734" t="str">
        <f>IF('Expense Jrnl'!AD$8="Available (Rename)","Available",'Expense Jrnl'!AD$8)</f>
        <v>Postage &amp; Shipping Costs</v>
      </c>
      <c r="G24" s="1734"/>
      <c r="H24" s="1734"/>
      <c r="I24" s="1734"/>
      <c r="J24" s="1046">
        <f>+'Expense Jrnl'!AD$516</f>
        <v>0</v>
      </c>
      <c r="K24" s="1735"/>
    </row>
    <row r="25" spans="2:13" ht="18" customHeight="1" x14ac:dyDescent="0.2">
      <c r="B25" s="1733"/>
      <c r="C25" s="1716"/>
      <c r="D25" s="1040" t="str">
        <f>RIGHT('Expense Jrnl'!AE$7,3)</f>
        <v>(p)</v>
      </c>
      <c r="E25" s="1045">
        <f>+'Expense Jrnl'!AE$6</f>
        <v>5160</v>
      </c>
      <c r="F25" s="1734" t="str">
        <f>IF('Expense Jrnl'!AE$8="Available (Rename)","Available",'Expense Jrnl'!AE$8)</f>
        <v>Storage Rentals</v>
      </c>
      <c r="G25" s="1734"/>
      <c r="H25" s="1734"/>
      <c r="I25" s="1734"/>
      <c r="J25" s="1046">
        <f>+'Expense Jrnl'!AE$516</f>
        <v>0</v>
      </c>
      <c r="K25" s="1735"/>
    </row>
    <row r="26" spans="2:13" ht="18" customHeight="1" x14ac:dyDescent="0.2">
      <c r="B26" s="1733"/>
      <c r="C26" s="1716"/>
      <c r="D26" s="1040" t="str">
        <f>RIGHT('Expense Jrnl'!AF$7,3)</f>
        <v>(q)</v>
      </c>
      <c r="E26" s="1045">
        <f>+'Expense Jrnl'!AF$6</f>
        <v>5170</v>
      </c>
      <c r="F26" s="1734" t="str">
        <f>IF('Expense Jrnl'!AF$8="Available (Rename)","Available",'Expense Jrnl'!AF$8)</f>
        <v>Building &amp; Contents Insurance</v>
      </c>
      <c r="G26" s="1734"/>
      <c r="H26" s="1734"/>
      <c r="I26" s="1734"/>
      <c r="J26" s="1046">
        <f>+'Expense Jrnl'!AF$516</f>
        <v>0</v>
      </c>
      <c r="K26" s="1735"/>
    </row>
    <row r="27" spans="2:13" ht="18" customHeight="1" x14ac:dyDescent="0.2">
      <c r="B27" s="1733"/>
      <c r="C27" s="1716"/>
      <c r="D27" s="1040" t="str">
        <f>RIGHT('Expense Jrnl'!AG$7,3)</f>
        <v>(r)</v>
      </c>
      <c r="E27" s="1045">
        <f>+'Expense Jrnl'!AG$6</f>
        <v>5180</v>
      </c>
      <c r="F27" s="1734" t="str">
        <f>IF('Expense Jrnl'!AG$8="Available (Rename)","Available",'Expense Jrnl'!AG$8)</f>
        <v>Available</v>
      </c>
      <c r="G27" s="1734"/>
      <c r="H27" s="1734"/>
      <c r="I27" s="1734"/>
      <c r="J27" s="1046">
        <f>+'Expense Jrnl'!AG$516</f>
        <v>0</v>
      </c>
      <c r="K27" s="1735"/>
    </row>
    <row r="28" spans="2:13" ht="18" customHeight="1" x14ac:dyDescent="0.2">
      <c r="B28" s="1733"/>
      <c r="C28" s="1716"/>
      <c r="D28" s="1075" t="str">
        <f>RIGHT('Expense Jrnl'!AH$7,3)</f>
        <v>(s)</v>
      </c>
      <c r="E28" s="1045">
        <f>+'Expense Jrnl'!AH$6</f>
        <v>5190</v>
      </c>
      <c r="F28" s="1734" t="str">
        <f>IF('Expense Jrnl'!AH$8="Available (Rename)","Available",'Expense Jrnl'!AH$8)</f>
        <v>Available</v>
      </c>
      <c r="G28" s="1734"/>
      <c r="H28" s="1734"/>
      <c r="I28" s="1734"/>
      <c r="J28" s="1046">
        <f>+'Expense Jrnl'!AH$516</f>
        <v>0</v>
      </c>
      <c r="K28" s="1735"/>
    </row>
    <row r="29" spans="2:13" ht="18" customHeight="1" x14ac:dyDescent="0.2">
      <c r="B29" s="1076"/>
      <c r="C29" s="1037"/>
      <c r="D29" s="1077"/>
      <c r="E29" s="1056">
        <v>5299</v>
      </c>
      <c r="F29" s="1736" t="str">
        <f>CONCATENATE('Expense Jrnl'!P5," - ","Total:")</f>
        <v>Administrative &amp; Operating Expenses - Total:</v>
      </c>
      <c r="G29" s="1736"/>
      <c r="H29" s="1736"/>
      <c r="I29" s="1736"/>
      <c r="J29" s="1736"/>
      <c r="K29" s="1078">
        <f>SUM(J10:J28)</f>
        <v>0</v>
      </c>
      <c r="M29" s="355"/>
    </row>
    <row r="30" spans="2:13" x14ac:dyDescent="0.2">
      <c r="F30" s="1737"/>
      <c r="G30" s="1737"/>
      <c r="H30" s="1737"/>
      <c r="I30" s="1737"/>
    </row>
    <row r="31" spans="2:13" ht="18" customHeight="1" x14ac:dyDescent="0.2">
      <c r="B31" s="1073"/>
      <c r="C31" s="1715" t="str">
        <f>CONCATENATE('Expense Jrnl'!AI4," - ",'Expense Jrnl'!AI5)</f>
        <v>5300 - Squadron/Cadet Activities Expenses</v>
      </c>
      <c r="D31" s="1715"/>
      <c r="E31" s="1715"/>
      <c r="F31" s="1715"/>
      <c r="G31" s="1715"/>
      <c r="H31" s="1715"/>
      <c r="I31" s="1715"/>
      <c r="J31" s="1715"/>
      <c r="K31" s="1715"/>
    </row>
    <row r="32" spans="2:13" ht="18" customHeight="1" x14ac:dyDescent="0.2">
      <c r="B32" s="1079"/>
      <c r="C32" s="1080"/>
      <c r="D32" s="1074" t="str">
        <f>RIGHT('Expense Jrnl'!AI$7,3)</f>
        <v>(a)</v>
      </c>
      <c r="E32" s="1045">
        <f>+'Expense Jrnl'!AI6</f>
        <v>5310</v>
      </c>
      <c r="F32" s="1738" t="str">
        <f>+'Expense Jrnl'!AI8</f>
        <v>Field Training</v>
      </c>
      <c r="G32" s="1738"/>
      <c r="H32" s="1738"/>
      <c r="I32" s="1738"/>
      <c r="J32" s="1058">
        <f>+'Expense Jrnl'!AI516</f>
        <v>0</v>
      </c>
      <c r="K32" s="1739"/>
    </row>
    <row r="33" spans="2:11" ht="18" customHeight="1" x14ac:dyDescent="0.2">
      <c r="B33" s="1733"/>
      <c r="C33" s="1740" t="str">
        <f>LEFT('Expense Jrnl'!AI7,1)</f>
        <v>3</v>
      </c>
      <c r="D33" s="1074" t="str">
        <f>RIGHT('Expense Jrnl'!AQ$7,3)</f>
        <v>(b)</v>
      </c>
      <c r="E33" s="1045">
        <f>+'Expense Jrnl'!AQ$6</f>
        <v>5320</v>
      </c>
      <c r="F33" s="1722" t="str">
        <f>+'Expense Jrnl'!AQ$8</f>
        <v>Band Equip., Accessories, Maint. &amp; Music Pgm</v>
      </c>
      <c r="G33" s="1722"/>
      <c r="H33" s="1722"/>
      <c r="I33" s="1722"/>
      <c r="J33" s="1081">
        <f>+'Expense Jrnl'!AQ$516</f>
        <v>0</v>
      </c>
      <c r="K33" s="1739"/>
    </row>
    <row r="34" spans="2:11" ht="18" customHeight="1" x14ac:dyDescent="0.2">
      <c r="B34" s="1733"/>
      <c r="C34" s="1740"/>
      <c r="D34" s="1074" t="str">
        <f>RIGHT('Expense Jrnl'!AR$7,3)</f>
        <v>(c)</v>
      </c>
      <c r="E34" s="1045">
        <f>+'Expense Jrnl'!AR$6</f>
        <v>5330</v>
      </c>
      <c r="F34" s="1722" t="str">
        <f>+'Expense Jrnl'!AR$8</f>
        <v>Sports &amp; Phys Ed Related Activities</v>
      </c>
      <c r="G34" s="1722"/>
      <c r="H34" s="1722"/>
      <c r="I34" s="1722"/>
      <c r="J34" s="1081">
        <f>+'Expense Jrnl'!AR$516</f>
        <v>0</v>
      </c>
      <c r="K34" s="1739"/>
    </row>
    <row r="35" spans="2:11" ht="18" customHeight="1" x14ac:dyDescent="0.2">
      <c r="B35" s="1733"/>
      <c r="C35" s="1740"/>
      <c r="D35" s="1074" t="str">
        <f>RIGHT('Expense Jrnl'!AS$7,3)</f>
        <v>(d)</v>
      </c>
      <c r="E35" s="1045">
        <f>+'Expense Jrnl'!AS$6</f>
        <v>5340</v>
      </c>
      <c r="F35" s="1722" t="str">
        <f>+'Expense Jrnl'!AS$8</f>
        <v>Flying and Gliding related outlays</v>
      </c>
      <c r="G35" s="1722"/>
      <c r="H35" s="1722"/>
      <c r="I35" s="1722"/>
      <c r="J35" s="1081">
        <f>+'Expense Jrnl'!AS$516</f>
        <v>0</v>
      </c>
      <c r="K35" s="1739"/>
    </row>
    <row r="36" spans="2:11" ht="18" customHeight="1" x14ac:dyDescent="0.2">
      <c r="B36" s="1733"/>
      <c r="C36" s="1740"/>
      <c r="D36" s="1074" t="str">
        <f>RIGHT('Expense Jrnl'!AT$7,3)</f>
        <v>(e)</v>
      </c>
      <c r="E36" s="1045">
        <f>+'Expense Jrnl'!AT$6</f>
        <v>5350</v>
      </c>
      <c r="F36" s="1722" t="str">
        <f>+'Expense Jrnl'!AT$8</f>
        <v>Training Equipment, Manuals &amp;  Durable Supplies</v>
      </c>
      <c r="G36" s="1722"/>
      <c r="H36" s="1722"/>
      <c r="I36" s="1722"/>
      <c r="J36" s="1081">
        <f>+'Expense Jrnl'!AT$516</f>
        <v>0</v>
      </c>
      <c r="K36" s="1739"/>
    </row>
    <row r="37" spans="2:11" ht="18" customHeight="1" x14ac:dyDescent="0.2">
      <c r="B37" s="1733"/>
      <c r="C37" s="1740"/>
      <c r="D37" s="1074" t="str">
        <f>RIGHT('Expense Jrnl'!AU$7,3)</f>
        <v>(f)</v>
      </c>
      <c r="E37" s="1045">
        <f>+'Expense Jrnl'!AU$6</f>
        <v>5360</v>
      </c>
      <c r="F37" s="1722" t="str">
        <f>+'Expense Jrnl'!AU$8</f>
        <v>Other Non-DND Supported Trg/Activities Outlays</v>
      </c>
      <c r="G37" s="1722"/>
      <c r="H37" s="1722"/>
      <c r="I37" s="1722"/>
      <c r="J37" s="1081">
        <f>+'Expense Jrnl'!AU$516</f>
        <v>0</v>
      </c>
      <c r="K37" s="1739"/>
    </row>
    <row r="38" spans="2:11" ht="18" customHeight="1" x14ac:dyDescent="0.2">
      <c r="B38" s="1733"/>
      <c r="C38" s="1740"/>
      <c r="D38" s="1074" t="str">
        <f>RIGHT('Expense Jrnl'!AV$7,3)</f>
        <v>(g)</v>
      </c>
      <c r="E38" s="1045">
        <f>+'Expense Jrnl'!AV$6</f>
        <v>5370</v>
      </c>
      <c r="F38" s="1722" t="str">
        <f>+'Expense Jrnl'!AV$8</f>
        <v>Sqn Level Insurance</v>
      </c>
      <c r="G38" s="1722"/>
      <c r="H38" s="1722"/>
      <c r="I38" s="1722"/>
      <c r="J38" s="1081">
        <f>+'Expense Jrnl'!AV$516</f>
        <v>0</v>
      </c>
      <c r="K38" s="1739"/>
    </row>
    <row r="39" spans="2:11" ht="18" customHeight="1" x14ac:dyDescent="0.2">
      <c r="B39" s="1733"/>
      <c r="C39" s="1740"/>
      <c r="D39" s="1074" t="str">
        <f>RIGHT('Expense Jrnl'!AW$7,3)</f>
        <v>(h)</v>
      </c>
      <c r="E39" s="1045">
        <f>+'Expense Jrnl'!AW$6</f>
        <v>5380</v>
      </c>
      <c r="F39" s="1722" t="str">
        <f>+'Expense Jrnl'!AW$8</f>
        <v>Volunteer Reg &amp; Screening Costs</v>
      </c>
      <c r="G39" s="1722"/>
      <c r="H39" s="1722"/>
      <c r="I39" s="1722"/>
      <c r="J39" s="1081">
        <f>+'Expense Jrnl'!AW$516</f>
        <v>0</v>
      </c>
      <c r="K39" s="1739"/>
    </row>
    <row r="40" spans="2:11" ht="18" customHeight="1" x14ac:dyDescent="0.2">
      <c r="B40" s="1733"/>
      <c r="C40" s="1740"/>
      <c r="D40" s="1040" t="str">
        <f>RIGHT('Expense Jrnl'!AX$7,3)</f>
        <v>(i)</v>
      </c>
      <c r="E40" s="1045">
        <f>+'Expense Jrnl'!AX$6</f>
        <v>5390</v>
      </c>
      <c r="F40" s="1722" t="str">
        <f>+'Expense Jrnl'!AX$8</f>
        <v>Honours &amp; Awards</v>
      </c>
      <c r="G40" s="1722"/>
      <c r="H40" s="1722"/>
      <c r="I40" s="1722"/>
      <c r="J40" s="1081">
        <f>+'Expense Jrnl'!AX$516</f>
        <v>0</v>
      </c>
      <c r="K40" s="1739"/>
    </row>
    <row r="41" spans="2:11" ht="18" customHeight="1" x14ac:dyDescent="0.2">
      <c r="B41" s="1733"/>
      <c r="C41" s="1716" t="str">
        <f>LEFT('Expense Jrnl'!AY7,1)</f>
        <v>4</v>
      </c>
      <c r="D41" s="1074" t="str">
        <f>RIGHT('Expense Jrnl'!AY$7,3)</f>
        <v>(a)</v>
      </c>
      <c r="E41" s="1045">
        <f>+'Expense Jrnl'!AY$6</f>
        <v>5400</v>
      </c>
      <c r="F41" s="1722" t="str">
        <f>+'Expense Jrnl'!AY$8</f>
        <v>Annual Ceremonial Review</v>
      </c>
      <c r="G41" s="1722"/>
      <c r="H41" s="1722"/>
      <c r="I41" s="1722"/>
      <c r="J41" s="1081">
        <f>+'Expense Jrnl'!AY$516</f>
        <v>0</v>
      </c>
      <c r="K41" s="1739"/>
    </row>
    <row r="42" spans="2:11" ht="18" customHeight="1" x14ac:dyDescent="0.2">
      <c r="B42" s="1733"/>
      <c r="C42" s="1716"/>
      <c r="D42" s="1074" t="str">
        <f>RIGHT('Expense Jrnl'!AZ$7,3)</f>
        <v>(b)</v>
      </c>
      <c r="E42" s="1045">
        <f>+'Expense Jrnl'!AZ$6</f>
        <v>5410</v>
      </c>
      <c r="F42" s="1722" t="str">
        <f>+'Expense Jrnl'!AZ$8</f>
        <v>Cadet Banquets and Special Events</v>
      </c>
      <c r="G42" s="1722"/>
      <c r="H42" s="1722"/>
      <c r="I42" s="1722"/>
      <c r="J42" s="1081">
        <f>+'Expense Jrnl'!AZ$516</f>
        <v>0</v>
      </c>
      <c r="K42" s="1739"/>
    </row>
    <row r="43" spans="2:11" ht="18" customHeight="1" x14ac:dyDescent="0.2">
      <c r="B43" s="1733"/>
      <c r="C43" s="1716"/>
      <c r="D43" s="1074" t="str">
        <f>RIGHT('Expense Jrnl'!BH$7,3)</f>
        <v>(c)</v>
      </c>
      <c r="E43" s="1045">
        <f>+'Expense Jrnl'!BH$6</f>
        <v>5420</v>
      </c>
      <c r="F43" s="1722" t="str">
        <f>+'Expense Jrnl'!BH$8</f>
        <v>Cadet &amp; Ceremonial Accoutrements</v>
      </c>
      <c r="G43" s="1722"/>
      <c r="H43" s="1722"/>
      <c r="I43" s="1722"/>
      <c r="J43" s="1081">
        <f>+'Expense Jrnl'!BH$516</f>
        <v>0</v>
      </c>
      <c r="K43" s="1739"/>
    </row>
    <row r="44" spans="2:11" ht="18" customHeight="1" x14ac:dyDescent="0.2">
      <c r="B44" s="1733"/>
      <c r="C44" s="1716"/>
      <c r="D44" s="1074" t="str">
        <f>RIGHT('Expense Jrnl'!BI$7,3)</f>
        <v>(d)</v>
      </c>
      <c r="E44" s="1045">
        <f>+'Expense Jrnl'!BI$6</f>
        <v>5430</v>
      </c>
      <c r="F44" s="1722" t="str">
        <f>+'Expense Jrnl'!BI$8</f>
        <v>Bursaries</v>
      </c>
      <c r="G44" s="1722"/>
      <c r="H44" s="1722"/>
      <c r="I44" s="1722"/>
      <c r="J44" s="1081">
        <f>+'Expense Jrnl'!BI$516</f>
        <v>0</v>
      </c>
      <c r="K44" s="1739"/>
    </row>
    <row r="45" spans="2:11" ht="18" customHeight="1" x14ac:dyDescent="0.2">
      <c r="B45" s="1733"/>
      <c r="C45" s="1716"/>
      <c r="D45" s="1074" t="str">
        <f>RIGHT('Expense Jrnl'!BJ$7,3)</f>
        <v>(e)</v>
      </c>
      <c r="E45" s="1045">
        <f>+'Expense Jrnl'!BJ$6</f>
        <v>5440</v>
      </c>
      <c r="F45" s="1722" t="str">
        <f>IF('Expense Jrnl'!BJ$8="Available (Rename)","Available",'Expense Jrnl'!BJ$8)</f>
        <v>Ground School</v>
      </c>
      <c r="G45" s="1722"/>
      <c r="H45" s="1722"/>
      <c r="I45" s="1722"/>
      <c r="J45" s="1081">
        <f>+'Expense Jrnl'!BJ$516</f>
        <v>0</v>
      </c>
      <c r="K45" s="1739"/>
    </row>
    <row r="46" spans="2:11" ht="18" customHeight="1" x14ac:dyDescent="0.2">
      <c r="B46" s="1733"/>
      <c r="C46" s="1716"/>
      <c r="D46" s="1074" t="str">
        <f>RIGHT('Expense Jrnl'!BK$7,3)</f>
        <v>(f)</v>
      </c>
      <c r="E46" s="1045">
        <f>+'Expense Jrnl'!BK$6</f>
        <v>5450</v>
      </c>
      <c r="F46" s="1722" t="str">
        <f>IF('Expense Jrnl'!BK$8="Available (Rename)","Available",'Expense Jrnl'!BK$8)</f>
        <v>Available</v>
      </c>
      <c r="G46" s="1722"/>
      <c r="H46" s="1722"/>
      <c r="I46" s="1722"/>
      <c r="J46" s="1081">
        <f>+'Expense Jrnl'!BK$516</f>
        <v>0</v>
      </c>
      <c r="K46" s="1739"/>
    </row>
    <row r="47" spans="2:11" ht="18" customHeight="1" x14ac:dyDescent="0.2">
      <c r="B47" s="1733"/>
      <c r="C47" s="1716"/>
      <c r="D47" s="1074" t="str">
        <f>RIGHT('Expense Jrnl'!BL$7,3)</f>
        <v>(g)</v>
      </c>
      <c r="E47" s="1045">
        <f>+'Expense Jrnl'!BL$6</f>
        <v>5460</v>
      </c>
      <c r="F47" s="1722" t="str">
        <f>IF('Expense Jrnl'!BL$8="Available (Rename)","Available",'Expense Jrnl'!BL$8)</f>
        <v>Available</v>
      </c>
      <c r="G47" s="1722"/>
      <c r="H47" s="1722"/>
      <c r="I47" s="1722"/>
      <c r="J47" s="1081">
        <f>+'Expense Jrnl'!BL$516</f>
        <v>0</v>
      </c>
      <c r="K47" s="1739"/>
    </row>
    <row r="48" spans="2:11" ht="18" customHeight="1" x14ac:dyDescent="0.2">
      <c r="B48" s="1733"/>
      <c r="C48" s="1716"/>
      <c r="D48" s="1074" t="str">
        <f>RIGHT('Expense Jrnl'!BM$7,3)</f>
        <v>(h)</v>
      </c>
      <c r="E48" s="1045">
        <f>+'Expense Jrnl'!BM$6</f>
        <v>5470</v>
      </c>
      <c r="F48" s="1722" t="str">
        <f>IF('Expense Jrnl'!BM$8="Available (Rename)","Available",'Expense Jrnl'!BM$8)</f>
        <v>Available</v>
      </c>
      <c r="G48" s="1722"/>
      <c r="H48" s="1722"/>
      <c r="I48" s="1722"/>
      <c r="J48" s="1081">
        <f>+'Expense Jrnl'!BM$516</f>
        <v>0</v>
      </c>
      <c r="K48" s="1739"/>
    </row>
    <row r="49" spans="2:19" ht="18" customHeight="1" x14ac:dyDescent="0.2">
      <c r="B49" s="1733"/>
      <c r="C49" s="1716"/>
      <c r="D49" s="1074" t="str">
        <f>RIGHT('Expense Jrnl'!BN$7,3)</f>
        <v>(i)</v>
      </c>
      <c r="E49" s="1045">
        <f>+'Expense Jrnl'!BN$6</f>
        <v>5480</v>
      </c>
      <c r="F49" s="1722" t="str">
        <f>IF('Expense Jrnl'!BN$8="Available (Rename)","Available",'Expense Jrnl'!BN$8)</f>
        <v>Available</v>
      </c>
      <c r="G49" s="1722"/>
      <c r="H49" s="1722"/>
      <c r="I49" s="1722"/>
      <c r="J49" s="1081">
        <f>+'Expense Jrnl'!BN$516</f>
        <v>0</v>
      </c>
      <c r="K49" s="1739"/>
    </row>
    <row r="50" spans="2:19" ht="18" customHeight="1" x14ac:dyDescent="0.2">
      <c r="B50" s="1733"/>
      <c r="C50" s="1716"/>
      <c r="D50" s="1075" t="str">
        <f>RIGHT('Expense Jrnl'!BO$7,3)</f>
        <v>(j)</v>
      </c>
      <c r="E50" s="1045">
        <f>+'Expense Jrnl'!BO$6</f>
        <v>5490</v>
      </c>
      <c r="F50" s="1722" t="str">
        <f>IF('Expense Jrnl'!BO$8="Available (Rename)","Available",'Expense Jrnl'!BO$8)</f>
        <v>Available</v>
      </c>
      <c r="G50" s="1722"/>
      <c r="H50" s="1722"/>
      <c r="I50" s="1722"/>
      <c r="J50" s="1081">
        <f>+'Expense Jrnl'!BO$516</f>
        <v>0</v>
      </c>
      <c r="K50" s="1739"/>
    </row>
    <row r="51" spans="2:19" ht="18" customHeight="1" x14ac:dyDescent="0.2">
      <c r="B51" s="1076"/>
      <c r="C51" s="1082"/>
      <c r="D51" s="1083"/>
      <c r="E51" s="1056">
        <v>5499</v>
      </c>
      <c r="F51" s="1736" t="str">
        <f>CONCATENATE('Expense Jrnl'!AI5," - ","Total:")</f>
        <v>Squadron/Cadet Activities Expenses - Total:</v>
      </c>
      <c r="G51" s="1736"/>
      <c r="H51" s="1736"/>
      <c r="I51" s="1736"/>
      <c r="J51" s="1736"/>
      <c r="K51" s="1078">
        <f>SUM(J32:J50)</f>
        <v>0</v>
      </c>
    </row>
    <row r="52" spans="2:19" ht="16.5" customHeight="1" x14ac:dyDescent="0.2">
      <c r="K52" s="1084" t="s">
        <v>397</v>
      </c>
    </row>
    <row r="53" spans="2:19" ht="16.5" customHeight="1" x14ac:dyDescent="0.2">
      <c r="B53" s="1073"/>
      <c r="C53" s="1715" t="str">
        <f>CONCATENATE('Expense Jrnl'!BP4," - ",'Expense Jrnl'!BP5)</f>
        <v>5500 - Expenses - Gaming &amp; Lotteries Fundraising</v>
      </c>
      <c r="D53" s="1715"/>
      <c r="E53" s="1715"/>
      <c r="F53" s="1715"/>
      <c r="G53" s="1715"/>
      <c r="H53" s="1715"/>
      <c r="I53" s="1715"/>
      <c r="J53" s="1715"/>
      <c r="K53" s="1715"/>
    </row>
    <row r="54" spans="2:19" ht="16.5" customHeight="1" x14ac:dyDescent="0.2">
      <c r="B54" s="1733"/>
      <c r="C54" s="1716" t="str">
        <f>LEFT('Expense Jrnl'!BP7,1)</f>
        <v>5</v>
      </c>
      <c r="D54" s="1074" t="str">
        <f>RIGHT('Expense Jrnl'!BY$7,3)</f>
        <v>(a)</v>
      </c>
      <c r="E54" s="1045">
        <f>+'Expense Jrnl'!BP$6</f>
        <v>5510</v>
      </c>
      <c r="F54" s="1734" t="str">
        <f>IF('Expense Jrnl'!BP$8="Available (Rename)","Available",'Expense Jrnl'!BP$8)</f>
        <v>Sqn Lottery/Raffle</v>
      </c>
      <c r="G54" s="1734"/>
      <c r="H54" s="1734"/>
      <c r="I54" s="1734"/>
      <c r="J54" s="1063">
        <f>+'Expense Jrnl'!BP$516</f>
        <v>0</v>
      </c>
      <c r="K54" s="1741"/>
    </row>
    <row r="55" spans="2:19" ht="16.5" customHeight="1" x14ac:dyDescent="0.2">
      <c r="B55" s="1733"/>
      <c r="C55" s="1716"/>
      <c r="D55" s="1074" t="str">
        <f>RIGHT('Expense Jrnl'!BZ$7,3)</f>
        <v>(b)</v>
      </c>
      <c r="E55" s="1045">
        <f>+'Expense Jrnl'!BQ$6</f>
        <v>5520</v>
      </c>
      <c r="F55" s="1734" t="str">
        <f>IF('Expense Jrnl'!BQ$8="Available (Rename)","Available",'Expense Jrnl'!BQ$8)</f>
        <v>Available</v>
      </c>
      <c r="G55" s="1734"/>
      <c r="H55" s="1734"/>
      <c r="I55" s="1734"/>
      <c r="J55" s="1063">
        <f>+'Expense Jrnl'!BQ$516</f>
        <v>0</v>
      </c>
      <c r="K55" s="1741"/>
    </row>
    <row r="56" spans="2:19" ht="16.5" customHeight="1" x14ac:dyDescent="0.2">
      <c r="B56" s="1733"/>
      <c r="C56" s="1716"/>
      <c r="D56" s="1074" t="str">
        <f>RIGHT('Expense Jrnl'!CA$7,3)</f>
        <v>(c)</v>
      </c>
      <c r="E56" s="1045">
        <f>+'Expense Jrnl'!BR$6</f>
        <v>5530</v>
      </c>
      <c r="F56" s="1734" t="str">
        <f>IF('Expense Jrnl'!BR$8="Available (Rename)","Available",'Expense Jrnl'!BR$8)</f>
        <v>Available</v>
      </c>
      <c r="G56" s="1734"/>
      <c r="H56" s="1734"/>
      <c r="I56" s="1734"/>
      <c r="J56" s="1063">
        <f>+'Expense Jrnl'!BR$516</f>
        <v>0</v>
      </c>
      <c r="K56" s="1741"/>
    </row>
    <row r="57" spans="2:19" ht="16.5" customHeight="1" x14ac:dyDescent="0.2">
      <c r="B57" s="1733"/>
      <c r="C57" s="1716"/>
      <c r="D57" s="1074" t="str">
        <f>RIGHT('Expense Jrnl'!CB$7,3)</f>
        <v>(d)</v>
      </c>
      <c r="E57" s="1045">
        <f>+'Expense Jrnl'!BS$6</f>
        <v>5540</v>
      </c>
      <c r="F57" s="1734" t="str">
        <f>IF('Expense Jrnl'!BS$8="Available (Rename)","Available",'Expense Jrnl'!BS$8)</f>
        <v>Available</v>
      </c>
      <c r="G57" s="1734"/>
      <c r="H57" s="1734"/>
      <c r="I57" s="1734"/>
      <c r="J57" s="1063">
        <f>+'Expense Jrnl'!BS$516</f>
        <v>0</v>
      </c>
      <c r="K57" s="1741"/>
    </row>
    <row r="58" spans="2:19" ht="16.5" customHeight="1" x14ac:dyDescent="0.2">
      <c r="B58" s="1733"/>
      <c r="C58" s="1716"/>
      <c r="D58" s="1074" t="str">
        <f>RIGHT('Expense Jrnl'!CC$7,3)</f>
        <v>(e)</v>
      </c>
      <c r="E58" s="1045">
        <f>+'Expense Jrnl'!BT$6</f>
        <v>5550</v>
      </c>
      <c r="F58" s="1734" t="str">
        <f>IF('Expense Jrnl'!BT$8="Available (Rename)","Available",'Expense Jrnl'!BT$8)</f>
        <v>Available</v>
      </c>
      <c r="G58" s="1734"/>
      <c r="H58" s="1734"/>
      <c r="I58" s="1734"/>
      <c r="J58" s="1063">
        <f>+'Expense Jrnl'!BT$516</f>
        <v>0</v>
      </c>
      <c r="K58" s="1741"/>
    </row>
    <row r="59" spans="2:19" ht="16.5" customHeight="1" x14ac:dyDescent="0.2">
      <c r="B59" s="1733"/>
      <c r="C59" s="1716"/>
      <c r="D59" s="1074" t="str">
        <f>RIGHT('Expense Jrnl'!CD$7,3)</f>
        <v>(f)</v>
      </c>
      <c r="E59" s="1045">
        <f>+'Expense Jrnl'!BU$6</f>
        <v>5560</v>
      </c>
      <c r="F59" s="1734" t="str">
        <f>IF('Expense Jrnl'!BU$8="Available (Rename)","Available",'Expense Jrnl'!BU$8)</f>
        <v>Available</v>
      </c>
      <c r="G59" s="1734"/>
      <c r="H59" s="1734"/>
      <c r="I59" s="1734"/>
      <c r="J59" s="1063">
        <f>+'Expense Jrnl'!BU$516</f>
        <v>0</v>
      </c>
      <c r="K59" s="1741"/>
    </row>
    <row r="60" spans="2:19" ht="16.5" customHeight="1" x14ac:dyDescent="0.2">
      <c r="B60" s="1733"/>
      <c r="C60" s="1716"/>
      <c r="D60" s="1040" t="str">
        <f>RIGHT('Expense Jrnl'!CE$7,4)</f>
        <v xml:space="preserve"> (g)</v>
      </c>
      <c r="E60" s="1045">
        <f>+'Expense Jrnl'!BV$6</f>
        <v>5570</v>
      </c>
      <c r="F60" s="1734" t="str">
        <f>IF('Expense Jrnl'!BV$8="Available (Rename)","Available",'Expense Jrnl'!BV$8)</f>
        <v>Available</v>
      </c>
      <c r="G60" s="1734"/>
      <c r="H60" s="1734"/>
      <c r="I60" s="1734"/>
      <c r="J60" s="1063">
        <f>+'Expense Jrnl'!BV$516</f>
        <v>0</v>
      </c>
      <c r="K60" s="1741"/>
    </row>
    <row r="61" spans="2:19" ht="16.5" customHeight="1" x14ac:dyDescent="0.2">
      <c r="B61" s="1733"/>
      <c r="C61" s="1716"/>
      <c r="D61" s="1040" t="str">
        <f>RIGHT('Expense Jrnl'!CF$7,4)</f>
        <v xml:space="preserve"> (h)</v>
      </c>
      <c r="E61" s="1045">
        <f>+'Expense Jrnl'!BW$6</f>
        <v>5580</v>
      </c>
      <c r="F61" s="1734" t="str">
        <f>IF('Expense Jrnl'!BW$8="Available (Rename)","Available",'Expense Jrnl'!BW$8)</f>
        <v>Available</v>
      </c>
      <c r="G61" s="1734"/>
      <c r="H61" s="1734"/>
      <c r="I61" s="1734"/>
      <c r="J61" s="1063">
        <f>+'Expense Jrnl'!BW$516</f>
        <v>0</v>
      </c>
      <c r="K61" s="1741"/>
    </row>
    <row r="62" spans="2:19" ht="16.5" customHeight="1" x14ac:dyDescent="0.2">
      <c r="B62" s="1733"/>
      <c r="C62" s="1716"/>
      <c r="D62" s="1075" t="str">
        <f>RIGHT('Expense Jrnl'!CG$7,4)</f>
        <v xml:space="preserve"> (i)</v>
      </c>
      <c r="E62" s="1045">
        <f>+'Expense Jrnl'!BX$6</f>
        <v>5590</v>
      </c>
      <c r="F62" s="1734" t="str">
        <f>IF('Expense Jrnl'!BX$8="Available (Rename)","Available",'Expense Jrnl'!BX$8)</f>
        <v>Available</v>
      </c>
      <c r="G62" s="1734"/>
      <c r="H62" s="1734"/>
      <c r="I62" s="1734"/>
      <c r="J62" s="1063">
        <f>+'Expense Jrnl'!BX$516</f>
        <v>0</v>
      </c>
      <c r="K62" s="1741"/>
    </row>
    <row r="63" spans="2:19" ht="16.5" customHeight="1" x14ac:dyDescent="0.2">
      <c r="B63" s="676"/>
      <c r="C63" s="677"/>
      <c r="D63" s="1085"/>
      <c r="E63" s="1086">
        <v>5599</v>
      </c>
      <c r="F63" s="1742" t="str">
        <f>CONCATENATE('Expense Jrnl'!BP5," - ","Total:")</f>
        <v>Expenses - Gaming &amp; Lotteries Fundraising - Total:</v>
      </c>
      <c r="G63" s="1742"/>
      <c r="H63" s="1742"/>
      <c r="I63" s="1742"/>
      <c r="J63" s="1742"/>
      <c r="K63" s="1087">
        <f>SUM(J54:J62)</f>
        <v>0</v>
      </c>
    </row>
    <row r="64" spans="2:19" s="1" customFormat="1" ht="16.5" customHeight="1" x14ac:dyDescent="0.2">
      <c r="B64" s="677"/>
      <c r="C64" s="677"/>
      <c r="D64" s="1037"/>
      <c r="E64" s="1088"/>
      <c r="F64" s="1089"/>
      <c r="G64" s="1089"/>
      <c r="H64" s="1089"/>
      <c r="I64" s="1089"/>
      <c r="J64" s="1089"/>
      <c r="K64" s="1090"/>
      <c r="S64" s="80"/>
    </row>
    <row r="65" spans="2:17" ht="18" customHeight="1" x14ac:dyDescent="0.2">
      <c r="B65" s="1073"/>
      <c r="C65" s="1715" t="str">
        <f>CONCATENATE('Expense Jrnl'!BY4," - ",'Expense Jrnl'!BY5)</f>
        <v>5600 - Expenses - Other Fundraising</v>
      </c>
      <c r="D65" s="1715"/>
      <c r="E65" s="1715"/>
      <c r="F65" s="1715"/>
      <c r="G65" s="1715"/>
      <c r="H65" s="1715"/>
      <c r="I65" s="1715"/>
      <c r="J65" s="1715"/>
      <c r="K65" s="1715"/>
    </row>
    <row r="66" spans="2:17" ht="18" customHeight="1" x14ac:dyDescent="0.2">
      <c r="B66" s="1733"/>
      <c r="C66" s="1716" t="str">
        <f>LEFT('Expense Jrnl'!BY7,1)</f>
        <v>6</v>
      </c>
      <c r="D66" s="1074" t="str">
        <f>RIGHT('Expense Jrnl'!BY$7,3)</f>
        <v>(a)</v>
      </c>
      <c r="E66" s="1045">
        <f>+'Expense Jrnl'!BY6</f>
        <v>5610</v>
      </c>
      <c r="F66" s="1734" t="str">
        <f>IF('Expense Jrnl'!BY$8="Available (Rename)","Available",'Expense Jrnl'!BY$8)</f>
        <v>Tagging (Fall)</v>
      </c>
      <c r="G66" s="1734"/>
      <c r="H66" s="1734"/>
      <c r="I66" s="1734"/>
      <c r="J66" s="1063">
        <f>+'Expense Jrnl'!BY516</f>
        <v>0</v>
      </c>
      <c r="K66" s="1741"/>
    </row>
    <row r="67" spans="2:17" ht="18" customHeight="1" x14ac:dyDescent="0.2">
      <c r="B67" s="1733"/>
      <c r="C67" s="1716"/>
      <c r="D67" s="1074" t="str">
        <f>RIGHT('Expense Jrnl'!BZ$7,3)</f>
        <v>(b)</v>
      </c>
      <c r="E67" s="1045">
        <f>+'Expense Jrnl'!BZ6</f>
        <v>5620</v>
      </c>
      <c r="F67" s="1734" t="str">
        <f>IF('Expense Jrnl'!BZ$8="Available (Rename)","Available",'Expense Jrnl'!BZ$8)</f>
        <v>Tagging (Spring)</v>
      </c>
      <c r="G67" s="1734"/>
      <c r="H67" s="1734"/>
      <c r="I67" s="1734"/>
      <c r="J67" s="1046">
        <f>+'Expense Jrnl'!BZ516</f>
        <v>0</v>
      </c>
      <c r="K67" s="1741"/>
    </row>
    <row r="68" spans="2:17" ht="18" customHeight="1" x14ac:dyDescent="0.2">
      <c r="B68" s="1733"/>
      <c r="C68" s="1716"/>
      <c r="D68" s="1074" t="str">
        <f>RIGHT('Expense Jrnl'!CA$7,3)</f>
        <v>(c)</v>
      </c>
      <c r="E68" s="1045">
        <f>+'Expense Jrnl'!CA6</f>
        <v>5630</v>
      </c>
      <c r="F68" s="1734" t="str">
        <f>IF('Expense Jrnl'!CA$8="Available (Rename)","Available",'Expense Jrnl'!CA$8)</f>
        <v>Canteen Expenses</v>
      </c>
      <c r="G68" s="1734"/>
      <c r="H68" s="1734"/>
      <c r="I68" s="1734"/>
      <c r="J68" s="1046">
        <f>+'Expense Jrnl'!CA516</f>
        <v>0</v>
      </c>
      <c r="K68" s="1741"/>
    </row>
    <row r="69" spans="2:17" ht="18" customHeight="1" x14ac:dyDescent="0.2">
      <c r="B69" s="1733"/>
      <c r="C69" s="1716"/>
      <c r="D69" s="1074" t="str">
        <f>RIGHT('Expense Jrnl'!CB$7,3)</f>
        <v>(d)</v>
      </c>
      <c r="E69" s="1045">
        <f>+'Expense Jrnl'!CB6</f>
        <v>5640</v>
      </c>
      <c r="F69" s="1734" t="str">
        <f>IF('Expense Jrnl'!CB$8="Available (Rename)","Available",'Expense Jrnl'!CB$8)</f>
        <v>Bottle Drive Expenses</v>
      </c>
      <c r="G69" s="1734"/>
      <c r="H69" s="1734"/>
      <c r="I69" s="1734"/>
      <c r="J69" s="1046">
        <f>+'Expense Jrnl'!CB516</f>
        <v>0</v>
      </c>
      <c r="K69" s="1741"/>
    </row>
    <row r="70" spans="2:17" ht="18" customHeight="1" x14ac:dyDescent="0.2">
      <c r="B70" s="1733"/>
      <c r="C70" s="1716"/>
      <c r="D70" s="1074" t="str">
        <f>RIGHT('Expense Jrnl'!CC$7,3)</f>
        <v>(e)</v>
      </c>
      <c r="E70" s="1045">
        <f>+'Expense Jrnl'!CC6</f>
        <v>5650</v>
      </c>
      <c r="F70" s="1734" t="str">
        <f>IF('Expense Jrnl'!CC$8="Available (Rename)","Available",'Expense Jrnl'!CC$8)</f>
        <v>Available</v>
      </c>
      <c r="G70" s="1734"/>
      <c r="H70" s="1734"/>
      <c r="I70" s="1734"/>
      <c r="J70" s="1046">
        <f>+'Expense Jrnl'!CC516</f>
        <v>0</v>
      </c>
      <c r="K70" s="1741"/>
    </row>
    <row r="71" spans="2:17" ht="18" customHeight="1" x14ac:dyDescent="0.2">
      <c r="B71" s="1733"/>
      <c r="C71" s="1716"/>
      <c r="D71" s="1074" t="str">
        <f>RIGHT('Expense Jrnl'!CD$7,3)</f>
        <v>(f)</v>
      </c>
      <c r="E71" s="1045">
        <f>+'Expense Jrnl'!CD6</f>
        <v>5660</v>
      </c>
      <c r="F71" s="1734" t="str">
        <f>IF('Expense Jrnl'!CD$8="Available (Rename)","Available",'Expense Jrnl'!CD$8)</f>
        <v>Available</v>
      </c>
      <c r="G71" s="1734"/>
      <c r="H71" s="1734"/>
      <c r="I71" s="1734"/>
      <c r="J71" s="1046">
        <f>+'Expense Jrnl'!CD516</f>
        <v>0</v>
      </c>
      <c r="K71" s="1741"/>
      <c r="Q71" s="143"/>
    </row>
    <row r="72" spans="2:17" ht="18" customHeight="1" x14ac:dyDescent="0.2">
      <c r="B72" s="1733"/>
      <c r="C72" s="1716"/>
      <c r="D72" s="1040" t="str">
        <f>RIGHT('Expense Jrnl'!CE$7,4)</f>
        <v xml:space="preserve"> (g)</v>
      </c>
      <c r="E72" s="1045">
        <f>+'Expense Jrnl'!CE$6</f>
        <v>5670</v>
      </c>
      <c r="F72" s="1734" t="str">
        <f>IF('Expense Jrnl'!CE$8="Available (Rename)","Available",'Expense Jrnl'!CE$8)</f>
        <v>Available</v>
      </c>
      <c r="G72" s="1734"/>
      <c r="H72" s="1734"/>
      <c r="I72" s="1734"/>
      <c r="J72" s="1091">
        <f>+'Expense Jrnl'!CE$516</f>
        <v>0</v>
      </c>
      <c r="K72" s="1741"/>
    </row>
    <row r="73" spans="2:17" ht="18" customHeight="1" x14ac:dyDescent="0.2">
      <c r="B73" s="1733"/>
      <c r="C73" s="1716"/>
      <c r="D73" s="1040" t="str">
        <f>RIGHT('Expense Jrnl'!CF$7,4)</f>
        <v xml:space="preserve"> (h)</v>
      </c>
      <c r="E73" s="1045">
        <f>+'Expense Jrnl'!CF$6</f>
        <v>5680</v>
      </c>
      <c r="F73" s="1734" t="str">
        <f>IF('Expense Jrnl'!CF$8="Available (Rename)","Available",'Expense Jrnl'!CF$8)</f>
        <v>Available</v>
      </c>
      <c r="G73" s="1734"/>
      <c r="H73" s="1734"/>
      <c r="I73" s="1734"/>
      <c r="J73" s="1091">
        <f>+'Expense Jrnl'!CF$516</f>
        <v>0</v>
      </c>
      <c r="K73" s="1741"/>
    </row>
    <row r="74" spans="2:17" ht="18" customHeight="1" x14ac:dyDescent="0.2">
      <c r="B74" s="1733"/>
      <c r="C74" s="1716"/>
      <c r="D74" s="1075" t="str">
        <f>RIGHT('Expense Jrnl'!CG$7,4)</f>
        <v xml:space="preserve"> (i)</v>
      </c>
      <c r="E74" s="1045">
        <f>+'Expense Jrnl'!CG$6</f>
        <v>5690</v>
      </c>
      <c r="F74" s="1734" t="str">
        <f>IF('Expense Jrnl'!CG$8="Available (Rename)","Available",'Expense Jrnl'!CG$8)</f>
        <v>Available</v>
      </c>
      <c r="G74" s="1734"/>
      <c r="H74" s="1734"/>
      <c r="I74" s="1734"/>
      <c r="J74" s="1091">
        <f>+'Expense Jrnl'!CG$516</f>
        <v>0</v>
      </c>
      <c r="K74" s="1741"/>
    </row>
    <row r="75" spans="2:17" ht="18" customHeight="1" x14ac:dyDescent="0.2">
      <c r="B75" s="676"/>
      <c r="C75" s="677"/>
      <c r="D75" s="1085"/>
      <c r="E75" s="1056">
        <v>5699</v>
      </c>
      <c r="F75" s="1736" t="str">
        <f>CONCATENATE('Expense Jrnl'!BY5," - ","Total:")</f>
        <v>Expenses - Other Fundraising - Total:</v>
      </c>
      <c r="G75" s="1736"/>
      <c r="H75" s="1736"/>
      <c r="I75" s="1736"/>
      <c r="J75" s="1736"/>
      <c r="K75" s="1078">
        <f>SUM(J66:J74)</f>
        <v>0</v>
      </c>
    </row>
    <row r="76" spans="2:17" ht="12" customHeight="1" x14ac:dyDescent="0.2">
      <c r="B76" s="1586"/>
      <c r="C76" s="1586"/>
      <c r="D76" s="1586"/>
      <c r="E76" s="1586"/>
      <c r="F76" s="1586"/>
      <c r="G76" s="1586"/>
      <c r="H76" s="1586"/>
      <c r="I76" s="1586"/>
      <c r="J76" s="1586"/>
      <c r="K76" s="1586"/>
      <c r="L76" s="1586"/>
    </row>
    <row r="77" spans="2:17" ht="18" customHeight="1" x14ac:dyDescent="0.2">
      <c r="B77" s="1073"/>
      <c r="C77" s="1715" t="str">
        <f>CONCATENATE('Expense Jrnl'!CH4," - ",'Expense Jrnl'!CH5)</f>
        <v>5800 - Other Expenses</v>
      </c>
      <c r="D77" s="1715"/>
      <c r="E77" s="1715"/>
      <c r="F77" s="1715"/>
      <c r="G77" s="1715"/>
      <c r="H77" s="1715"/>
      <c r="I77" s="1715"/>
      <c r="J77" s="1715"/>
      <c r="K77" s="1715"/>
    </row>
    <row r="78" spans="2:17" ht="18" customHeight="1" x14ac:dyDescent="0.2">
      <c r="B78" s="1733"/>
      <c r="C78" s="1716" t="str">
        <f>LEFT('Expense Jrnl'!CH7,1)</f>
        <v>8</v>
      </c>
      <c r="D78" s="1074" t="str">
        <f>RIGHT('Expense Jrnl'!CH$7,3)</f>
        <v>(a)</v>
      </c>
      <c r="E78" s="1045">
        <f>+'Expense Jrnl'!CH6</f>
        <v>5810</v>
      </c>
      <c r="F78" s="1719" t="str">
        <f>+'Expense Jrnl'!CH8</f>
        <v>Travel Expenses (not entered elsewhere)</v>
      </c>
      <c r="G78" s="1719"/>
      <c r="H78" s="1719"/>
      <c r="I78" s="1719"/>
      <c r="J78" s="1092">
        <f>+'Expense Jrnl'!CH516</f>
        <v>0</v>
      </c>
      <c r="K78" s="1702"/>
    </row>
    <row r="79" spans="2:17" ht="18" customHeight="1" x14ac:dyDescent="0.2">
      <c r="B79" s="1733"/>
      <c r="C79" s="1716"/>
      <c r="D79" s="1074" t="str">
        <f>RIGHT('Expense Jrnl'!CI$7,3)</f>
        <v>(b)</v>
      </c>
      <c r="E79" s="1045">
        <f>+'Expense Jrnl'!CI6</f>
        <v>5820</v>
      </c>
      <c r="F79" s="1719" t="str">
        <f>+'Expense Jrnl'!CI$8</f>
        <v>Capital Losts</v>
      </c>
      <c r="G79" s="1719"/>
      <c r="H79" s="1719"/>
      <c r="I79" s="1719"/>
      <c r="J79" s="1092">
        <f>+'Expense Jrnl'!CI516</f>
        <v>0</v>
      </c>
      <c r="K79" s="1702"/>
    </row>
    <row r="80" spans="2:17" ht="18" customHeight="1" x14ac:dyDescent="0.2">
      <c r="B80" s="1733"/>
      <c r="C80" s="1716"/>
      <c r="D80" s="1074" t="str">
        <f>RIGHT('Expense Jrnl'!CJ$7,3)</f>
        <v>(c)</v>
      </c>
      <c r="E80" s="1045">
        <f>+'Expense Jrnl'!CJ6</f>
        <v>5830</v>
      </c>
      <c r="F80" s="1719" t="str">
        <f>+'Expense Jrnl'!CJ$8</f>
        <v>Sqn Logo Clothing and Other Sales Items</v>
      </c>
      <c r="G80" s="1719"/>
      <c r="H80" s="1719"/>
      <c r="I80" s="1719"/>
      <c r="J80" s="1092">
        <f>'Expense Jrnl'!CJ516</f>
        <v>0</v>
      </c>
      <c r="K80" s="1702"/>
    </row>
    <row r="81" spans="2:15" ht="18" customHeight="1" x14ac:dyDescent="0.2">
      <c r="B81" s="1733"/>
      <c r="C81" s="1716"/>
      <c r="D81" s="1074" t="str">
        <f>RIGHT('Expense Jrnl'!CK$7,3)</f>
        <v>(d)</v>
      </c>
      <c r="E81" s="1045">
        <f>+'Expense Jrnl'!CK6</f>
        <v>5840</v>
      </c>
      <c r="F81" s="1719" t="str">
        <f>IF('Expense Jrnl'!CK$8="Available (Rename)","Available",'Expense Jrnl'!CK$8)</f>
        <v>Available</v>
      </c>
      <c r="G81" s="1719"/>
      <c r="H81" s="1719"/>
      <c r="I81" s="1719"/>
      <c r="J81" s="1092">
        <f>+'Expense Jrnl'!CK516</f>
        <v>0</v>
      </c>
      <c r="K81" s="1702"/>
    </row>
    <row r="82" spans="2:15" ht="18" customHeight="1" x14ac:dyDescent="0.2">
      <c r="B82" s="1733"/>
      <c r="C82" s="1716"/>
      <c r="D82" s="1074" t="str">
        <f>RIGHT('Expense Jrnl'!CL$7,3)</f>
        <v>(e)</v>
      </c>
      <c r="E82" s="1045">
        <f>+'Expense Jrnl'!CL6</f>
        <v>5850</v>
      </c>
      <c r="F82" s="1719" t="str">
        <f>IF('Expense Jrnl'!CL$8="Available (Rename)","Available",'Expense Jrnl'!CL$8)</f>
        <v>Available</v>
      </c>
      <c r="G82" s="1719"/>
      <c r="H82" s="1719"/>
      <c r="I82" s="1719"/>
      <c r="J82" s="1092">
        <f>+'Expense Jrnl'!CL516</f>
        <v>0</v>
      </c>
      <c r="K82" s="1702"/>
    </row>
    <row r="83" spans="2:15" ht="18" customHeight="1" x14ac:dyDescent="0.2">
      <c r="B83" s="1733"/>
      <c r="C83" s="1716"/>
      <c r="D83" s="1074" t="str">
        <f>RIGHT('Expense Jrnl'!CM$7,3)</f>
        <v>(f)</v>
      </c>
      <c r="E83" s="1045">
        <f>+'Expense Jrnl'!CM6</f>
        <v>5860</v>
      </c>
      <c r="F83" s="1719" t="str">
        <f>IF('Expense Jrnl'!CM$8="Available (Rename)","Available",'Expense Jrnl'!CM$8)</f>
        <v>Available</v>
      </c>
      <c r="G83" s="1719"/>
      <c r="H83" s="1719"/>
      <c r="I83" s="1719"/>
      <c r="J83" s="1092">
        <f>+'Expense Jrnl'!CM516</f>
        <v>0</v>
      </c>
      <c r="K83" s="1702"/>
    </row>
    <row r="84" spans="2:15" ht="18" customHeight="1" x14ac:dyDescent="0.2">
      <c r="B84" s="1733"/>
      <c r="C84" s="1716"/>
      <c r="D84" s="1074" t="str">
        <f>RIGHT('Expense Jrnl'!CN$7,3)</f>
        <v>(g)</v>
      </c>
      <c r="E84" s="1045">
        <f>+'Expense Jrnl'!CN6</f>
        <v>5870</v>
      </c>
      <c r="F84" s="1719" t="str">
        <f>IF('Expense Jrnl'!CN$8="Available (Rename)","Available",'Expense Jrnl'!CN$8)</f>
        <v>Available</v>
      </c>
      <c r="G84" s="1719"/>
      <c r="H84" s="1719"/>
      <c r="I84" s="1719"/>
      <c r="J84" s="1092">
        <f>+'Expense Jrnl'!CN$516</f>
        <v>0</v>
      </c>
      <c r="K84" s="1702"/>
    </row>
    <row r="85" spans="2:15" ht="18" customHeight="1" x14ac:dyDescent="0.2">
      <c r="B85" s="1733"/>
      <c r="C85" s="1716"/>
      <c r="D85" s="1075" t="str">
        <f>RIGHT('Expense Jrnl'!CO$7,3)</f>
        <v>(h)</v>
      </c>
      <c r="E85" s="1045">
        <f>+'Expense Jrnl'!CO6</f>
        <v>5880</v>
      </c>
      <c r="F85" s="1719" t="str">
        <f>+'Expense Jrnl'!CO8</f>
        <v>Other Expenses (Must not be Excessive)</v>
      </c>
      <c r="G85" s="1719"/>
      <c r="H85" s="1719"/>
      <c r="I85" s="1719"/>
      <c r="J85" s="1092">
        <f>+'Expense Jrnl'!CO$516</f>
        <v>0</v>
      </c>
      <c r="K85" s="1702"/>
    </row>
    <row r="86" spans="2:15" ht="18" customHeight="1" x14ac:dyDescent="0.2">
      <c r="B86" s="1093"/>
      <c r="C86" s="1094"/>
      <c r="D86" s="1095"/>
      <c r="E86" s="1056">
        <v>5899</v>
      </c>
      <c r="F86" s="1736" t="str">
        <f>CONCATENATE('Expense Jrnl'!CH5," - ","Total:")</f>
        <v>Other Expenses - Total:</v>
      </c>
      <c r="G86" s="1736"/>
      <c r="H86" s="1736"/>
      <c r="I86" s="1736"/>
      <c r="J86" s="1736"/>
      <c r="K86" s="1057">
        <f>SUM(J78:J85)</f>
        <v>0</v>
      </c>
    </row>
    <row r="87" spans="2:15" ht="12.75" customHeight="1" x14ac:dyDescent="0.2">
      <c r="B87" s="1586"/>
      <c r="C87" s="1586"/>
      <c r="D87" s="1586"/>
      <c r="E87" s="1586"/>
      <c r="F87" s="1586"/>
      <c r="G87" s="1586"/>
      <c r="H87" s="1586"/>
      <c r="I87" s="1586"/>
      <c r="J87" s="1586"/>
      <c r="K87" s="1069"/>
    </row>
    <row r="88" spans="2:15" ht="18" customHeight="1" x14ac:dyDescent="0.2">
      <c r="C88" s="143"/>
      <c r="D88" s="62"/>
      <c r="E88" s="1096">
        <v>6000</v>
      </c>
      <c r="F88" s="1727" t="str">
        <f>IF(M4=2,"TOTAL des déboursés:","Total Expenses:")</f>
        <v>Total Expenses:</v>
      </c>
      <c r="G88" s="1727"/>
      <c r="H88" s="1727"/>
      <c r="I88" s="1727"/>
      <c r="J88" s="1727"/>
      <c r="K88" s="1068">
        <f>+K29+K51+K63+K75+K86</f>
        <v>0</v>
      </c>
    </row>
    <row r="89" spans="2:15" ht="12.75" customHeight="1" x14ac:dyDescent="0.2">
      <c r="K89" s="1069"/>
    </row>
    <row r="90" spans="2:15" ht="18" customHeight="1" x14ac:dyDescent="0.2">
      <c r="B90" s="143"/>
      <c r="C90" s="143"/>
      <c r="D90" s="62"/>
      <c r="E90" s="1096">
        <f>'ACC9 (Pages 2-3) Revenues'!E67</f>
        <v>5000</v>
      </c>
      <c r="F90" s="1510" t="str">
        <f>IF(M4=2,"Total des revenus (Ligne 5000 page 3):","Total Revenues (Line 5000 Page 3):")</f>
        <v>Total Revenues (Line 5000 Page 3):</v>
      </c>
      <c r="G90" s="1510"/>
      <c r="H90" s="1510"/>
      <c r="I90" s="1510"/>
      <c r="J90" s="1510"/>
      <c r="K90" s="1068">
        <f>+'ACC9 (Pages 2-3) Revenues'!K67</f>
        <v>0</v>
      </c>
    </row>
    <row r="91" spans="2:15" ht="12.75" customHeight="1" x14ac:dyDescent="0.2">
      <c r="B91" s="1586"/>
      <c r="C91" s="1586"/>
      <c r="D91" s="1586"/>
      <c r="E91" s="1586"/>
      <c r="F91" s="1586"/>
      <c r="G91" s="1586"/>
      <c r="H91" s="1586"/>
      <c r="I91" s="1586"/>
      <c r="J91" s="1586"/>
      <c r="K91" s="1069"/>
      <c r="N91" s="1097"/>
      <c r="O91" s="1098"/>
    </row>
    <row r="92" spans="2:15" ht="18" customHeight="1" x14ac:dyDescent="0.2">
      <c r="B92" s="1510" t="str">
        <f>IF(M4=2,"Surplus (Déficit) des recettes sur les déboursés- reporté à la ligne 3110 de la page 6:","Surplus (Deficit) of Revenues over Expenses (Fowarded to line 3110 on page 6):")</f>
        <v>Surplus (Deficit) of Revenues over Expenses (Fowarded to line 3110 on page 6):</v>
      </c>
      <c r="C92" s="1510"/>
      <c r="D92" s="1510"/>
      <c r="E92" s="1510"/>
      <c r="F92" s="1510"/>
      <c r="G92" s="1510"/>
      <c r="H92" s="1510"/>
      <c r="I92" s="1510"/>
      <c r="J92" s="1510"/>
      <c r="K92" s="1068">
        <f>+K90-K88</f>
        <v>0</v>
      </c>
    </row>
    <row r="93" spans="2:15" ht="14.1" customHeight="1" x14ac:dyDescent="0.2">
      <c r="B93" s="1099"/>
      <c r="C93" s="1020"/>
      <c r="D93" s="1020"/>
      <c r="H93" s="1099"/>
      <c r="K93" s="1084" t="s">
        <v>398</v>
      </c>
    </row>
    <row r="94" spans="2:15" ht="14.1" customHeight="1" x14ac:dyDescent="0.2"/>
    <row r="95" spans="2:15" ht="14.1" customHeight="1" x14ac:dyDescent="0.2"/>
    <row r="96" spans="2:15" ht="14.1" customHeight="1" x14ac:dyDescent="0.2"/>
    <row r="97" spans="3:5" ht="14.1" customHeight="1" x14ac:dyDescent="0.2"/>
    <row r="100" spans="3:5" x14ac:dyDescent="0.2">
      <c r="C100" s="1009"/>
      <c r="D100" s="1009"/>
      <c r="E100" s="1009"/>
    </row>
    <row r="102" spans="3:5" x14ac:dyDescent="0.2">
      <c r="C102" s="1009"/>
      <c r="D102" s="1009"/>
      <c r="E102" s="1009"/>
    </row>
    <row r="103" spans="3:5" x14ac:dyDescent="0.2">
      <c r="C103" s="1009"/>
      <c r="D103" s="1009"/>
      <c r="E103" s="1009"/>
    </row>
    <row r="104" spans="3:5" x14ac:dyDescent="0.2">
      <c r="C104" s="1009"/>
      <c r="D104" s="1009"/>
      <c r="E104" s="1009"/>
    </row>
    <row r="105" spans="3:5" x14ac:dyDescent="0.2">
      <c r="C105" s="1009"/>
      <c r="D105" s="1009"/>
      <c r="E105" s="1009"/>
    </row>
  </sheetData>
  <sheetProtection algorithmName="SHA-512" hashValue="XF8CTiP5zpWVgt1i2eU993UzljIBWnRbw1l0nBrnCjIBpNEJ/GV9Hjg1HSt++J/dGDSc98wgJjw4klIYGSpg7A==" saltValue="Ezpm+YOu0igGghYvItl3Pw==" spinCount="100000" sheet="1" objects="1" scenarios="1" selectLockedCells="1" selectUnlockedCells="1"/>
  <mergeCells count="105">
    <mergeCell ref="F86:J86"/>
    <mergeCell ref="B87:J87"/>
    <mergeCell ref="F88:J88"/>
    <mergeCell ref="F90:J90"/>
    <mergeCell ref="B91:J91"/>
    <mergeCell ref="B92:J92"/>
    <mergeCell ref="F75:J75"/>
    <mergeCell ref="B76:L76"/>
    <mergeCell ref="C77:K77"/>
    <mergeCell ref="B78:B85"/>
    <mergeCell ref="C78:C85"/>
    <mergeCell ref="F78:I78"/>
    <mergeCell ref="K78:K85"/>
    <mergeCell ref="F79:I79"/>
    <mergeCell ref="F80:I80"/>
    <mergeCell ref="F81:I81"/>
    <mergeCell ref="F82:I82"/>
    <mergeCell ref="F83:I83"/>
    <mergeCell ref="F84:I84"/>
    <mergeCell ref="F85:I85"/>
    <mergeCell ref="F63:J63"/>
    <mergeCell ref="C65:K65"/>
    <mergeCell ref="B66:B74"/>
    <mergeCell ref="C66:C74"/>
    <mergeCell ref="F66:I66"/>
    <mergeCell ref="K66:K74"/>
    <mergeCell ref="F67:I67"/>
    <mergeCell ref="F68:I68"/>
    <mergeCell ref="F69:I69"/>
    <mergeCell ref="F70:I70"/>
    <mergeCell ref="F71:I71"/>
    <mergeCell ref="F72:I72"/>
    <mergeCell ref="F73:I73"/>
    <mergeCell ref="F74:I74"/>
    <mergeCell ref="F49:I49"/>
    <mergeCell ref="F50:I50"/>
    <mergeCell ref="F51:J51"/>
    <mergeCell ref="C53:K53"/>
    <mergeCell ref="B54:B62"/>
    <mergeCell ref="C54:C62"/>
    <mergeCell ref="F54:I54"/>
    <mergeCell ref="K54:K62"/>
    <mergeCell ref="F55:I55"/>
    <mergeCell ref="F56:I56"/>
    <mergeCell ref="F57:I57"/>
    <mergeCell ref="F58:I58"/>
    <mergeCell ref="F59:I59"/>
    <mergeCell ref="F60:I60"/>
    <mergeCell ref="F61:I61"/>
    <mergeCell ref="F62:I62"/>
    <mergeCell ref="F29:J29"/>
    <mergeCell ref="F30:I30"/>
    <mergeCell ref="C31:K31"/>
    <mergeCell ref="F32:I32"/>
    <mergeCell ref="K32:K50"/>
    <mergeCell ref="B33:B50"/>
    <mergeCell ref="C33:C40"/>
    <mergeCell ref="F33:I33"/>
    <mergeCell ref="F34:I34"/>
    <mergeCell ref="F35:I35"/>
    <mergeCell ref="F36:I36"/>
    <mergeCell ref="F37:I37"/>
    <mergeCell ref="F38:I38"/>
    <mergeCell ref="F39:I39"/>
    <mergeCell ref="F40:I40"/>
    <mergeCell ref="C41:C50"/>
    <mergeCell ref="F41:I41"/>
    <mergeCell ref="F42:I42"/>
    <mergeCell ref="F43:I43"/>
    <mergeCell ref="F44:I44"/>
    <mergeCell ref="F45:I45"/>
    <mergeCell ref="F46:I46"/>
    <mergeCell ref="F47:I47"/>
    <mergeCell ref="F48:I48"/>
    <mergeCell ref="B10:B28"/>
    <mergeCell ref="C10:C28"/>
    <mergeCell ref="F10:I10"/>
    <mergeCell ref="K10:K28"/>
    <mergeCell ref="F11:I11"/>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F26:I26"/>
    <mergeCell ref="F27:I27"/>
    <mergeCell ref="F28:I28"/>
    <mergeCell ref="B1:K1"/>
    <mergeCell ref="B2:K2"/>
    <mergeCell ref="B3:K3"/>
    <mergeCell ref="B4:K4"/>
    <mergeCell ref="B5:K5"/>
    <mergeCell ref="B6:K6"/>
    <mergeCell ref="B7:E7"/>
    <mergeCell ref="H7:I7"/>
    <mergeCell ref="C9:K9"/>
  </mergeCells>
  <conditionalFormatting sqref="F7 H7">
    <cfRule type="cellIs" dxfId="23" priority="2" operator="equal">
      <formula>0</formula>
    </cfRule>
  </conditionalFormatting>
  <conditionalFormatting sqref="K92">
    <cfRule type="cellIs" dxfId="22" priority="3" operator="lessThan">
      <formula>0</formula>
    </cfRule>
  </conditionalFormatting>
  <printOptions horizontalCentered="1"/>
  <pageMargins left="0.74791666666666701" right="0.15763888888888899" top="0.209722222222222" bottom="0.15763888888888899" header="0.511811023622047" footer="0.511811023622047"/>
  <pageSetup fitToHeight="0" orientation="portrait" horizontalDpi="300" verticalDpi="300"/>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MJ237"/>
  <sheetViews>
    <sheetView showGridLines="0" showRowColHeaders="0" showZeros="0" topLeftCell="A34" zoomScale="85" zoomScaleNormal="85" zoomScalePageLayoutView="115" workbookViewId="0">
      <selection activeCell="M61" sqref="M61"/>
    </sheetView>
  </sheetViews>
  <sheetFormatPr defaultColWidth="11.42578125" defaultRowHeight="12.75" x14ac:dyDescent="0.2"/>
  <cols>
    <col min="1" max="1" width="13.28515625" style="1" customWidth="1"/>
    <col min="2" max="2" width="3.28515625" style="1009" customWidth="1"/>
    <col min="3" max="3" width="3.7109375" style="1" customWidth="1"/>
    <col min="4" max="4" width="5.28515625" style="1" customWidth="1"/>
    <col min="5" max="5" width="9.5703125" style="1" customWidth="1"/>
    <col min="6" max="6" width="7.7109375" style="1" customWidth="1"/>
    <col min="7" max="7" width="6.7109375" style="1" customWidth="1"/>
    <col min="8" max="8" width="6.85546875" style="1" customWidth="1"/>
    <col min="9" max="9" width="11.28515625" style="1" customWidth="1"/>
    <col min="10" max="10" width="13.28515625" style="1" customWidth="1"/>
    <col min="11" max="11" width="33.28515625" style="1" customWidth="1"/>
    <col min="12" max="13" width="16.7109375" style="1" customWidth="1"/>
    <col min="14" max="14" width="13.28515625" style="1" customWidth="1"/>
    <col min="15" max="15" width="4.140625" style="1" customWidth="1"/>
    <col min="16" max="16" width="4" style="1" customWidth="1"/>
    <col min="17" max="17" width="21.85546875" style="1" customWidth="1"/>
    <col min="18" max="18" width="15.85546875" style="1" customWidth="1"/>
    <col min="19" max="19" width="12.140625" style="1" customWidth="1"/>
    <col min="20" max="20" width="10.28515625" style="1" customWidth="1"/>
    <col min="21" max="21" width="19.7109375" style="1" customWidth="1"/>
    <col min="22" max="22" width="11.28515625" style="1" customWidth="1"/>
    <col min="23" max="23" width="7.28515625" style="1" hidden="1" customWidth="1"/>
    <col min="24" max="24" width="5.28515625" style="1" hidden="1" customWidth="1"/>
    <col min="25" max="37" width="9.140625" style="1" hidden="1" customWidth="1"/>
    <col min="38" max="256" width="9.140625" style="1" customWidth="1"/>
    <col min="257" max="1024" width="11.42578125" style="1"/>
  </cols>
  <sheetData>
    <row r="1" spans="1:24" ht="33.75" customHeight="1" x14ac:dyDescent="0.4">
      <c r="B1" s="1452" t="str">
        <f>IF(P1=2,"Bilan","Balance Sheet")</f>
        <v>Balance Sheet</v>
      </c>
      <c r="C1" s="1452"/>
      <c r="D1" s="1452"/>
      <c r="E1" s="1452"/>
      <c r="F1" s="1452"/>
      <c r="G1" s="1452"/>
      <c r="H1" s="1452"/>
      <c r="I1" s="1452"/>
      <c r="J1" s="1452"/>
      <c r="K1" s="1452"/>
      <c r="L1" s="1452"/>
      <c r="M1" s="1452"/>
      <c r="N1" s="1452"/>
      <c r="P1" s="152">
        <f>'Data Set up'!K10</f>
        <v>1</v>
      </c>
    </row>
    <row r="2" spans="1:24" ht="33.75" customHeight="1" x14ac:dyDescent="0.2">
      <c r="B2" s="1569">
        <f>'Data Set up'!B2:I2</f>
        <v>0</v>
      </c>
      <c r="C2" s="1569"/>
      <c r="D2" s="1569"/>
      <c r="E2" s="1569"/>
      <c r="F2" s="1569"/>
      <c r="G2" s="1569"/>
      <c r="H2" s="1569"/>
      <c r="I2" s="1569"/>
      <c r="J2" s="1569"/>
      <c r="K2" s="1569"/>
      <c r="L2" s="1569"/>
      <c r="M2" s="1569"/>
      <c r="N2" s="1569"/>
      <c r="P2" s="152"/>
    </row>
    <row r="3" spans="1:24" ht="20.25" customHeight="1" x14ac:dyDescent="0.2">
      <c r="B3" s="1711" t="str">
        <f>'Cover Page'!B58:Y58</f>
        <v>For  Fiscal Year Ending on 31 August 2024</v>
      </c>
      <c r="C3" s="1711"/>
      <c r="D3" s="1711"/>
      <c r="E3" s="1711"/>
      <c r="F3" s="1711"/>
      <c r="G3" s="1711"/>
      <c r="H3" s="1711"/>
      <c r="I3" s="1711"/>
      <c r="J3" s="1711"/>
      <c r="K3" s="1711"/>
      <c r="L3" s="1711"/>
      <c r="M3" s="1711"/>
      <c r="N3" s="1711"/>
      <c r="W3" s="1" t="str">
        <f>"As at " &amp; EndOfYear &amp; ","</f>
        <v>As at 31 August 2024,</v>
      </c>
    </row>
    <row r="4" spans="1:24" ht="6.75" customHeight="1" x14ac:dyDescent="0.2">
      <c r="B4" s="1504"/>
      <c r="C4" s="1504"/>
      <c r="D4" s="1504"/>
      <c r="E4" s="1504"/>
      <c r="F4" s="1504"/>
      <c r="G4" s="1504"/>
      <c r="H4" s="1743"/>
      <c r="I4" s="1743"/>
      <c r="J4" s="1100"/>
      <c r="K4" s="1732"/>
      <c r="L4" s="1732"/>
      <c r="M4" s="1732"/>
      <c r="N4" s="148"/>
      <c r="W4" s="1" t="str">
        <f>"au " &amp; EndOfYear &amp; ","</f>
        <v>au 31 August 2024,</v>
      </c>
    </row>
    <row r="5" spans="1:24" ht="5.25" customHeight="1" x14ac:dyDescent="0.2">
      <c r="B5" s="1101"/>
    </row>
    <row r="6" spans="1:24" s="22" customFormat="1" ht="15.75" customHeight="1" x14ac:dyDescent="0.2">
      <c r="B6" s="1744" t="str">
        <f>IF(P1=2,"ACTIFS","ASSETS")</f>
        <v>ASSETS</v>
      </c>
      <c r="C6" s="1744"/>
      <c r="D6" s="1744"/>
      <c r="E6" s="1744"/>
      <c r="F6" s="1744"/>
      <c r="G6" s="1744"/>
      <c r="H6" s="1744"/>
      <c r="I6" s="1744"/>
      <c r="J6" s="1744"/>
      <c r="K6" s="1744"/>
      <c r="L6" s="1744"/>
      <c r="M6" s="1744"/>
      <c r="N6" s="1744"/>
    </row>
    <row r="7" spans="1:24" s="22" customFormat="1" ht="18" customHeight="1" x14ac:dyDescent="0.2">
      <c r="B7" s="1102"/>
      <c r="C7" s="1745" t="str">
        <f>IF(P1=2,"1000 - Actifs à court terme:","1000 - Current Assets:")</f>
        <v>1000 - Current Assets:</v>
      </c>
      <c r="D7" s="1745"/>
      <c r="E7" s="1745"/>
      <c r="F7" s="1745"/>
      <c r="G7" s="1745"/>
      <c r="H7" s="1745"/>
      <c r="I7" s="1745"/>
      <c r="J7" s="1745"/>
      <c r="K7" s="1745"/>
      <c r="L7" s="1025" t="str">
        <f>IF(P1=2,"L'an passé","Last year")</f>
        <v>Last year</v>
      </c>
      <c r="M7" s="1025" t="str">
        <f>IF(P1=2,"Cette année","Current year")</f>
        <v>Current year</v>
      </c>
      <c r="N7" s="1103"/>
      <c r="W7" s="145" t="s">
        <v>399</v>
      </c>
    </row>
    <row r="8" spans="1:24" s="80" customFormat="1" ht="16.5" customHeight="1" x14ac:dyDescent="0.2">
      <c r="A8" s="1043"/>
      <c r="B8" s="1104"/>
      <c r="C8" s="1746">
        <v>1</v>
      </c>
      <c r="D8" s="1040" t="s">
        <v>175</v>
      </c>
      <c r="E8" s="1045" t="str">
        <f>'Acct Summ Reconcil'!F8</f>
        <v>1010</v>
      </c>
      <c r="F8" s="1719" t="str">
        <f>'Acct Summ Reconcil'!C8</f>
        <v>Other Cash in hand</v>
      </c>
      <c r="G8" s="1719"/>
      <c r="H8" s="1719"/>
      <c r="I8" s="1719"/>
      <c r="J8" s="1719"/>
      <c r="K8" s="1719"/>
      <c r="L8" s="1106">
        <f>'Acct Detailed Reconcil'!G9</f>
        <v>0</v>
      </c>
      <c r="M8" s="1107">
        <f>'Acct Detailed Reconcil'!G14</f>
        <v>0</v>
      </c>
      <c r="N8" s="1108"/>
      <c r="W8" s="145" t="s">
        <v>400</v>
      </c>
    </row>
    <row r="9" spans="1:24" s="80" customFormat="1" ht="16.5" customHeight="1" x14ac:dyDescent="0.2">
      <c r="A9" s="1043"/>
      <c r="B9" s="1109"/>
      <c r="C9" s="1746"/>
      <c r="D9" s="1040" t="s">
        <v>176</v>
      </c>
      <c r="E9" s="1045" t="str">
        <f>'Acct Summ Reconcil'!M8</f>
        <v>1020</v>
      </c>
      <c r="F9" s="1719" t="str">
        <f>'Acct Summ Reconcil'!I8</f>
        <v>Main Bank Account</v>
      </c>
      <c r="G9" s="1719"/>
      <c r="H9" s="1719"/>
      <c r="I9" s="1719"/>
      <c r="J9" s="1719"/>
      <c r="K9" s="1719"/>
      <c r="L9" s="1110">
        <f>'Acct Detailed Reconcil'!G23</f>
        <v>0</v>
      </c>
      <c r="M9" s="1107">
        <f>'Acct Detailed Reconcil'!G59</f>
        <v>0</v>
      </c>
      <c r="N9" s="1108"/>
      <c r="Q9" s="1111"/>
      <c r="R9" s="1112"/>
      <c r="W9" s="145"/>
    </row>
    <row r="10" spans="1:24" s="80" customFormat="1" ht="16.5" customHeight="1" x14ac:dyDescent="0.2">
      <c r="A10" s="1043"/>
      <c r="B10" s="1109"/>
      <c r="C10" s="1746"/>
      <c r="D10" s="1040" t="s">
        <v>401</v>
      </c>
      <c r="E10" s="1045" t="str">
        <f>'Acct Summ Reconcil'!F21</f>
        <v>1030</v>
      </c>
      <c r="F10" s="1719" t="str">
        <f>'Acct Summ Reconcil'!C21</f>
        <v>Canteen</v>
      </c>
      <c r="G10" s="1719"/>
      <c r="H10" s="1719"/>
      <c r="I10" s="1719"/>
      <c r="J10" s="1719"/>
      <c r="K10" s="1719"/>
      <c r="L10" s="1110">
        <f>'Acct Detailed Reconcil'!G68</f>
        <v>0</v>
      </c>
      <c r="M10" s="1107">
        <f>'Acct Detailed Reconcil'!G73</f>
        <v>0</v>
      </c>
      <c r="N10" s="1108"/>
      <c r="P10" s="1113"/>
      <c r="Q10" s="1114"/>
      <c r="R10" s="1114"/>
      <c r="S10" s="1112"/>
      <c r="T10" s="1112"/>
      <c r="U10" s="1112"/>
      <c r="V10" s="1112"/>
      <c r="W10" s="145"/>
    </row>
    <row r="11" spans="1:24" s="80" customFormat="1" ht="16.5" customHeight="1" x14ac:dyDescent="0.2">
      <c r="A11" s="1043"/>
      <c r="B11" s="1109"/>
      <c r="C11" s="1746"/>
      <c r="D11" s="1040" t="s">
        <v>402</v>
      </c>
      <c r="E11" s="1045" t="str">
        <f>'Acct Summ Reconcil'!M21</f>
        <v>1040</v>
      </c>
      <c r="F11" s="1719" t="str">
        <f>'Acct Summ Reconcil'!I21</f>
        <v>Petty Cash</v>
      </c>
      <c r="G11" s="1719"/>
      <c r="H11" s="1719"/>
      <c r="I11" s="1719"/>
      <c r="J11" s="1719"/>
      <c r="K11" s="1719"/>
      <c r="L11" s="1110">
        <f>'Acct Detailed Reconcil'!G82</f>
        <v>0</v>
      </c>
      <c r="M11" s="1107">
        <f>'Acct Detailed Reconcil'!G87</f>
        <v>0</v>
      </c>
      <c r="N11" s="1108"/>
      <c r="Q11" s="1114"/>
      <c r="R11" s="1114"/>
      <c r="S11" s="1114"/>
      <c r="W11" s="148" t="s">
        <v>403</v>
      </c>
      <c r="X11" s="579" t="s">
        <v>404</v>
      </c>
    </row>
    <row r="12" spans="1:24" s="80" customFormat="1" ht="16.5" customHeight="1" x14ac:dyDescent="0.2">
      <c r="A12" s="1043"/>
      <c r="B12" s="1109"/>
      <c r="C12" s="1746"/>
      <c r="D12" s="1040" t="s">
        <v>405</v>
      </c>
      <c r="E12" s="1045" t="str">
        <f>'Acct Summ Reconcil'!F34</f>
        <v>1050</v>
      </c>
      <c r="F12" s="1719" t="str">
        <f>IF('Acct Summ Reconcil'!C34="Available (Rename) Disponible (Renommez)",IF($P$1=2,"Disponible","Available"),'Acct Summ Reconcil'!C34)</f>
        <v>Available (Rename)</v>
      </c>
      <c r="G12" s="1719"/>
      <c r="H12" s="1719"/>
      <c r="I12" s="1719"/>
      <c r="J12" s="1719"/>
      <c r="K12" s="1719"/>
      <c r="L12" s="1110">
        <f>'Acct Detailed Reconcil'!G96</f>
        <v>0</v>
      </c>
      <c r="M12" s="1107">
        <f>'Acct Detailed Reconcil'!G101</f>
        <v>0</v>
      </c>
      <c r="N12" s="1108"/>
      <c r="Q12" s="1114"/>
      <c r="R12" s="1114"/>
      <c r="S12" s="1114"/>
      <c r="W12" s="145"/>
      <c r="X12" s="579"/>
    </row>
    <row r="13" spans="1:24" s="80" customFormat="1" ht="16.5" customHeight="1" x14ac:dyDescent="0.2">
      <c r="A13" s="1043"/>
      <c r="B13" s="1109"/>
      <c r="C13" s="1746"/>
      <c r="D13" s="1040" t="s">
        <v>406</v>
      </c>
      <c r="E13" s="1045" t="str">
        <f>'Acct Summ Reconcil'!M34</f>
        <v>1060</v>
      </c>
      <c r="F13" s="1719" t="str">
        <f>IF('Acct Summ Reconcil'!I34="Available (Rename) Disponible (Renommez)",IF($P$1=2,"Disponible","Available"),'Acct Summ Reconcil'!I34)</f>
        <v>Available (Rename)</v>
      </c>
      <c r="G13" s="1719"/>
      <c r="H13" s="1719"/>
      <c r="I13" s="1719"/>
      <c r="J13" s="1719"/>
      <c r="K13" s="1719"/>
      <c r="L13" s="1110">
        <f>'Acct Detailed Reconcil'!G110</f>
        <v>0</v>
      </c>
      <c r="M13" s="1107">
        <f>'Acct Detailed Reconcil'!G115</f>
        <v>0</v>
      </c>
      <c r="N13" s="1108"/>
      <c r="Q13" s="1114"/>
      <c r="R13" s="1114"/>
      <c r="S13" s="1114"/>
      <c r="W13" s="145"/>
      <c r="X13" s="579"/>
    </row>
    <row r="14" spans="1:24" s="80" customFormat="1" ht="16.5" customHeight="1" x14ac:dyDescent="0.2">
      <c r="A14" s="1043"/>
      <c r="B14" s="1115"/>
      <c r="C14" s="1746"/>
      <c r="D14" s="1040" t="s">
        <v>407</v>
      </c>
      <c r="E14" s="1045" t="str">
        <f>'Acct Summ Reconcil'!F47</f>
        <v>1070</v>
      </c>
      <c r="F14" s="1722" t="str">
        <f>IF('Acct Summ Reconcil'!C47="Available (Rename) Disponible (Renommez)",IF($P$1=2,"Disponible","Available"),'Acct Summ Reconcil'!C47)</f>
        <v>Available (Rename)</v>
      </c>
      <c r="G14" s="1722"/>
      <c r="H14" s="1722"/>
      <c r="I14" s="1722"/>
      <c r="J14" s="1722"/>
      <c r="K14" s="1722"/>
      <c r="L14" s="1110">
        <f>'Acct Detailed Reconcil'!G124</f>
        <v>0</v>
      </c>
      <c r="M14" s="1107">
        <f>'Acct Detailed Reconcil'!G129</f>
        <v>0</v>
      </c>
      <c r="N14" s="1108"/>
      <c r="Q14" s="1116"/>
      <c r="R14" s="333"/>
      <c r="S14" s="333"/>
    </row>
    <row r="15" spans="1:24" s="80" customFormat="1" ht="16.5" customHeight="1" x14ac:dyDescent="0.2">
      <c r="A15" s="1043"/>
      <c r="B15" s="1117"/>
      <c r="C15" s="1118"/>
      <c r="D15" s="1040"/>
      <c r="E15" s="1119">
        <v>1100</v>
      </c>
      <c r="F15" s="1747" t="str">
        <f>IF(P1=2,"Total Actifs à court terme:","Total Current Assets:")</f>
        <v>Total Current Assets:</v>
      </c>
      <c r="G15" s="1747"/>
      <c r="H15" s="1747"/>
      <c r="I15" s="1747"/>
      <c r="J15" s="1747"/>
      <c r="K15" s="1747"/>
      <c r="L15" s="1120">
        <f>+SUM(L8:L14)</f>
        <v>0</v>
      </c>
      <c r="M15" s="1121"/>
      <c r="N15" s="1122">
        <f>SUM(M8:M14)</f>
        <v>0</v>
      </c>
      <c r="Q15" s="1116"/>
      <c r="R15" s="333"/>
      <c r="S15" s="333"/>
    </row>
    <row r="16" spans="1:24" s="80" customFormat="1" ht="16.5" customHeight="1" x14ac:dyDescent="0.2">
      <c r="A16" s="1043"/>
      <c r="B16" s="1123"/>
      <c r="C16" s="1745" t="str">
        <f>IF(P9=2,"1200 - Actifs à long terme:","1200 - Long-Term Assets:")</f>
        <v>1200 - Long-Term Assets:</v>
      </c>
      <c r="D16" s="1745"/>
      <c r="E16" s="1745"/>
      <c r="F16" s="1745"/>
      <c r="G16" s="1745"/>
      <c r="H16" s="1745"/>
      <c r="I16" s="1745"/>
      <c r="J16" s="1745"/>
      <c r="K16" s="1745"/>
      <c r="L16" s="1025" t="str">
        <f>IF(P9=2,"L'an passé","Last year")</f>
        <v>Last year</v>
      </c>
      <c r="M16" s="1025" t="str">
        <f>IF(P9=2,"Cette année","Current year")</f>
        <v>Current year</v>
      </c>
      <c r="N16" s="1108"/>
      <c r="Q16" s="1116"/>
      <c r="R16" s="333"/>
      <c r="S16" s="333"/>
    </row>
    <row r="17" spans="1:24" s="80" customFormat="1" ht="16.5" customHeight="1" x14ac:dyDescent="0.2">
      <c r="A17" s="1043"/>
      <c r="B17" s="1115"/>
      <c r="C17" s="1746">
        <v>2</v>
      </c>
      <c r="D17" s="1124" t="s">
        <v>408</v>
      </c>
      <c r="E17" s="1045" t="str">
        <f>'Acct Summ Reconcil'!M47</f>
        <v>1210</v>
      </c>
      <c r="F17" s="1722" t="str">
        <f>IF('Acct Summ Reconcil'!I47="Available (Rename) Disponible (Renommez)",IF($P$1=2,"Disponible","Available"),'Acct Summ Reconcil'!I47)</f>
        <v>Investments GICs</v>
      </c>
      <c r="G17" s="1722"/>
      <c r="H17" s="1722"/>
      <c r="I17" s="1722"/>
      <c r="J17" s="1722"/>
      <c r="K17" s="1722"/>
      <c r="L17" s="1110">
        <f>'Acct Detailed Reconcil'!G138</f>
        <v>0</v>
      </c>
      <c r="M17" s="1107">
        <f>'Acct Detailed Reconcil'!G174</f>
        <v>0</v>
      </c>
      <c r="N17" s="1108"/>
      <c r="Q17" s="1116"/>
      <c r="R17" s="1125"/>
      <c r="S17" s="1125"/>
      <c r="T17" s="143"/>
      <c r="U17" s="143"/>
      <c r="V17" s="143"/>
      <c r="W17" s="143"/>
    </row>
    <row r="18" spans="1:24" s="80" customFormat="1" ht="18" customHeight="1" x14ac:dyDescent="0.2">
      <c r="A18" s="1043"/>
      <c r="B18" s="1115"/>
      <c r="C18" s="1746"/>
      <c r="D18" s="1044" t="s">
        <v>409</v>
      </c>
      <c r="E18" s="1041" t="str">
        <f>'Acct Summ Reconcil'!F60</f>
        <v>1220</v>
      </c>
      <c r="F18" s="1725" t="str">
        <f>IF('Acct Summ Reconcil'!C60="Available (Rename) Disponible (Renommez)",IF($P$1=2,"Disponible","Available"),'Acct Summ Reconcil'!C60)</f>
        <v>Investments (Mutual Funds and such)</v>
      </c>
      <c r="G18" s="1725"/>
      <c r="H18" s="1725"/>
      <c r="I18" s="1725"/>
      <c r="J18" s="1725"/>
      <c r="K18" s="1725"/>
      <c r="L18" s="1110">
        <f>'Acct Detailed Reconcil'!G183</f>
        <v>0</v>
      </c>
      <c r="M18" s="1107">
        <f>'Acct Detailed Reconcil'!G219</f>
        <v>0</v>
      </c>
      <c r="N18" s="1108"/>
      <c r="O18" s="670"/>
      <c r="Q18" s="1116"/>
      <c r="R18" s="1125"/>
      <c r="S18" s="1114"/>
      <c r="T18" s="143"/>
      <c r="U18" s="143"/>
      <c r="V18" s="143"/>
      <c r="W18" s="143"/>
    </row>
    <row r="19" spans="1:24" s="80" customFormat="1" ht="20.25" customHeight="1" x14ac:dyDescent="0.2">
      <c r="A19" s="1043"/>
      <c r="B19" s="1126"/>
      <c r="C19" s="1746"/>
      <c r="D19" s="1040" t="s">
        <v>410</v>
      </c>
      <c r="E19" s="1045" t="str">
        <f>'Acct Summ Reconcil'!M60</f>
        <v>1230</v>
      </c>
      <c r="F19" s="1722" t="str">
        <f>IF('Acct Summ Reconcil'!I60="Available (Rename) Disponible (Renommez)",IF($P$1=2,"Disponible","Available"),'Acct Summ Reconcil'!I60)</f>
        <v>Available (Rename)</v>
      </c>
      <c r="G19" s="1722"/>
      <c r="H19" s="1722"/>
      <c r="I19" s="1722"/>
      <c r="J19" s="1722"/>
      <c r="K19" s="1722"/>
      <c r="L19" s="1110">
        <f>'Acct Detailed Reconcil'!G228</f>
        <v>0</v>
      </c>
      <c r="M19" s="1107">
        <f>'Acct Detailed Reconcil'!G264</f>
        <v>0</v>
      </c>
      <c r="N19" s="1108"/>
      <c r="O19" s="670"/>
      <c r="P19" s="1113"/>
      <c r="Q19" s="1116"/>
      <c r="R19" s="333"/>
      <c r="S19" s="333"/>
      <c r="T19" s="1127"/>
      <c r="U19" s="1127"/>
      <c r="V19" s="1127"/>
      <c r="W19" s="1127"/>
      <c r="X19" s="1127"/>
    </row>
    <row r="20" spans="1:24" s="80" customFormat="1" ht="20.25" customHeight="1" x14ac:dyDescent="0.2">
      <c r="A20" s="1043"/>
      <c r="B20" s="1126"/>
      <c r="C20" s="1746"/>
      <c r="D20" s="1040" t="s">
        <v>411</v>
      </c>
      <c r="E20" s="1045" t="str">
        <f>'Acct Summ Reconcil'!F73</f>
        <v>1240</v>
      </c>
      <c r="F20" s="1722" t="str">
        <f>IF('Acct Summ Reconcil'!C73="Available (Rename) Disponible (Renommez)",IF($P$1=2,"Disponible","Available"),'Acct Summ Reconcil'!C73)</f>
        <v>Available (Rename)</v>
      </c>
      <c r="G20" s="1722"/>
      <c r="H20" s="1722"/>
      <c r="I20" s="1722"/>
      <c r="J20" s="1722"/>
      <c r="K20" s="1722"/>
      <c r="L20" s="1110">
        <f>'Acct Detailed Reconcil'!G273</f>
        <v>0</v>
      </c>
      <c r="M20" s="1107">
        <f>'Acct Detailed Reconcil'!G309</f>
        <v>0</v>
      </c>
      <c r="N20" s="1108"/>
      <c r="O20" s="670"/>
      <c r="P20" s="1113"/>
      <c r="Q20" s="1116"/>
      <c r="R20" s="333"/>
      <c r="S20" s="333"/>
      <c r="T20" s="1127"/>
      <c r="U20" s="1127"/>
      <c r="V20" s="1127"/>
      <c r="W20" s="1127"/>
      <c r="X20" s="1127"/>
    </row>
    <row r="21" spans="1:24" s="48" customFormat="1" ht="17.25" customHeight="1" x14ac:dyDescent="0.2">
      <c r="A21" s="142"/>
      <c r="B21" s="1117"/>
      <c r="C21" s="1118"/>
      <c r="D21" s="1040"/>
      <c r="E21" s="1119">
        <v>1300</v>
      </c>
      <c r="F21" s="1747" t="str">
        <f>IF(P1=2,"Total Actifs à long terme:","Total Long-Term Assets:")</f>
        <v>Total Long-Term Assets:</v>
      </c>
      <c r="G21" s="1747"/>
      <c r="H21" s="1747"/>
      <c r="I21" s="1747"/>
      <c r="J21" s="1747"/>
      <c r="K21" s="1747"/>
      <c r="L21" s="1120">
        <f>+SUM(L17:L20)</f>
        <v>0</v>
      </c>
      <c r="M21" s="1121"/>
      <c r="N21" s="1122">
        <f>SUM(M17:M20)</f>
        <v>0</v>
      </c>
      <c r="Q21" s="1128"/>
      <c r="R21" s="1128"/>
    </row>
    <row r="22" spans="1:24" s="48" customFormat="1" ht="7.5" customHeight="1" x14ac:dyDescent="0.2">
      <c r="B22" s="1129"/>
      <c r="C22" s="1748"/>
      <c r="D22" s="1748"/>
      <c r="E22" s="1748"/>
      <c r="F22" s="1748"/>
      <c r="G22" s="1748"/>
      <c r="H22" s="1748"/>
      <c r="I22" s="1748"/>
      <c r="J22" s="1748"/>
      <c r="K22" s="1748"/>
      <c r="L22" s="1748"/>
      <c r="M22" s="1748"/>
      <c r="N22" s="1130"/>
      <c r="Q22" s="1131"/>
    </row>
    <row r="23" spans="1:24" s="48" customFormat="1" ht="14.25" customHeight="1" x14ac:dyDescent="0.2">
      <c r="B23" s="1132"/>
      <c r="C23" s="1745" t="str">
        <f>IF(P1=2,"1500 - Immobilisations:","1500 - Fixed Assets:")</f>
        <v>1500 - Fixed Assets:</v>
      </c>
      <c r="D23" s="1745"/>
      <c r="E23" s="1745"/>
      <c r="F23" s="1745"/>
      <c r="G23" s="1745"/>
      <c r="H23" s="1745"/>
      <c r="I23" s="1745"/>
      <c r="J23" s="1745"/>
      <c r="K23" s="1745"/>
      <c r="L23" s="502" t="str">
        <f>IF($P$1=2,"Valeur à","Purchase")</f>
        <v>Purchase</v>
      </c>
      <c r="M23" s="502" t="str">
        <f>IF($P$1=2,"A valeur","At Nominal")</f>
        <v>At Nominal</v>
      </c>
      <c r="N23" s="1749"/>
      <c r="Q23" s="1131"/>
    </row>
    <row r="24" spans="1:24" s="48" customFormat="1" ht="12" customHeight="1" x14ac:dyDescent="0.2">
      <c r="B24" s="1133"/>
      <c r="C24" s="1745"/>
      <c r="D24" s="1745"/>
      <c r="E24" s="1745"/>
      <c r="F24" s="1745"/>
      <c r="G24" s="1745"/>
      <c r="H24" s="1745"/>
      <c r="I24" s="1745"/>
      <c r="J24" s="1745"/>
      <c r="K24" s="1745"/>
      <c r="L24" s="1134" t="str">
        <f>IF($P$1=2,"l'achat","Cost")</f>
        <v>Cost</v>
      </c>
      <c r="M24" s="1134" t="str">
        <f>IF($P$1=2,"nominale de $1","Value of $1")</f>
        <v>Value of $1</v>
      </c>
      <c r="N24" s="1749"/>
    </row>
    <row r="25" spans="1:24" s="80" customFormat="1" ht="16.5" customHeight="1" x14ac:dyDescent="0.2">
      <c r="B25" s="1135"/>
      <c r="C25" s="1746">
        <v>3</v>
      </c>
      <c r="D25" s="1040" t="s">
        <v>175</v>
      </c>
      <c r="E25" s="1045" t="str">
        <f>LEFT('ACC9 (Pages 7-9) Fixed Assets'!B8,4)</f>
        <v>1510</v>
      </c>
      <c r="F25" s="1750" t="str">
        <f>'ACC9 (Pages 7-9) Fixed Assets'!C8</f>
        <v>Aircrafts</v>
      </c>
      <c r="G25" s="1750"/>
      <c r="H25" s="1750"/>
      <c r="I25" s="1750"/>
      <c r="J25" s="1750"/>
      <c r="K25" s="1750"/>
      <c r="L25" s="1110">
        <f>'ACC9 (Pages 7-9) Fixed Assets'!I17</f>
        <v>0</v>
      </c>
      <c r="M25" s="1107">
        <f t="shared" ref="M25:M36" si="0">IF(L25&gt;0,1,0)</f>
        <v>0</v>
      </c>
      <c r="N25" s="1749"/>
      <c r="Q25" s="1136"/>
    </row>
    <row r="26" spans="1:24" s="80" customFormat="1" ht="16.5" customHeight="1" x14ac:dyDescent="0.2">
      <c r="B26" s="1137"/>
      <c r="C26" s="1746"/>
      <c r="D26" s="1040" t="s">
        <v>176</v>
      </c>
      <c r="E26" s="1045" t="str">
        <f>LEFT('ACC9 (Pages 7-9) Fixed Assets'!B19,4)</f>
        <v>1520</v>
      </c>
      <c r="F26" s="1750" t="str">
        <f>'ACC9 (Pages 7-9) Fixed Assets'!C19</f>
        <v>Land &amp; Properties</v>
      </c>
      <c r="G26" s="1750"/>
      <c r="H26" s="1750"/>
      <c r="I26" s="1750"/>
      <c r="J26" s="1750"/>
      <c r="K26" s="1750"/>
      <c r="L26" s="1110">
        <f>'ACC9 (Pages 7-9) Fixed Assets'!I28</f>
        <v>0</v>
      </c>
      <c r="M26" s="1107">
        <f t="shared" si="0"/>
        <v>0</v>
      </c>
      <c r="N26" s="1749"/>
      <c r="Q26" s="1"/>
    </row>
    <row r="27" spans="1:24" s="80" customFormat="1" ht="16.5" customHeight="1" x14ac:dyDescent="0.2">
      <c r="B27" s="1137"/>
      <c r="C27" s="1746"/>
      <c r="D27" s="1040" t="s">
        <v>401</v>
      </c>
      <c r="E27" s="1045" t="str">
        <f>LEFT('ACC9 (Pages 7-9) Fixed Assets'!B30,4)</f>
        <v>1530</v>
      </c>
      <c r="F27" s="1750" t="str">
        <f>'ACC9 (Pages 7-9) Fixed Assets'!C30</f>
        <v>Buildings</v>
      </c>
      <c r="G27" s="1750"/>
      <c r="H27" s="1750"/>
      <c r="I27" s="1750"/>
      <c r="J27" s="1750"/>
      <c r="K27" s="1750"/>
      <c r="L27" s="1110">
        <f>'ACC9 (Pages 7-9) Fixed Assets'!I39</f>
        <v>0</v>
      </c>
      <c r="M27" s="1107">
        <f t="shared" si="0"/>
        <v>0</v>
      </c>
      <c r="N27" s="1749"/>
      <c r="Q27" s="1"/>
    </row>
    <row r="28" spans="1:24" s="80" customFormat="1" ht="16.5" customHeight="1" x14ac:dyDescent="0.2">
      <c r="B28" s="1137"/>
      <c r="C28" s="1746"/>
      <c r="D28" s="1040" t="s">
        <v>402</v>
      </c>
      <c r="E28" s="1045" t="str">
        <f>LEFT('ACC9 (Pages 7-9) Fixed Assets'!B41,4)</f>
        <v>1540</v>
      </c>
      <c r="F28" s="1750" t="str">
        <f>'ACC9 (Pages 7-9) Fixed Assets'!C41</f>
        <v>Vehicles</v>
      </c>
      <c r="G28" s="1750"/>
      <c r="H28" s="1750"/>
      <c r="I28" s="1750"/>
      <c r="J28" s="1750"/>
      <c r="K28" s="1750"/>
      <c r="L28" s="1110">
        <f>'ACC9 (Pages 7-9) Fixed Assets'!I50</f>
        <v>0</v>
      </c>
      <c r="M28" s="1107">
        <f t="shared" si="0"/>
        <v>0</v>
      </c>
      <c r="N28" s="1749"/>
      <c r="Q28" s="1"/>
    </row>
    <row r="29" spans="1:24" s="80" customFormat="1" ht="16.5" customHeight="1" x14ac:dyDescent="0.2">
      <c r="B29" s="1137"/>
      <c r="C29" s="1746"/>
      <c r="D29" s="1040" t="s">
        <v>405</v>
      </c>
      <c r="E29" s="1045" t="str">
        <f>LEFT('ACC9 (Pages 7-9) Fixed Assets'!B52,4)</f>
        <v>1550</v>
      </c>
      <c r="F29" s="1750" t="str">
        <f>'ACC9 (Pages 7-9) Fixed Assets'!C52</f>
        <v>Office Equipment</v>
      </c>
      <c r="G29" s="1750"/>
      <c r="H29" s="1750"/>
      <c r="I29" s="1750"/>
      <c r="J29" s="1750"/>
      <c r="K29" s="1750"/>
      <c r="L29" s="1110">
        <f>'ACC9 (Pages 7-9) Fixed Assets'!I61</f>
        <v>0</v>
      </c>
      <c r="M29" s="1107">
        <f t="shared" si="0"/>
        <v>0</v>
      </c>
      <c r="N29" s="1749"/>
      <c r="Q29" s="1"/>
    </row>
    <row r="30" spans="1:24" s="80" customFormat="1" ht="16.5" customHeight="1" x14ac:dyDescent="0.2">
      <c r="B30" s="1137"/>
      <c r="C30" s="1746"/>
      <c r="D30" s="1040" t="s">
        <v>406</v>
      </c>
      <c r="E30" s="1045" t="str">
        <f>LEFT('ACC9 (Pages 7-9) Fixed Assets'!B63,4)</f>
        <v>1560</v>
      </c>
      <c r="F30" s="1750" t="str">
        <f>'ACC9 (Pages 7-9) Fixed Assets'!C63</f>
        <v>Sport Equipment</v>
      </c>
      <c r="G30" s="1750"/>
      <c r="H30" s="1750"/>
      <c r="I30" s="1750"/>
      <c r="J30" s="1750"/>
      <c r="K30" s="1750"/>
      <c r="L30" s="1110">
        <f>'ACC9 (Pages 7-9) Fixed Assets'!I72</f>
        <v>0</v>
      </c>
      <c r="M30" s="1107">
        <f t="shared" si="0"/>
        <v>0</v>
      </c>
      <c r="N30" s="1749"/>
      <c r="Q30" s="1"/>
      <c r="T30" s="1138"/>
    </row>
    <row r="31" spans="1:24" s="80" customFormat="1" ht="16.5" customHeight="1" x14ac:dyDescent="0.2">
      <c r="B31" s="1137"/>
      <c r="C31" s="1746"/>
      <c r="D31" s="1040" t="s">
        <v>407</v>
      </c>
      <c r="E31" s="1045" t="str">
        <f>LEFT('ACC9 (Pages 7-9) Fixed Assets'!B74,4)</f>
        <v>1570</v>
      </c>
      <c r="F31" s="1750" t="str">
        <f>'ACC9 (Pages 7-9) Fixed Assets'!C74</f>
        <v>Photography Equipment</v>
      </c>
      <c r="G31" s="1750"/>
      <c r="H31" s="1750"/>
      <c r="I31" s="1750"/>
      <c r="J31" s="1750"/>
      <c r="K31" s="1750"/>
      <c r="L31" s="1110">
        <f>'ACC9 (Pages 7-9) Fixed Assets'!I83</f>
        <v>0</v>
      </c>
      <c r="M31" s="1107">
        <f t="shared" si="0"/>
        <v>0</v>
      </c>
      <c r="N31" s="1749"/>
      <c r="Q31" s="1"/>
    </row>
    <row r="32" spans="1:24" s="80" customFormat="1" ht="16.5" customHeight="1" x14ac:dyDescent="0.2">
      <c r="B32" s="1137"/>
      <c r="C32" s="1746"/>
      <c r="D32" s="1040" t="s">
        <v>408</v>
      </c>
      <c r="E32" s="1045" t="str">
        <f>LEFT('ACC9 (Pages 7-9) Fixed Assets'!B85,4)</f>
        <v>1580</v>
      </c>
      <c r="F32" s="1750" t="str">
        <f>'ACC9 (Pages 7-9) Fixed Assets'!C85</f>
        <v>Field Equipment</v>
      </c>
      <c r="G32" s="1750"/>
      <c r="H32" s="1750"/>
      <c r="I32" s="1750"/>
      <c r="J32" s="1750"/>
      <c r="K32" s="1750"/>
      <c r="L32" s="1110">
        <f>'ACC9 (Pages 7-9) Fixed Assets'!I94</f>
        <v>0</v>
      </c>
      <c r="M32" s="1107">
        <f t="shared" si="0"/>
        <v>0</v>
      </c>
      <c r="N32" s="1749"/>
      <c r="Q32" s="1"/>
    </row>
    <row r="33" spans="2:19" s="80" customFormat="1" ht="16.5" customHeight="1" x14ac:dyDescent="0.2">
      <c r="B33" s="1137"/>
      <c r="C33" s="1746"/>
      <c r="D33" s="1040" t="s">
        <v>409</v>
      </c>
      <c r="E33" s="1045" t="str">
        <f>LEFT('ACC9 (Pages 7-9) Fixed Assets'!B96,4)</f>
        <v>1590</v>
      </c>
      <c r="F33" s="1750" t="str">
        <f>'ACC9 (Pages 7-9) Fixed Assets'!C96</f>
        <v>Electronic Equipment</v>
      </c>
      <c r="G33" s="1750"/>
      <c r="H33" s="1750"/>
      <c r="I33" s="1750"/>
      <c r="J33" s="1750"/>
      <c r="K33" s="1750"/>
      <c r="L33" s="1110">
        <f>'ACC9 (Pages 7-9) Fixed Assets'!I105</f>
        <v>0</v>
      </c>
      <c r="M33" s="1107">
        <f t="shared" si="0"/>
        <v>0</v>
      </c>
      <c r="N33" s="1749"/>
      <c r="Q33" s="1"/>
    </row>
    <row r="34" spans="2:19" s="80" customFormat="1" ht="16.5" customHeight="1" x14ac:dyDescent="0.2">
      <c r="B34" s="1137"/>
      <c r="C34" s="1746"/>
      <c r="D34" s="1040" t="s">
        <v>410</v>
      </c>
      <c r="E34" s="1045" t="str">
        <f>LEFT('ACC9 (Pages 7-9) Fixed Assets'!B107,4)</f>
        <v>1600</v>
      </c>
      <c r="F34" s="1750" t="str">
        <f>'ACC9 (Pages 7-9) Fixed Assets'!C107</f>
        <v>Music Instruments &amp; Accessories</v>
      </c>
      <c r="G34" s="1750"/>
      <c r="H34" s="1750"/>
      <c r="I34" s="1750"/>
      <c r="J34" s="1750"/>
      <c r="K34" s="1750"/>
      <c r="L34" s="1110">
        <f>'ACC9 (Pages 7-9) Fixed Assets'!I124</f>
        <v>0</v>
      </c>
      <c r="M34" s="1107">
        <f t="shared" si="0"/>
        <v>0</v>
      </c>
      <c r="N34" s="1749"/>
      <c r="Q34" s="1"/>
    </row>
    <row r="35" spans="2:19" s="80" customFormat="1" ht="16.5" customHeight="1" x14ac:dyDescent="0.2">
      <c r="B35" s="1137"/>
      <c r="C35" s="1746"/>
      <c r="D35" s="1040" t="s">
        <v>411</v>
      </c>
      <c r="E35" s="1045" t="str">
        <f>LEFT('ACC9 (Pages 7-9) Fixed Assets'!B126,4)</f>
        <v>1610</v>
      </c>
      <c r="F35" s="1750" t="str">
        <f>'ACC9 (Pages 7-9) Fixed Assets'!C126</f>
        <v>Trophies &amp; Awards</v>
      </c>
      <c r="G35" s="1750"/>
      <c r="H35" s="1750"/>
      <c r="I35" s="1750"/>
      <c r="J35" s="1750"/>
      <c r="K35" s="1750"/>
      <c r="L35" s="1110">
        <f>'ACC9 (Pages 7-9) Fixed Assets'!I135</f>
        <v>0</v>
      </c>
      <c r="M35" s="1107">
        <f t="shared" si="0"/>
        <v>0</v>
      </c>
      <c r="N35" s="1749"/>
      <c r="Q35" s="1"/>
    </row>
    <row r="36" spans="2:19" s="80" customFormat="1" ht="16.5" customHeight="1" x14ac:dyDescent="0.2">
      <c r="B36" s="1139"/>
      <c r="C36" s="1746"/>
      <c r="D36" s="1040" t="s">
        <v>412</v>
      </c>
      <c r="E36" s="1045" t="str">
        <f>LEFT('ACC9 (Pages 7-9) Fixed Assets'!B137,4)</f>
        <v>1620</v>
      </c>
      <c r="F36" s="1750" t="str">
        <f>'ACC9 (Pages 7-9) Fixed Assets'!C137</f>
        <v>Miscellaneous</v>
      </c>
      <c r="G36" s="1750"/>
      <c r="H36" s="1750"/>
      <c r="I36" s="1750"/>
      <c r="J36" s="1750"/>
      <c r="K36" s="1750"/>
      <c r="L36" s="1110">
        <f>'ACC9 (Pages 7-9) Fixed Assets'!I146</f>
        <v>0</v>
      </c>
      <c r="M36" s="1107">
        <f t="shared" si="0"/>
        <v>0</v>
      </c>
      <c r="N36" s="1749"/>
      <c r="Q36" s="1"/>
    </row>
    <row r="37" spans="2:19" s="80" customFormat="1" ht="18.75" customHeight="1" x14ac:dyDescent="0.2">
      <c r="B37" s="1043"/>
      <c r="C37" s="355"/>
      <c r="D37" s="1751"/>
      <c r="E37" s="1119">
        <v>1700</v>
      </c>
      <c r="F37" s="1752" t="str">
        <f>IF(P1=2,"Total Immobilisations - Valeurs de remplacement par catégorie:","Total Fixed Assets - At Replacement Value per category:")</f>
        <v>Total Fixed Assets - At Replacement Value per category:</v>
      </c>
      <c r="G37" s="1752"/>
      <c r="H37" s="1752"/>
      <c r="I37" s="1752"/>
      <c r="J37" s="1752"/>
      <c r="K37" s="1752"/>
      <c r="L37" s="1140">
        <f>SUM(L25:L36)</f>
        <v>0</v>
      </c>
      <c r="M37" s="1141"/>
      <c r="N37" s="1749"/>
    </row>
    <row r="38" spans="2:19" s="1" customFormat="1" ht="16.5" customHeight="1" x14ac:dyDescent="0.25">
      <c r="D38" s="1751"/>
      <c r="E38" s="1142">
        <v>1800</v>
      </c>
      <c r="F38" s="1753" t="str">
        <f>IF(P1=2,"Total Immobilisations - Valeurs nominales de 1$ par catégorie:","Total Fixed Assets - At Nominal $1 Value per category:")</f>
        <v>Total Fixed Assets - At Nominal $1 Value per category:</v>
      </c>
      <c r="G38" s="1753"/>
      <c r="H38" s="1753"/>
      <c r="I38" s="1753"/>
      <c r="J38" s="1753"/>
      <c r="K38" s="1753"/>
      <c r="L38" s="1753"/>
      <c r="M38" s="1753"/>
      <c r="N38" s="1122">
        <f>SUM(M25:M36)</f>
        <v>0</v>
      </c>
    </row>
    <row r="39" spans="2:19" s="48" customFormat="1" ht="10.5" customHeight="1" x14ac:dyDescent="0.2">
      <c r="B39" s="677"/>
      <c r="C39" s="677"/>
      <c r="D39" s="677"/>
      <c r="E39" s="677"/>
      <c r="F39" s="677"/>
      <c r="G39" s="677"/>
      <c r="H39" s="677"/>
      <c r="I39" s="677"/>
      <c r="J39" s="677"/>
      <c r="K39" s="677"/>
      <c r="L39" s="677"/>
      <c r="M39" s="677"/>
      <c r="N39" s="677"/>
    </row>
    <row r="40" spans="2:19" s="48" customFormat="1" ht="17.25" customHeight="1" x14ac:dyDescent="0.2">
      <c r="B40" s="1754" t="str">
        <f>IF(P1=2,"1900  - Total de l'actif (Lignes 1100 + 1300 + 1800):","1900 - Total Assets (Line 1100 + 1300 + 1800)")</f>
        <v>1900 - Total Assets (Line 1100 + 1300 + 1800)</v>
      </c>
      <c r="C40" s="1754"/>
      <c r="D40" s="1754"/>
      <c r="E40" s="1754"/>
      <c r="F40" s="1754"/>
      <c r="G40" s="1754"/>
      <c r="H40" s="1754"/>
      <c r="I40" s="1754"/>
      <c r="J40" s="1754"/>
      <c r="K40" s="1754"/>
      <c r="L40" s="1754"/>
      <c r="M40" s="1754"/>
      <c r="N40" s="1143">
        <f>N15+N21+N38</f>
        <v>0</v>
      </c>
      <c r="O40" s="1144"/>
      <c r="P40" s="1755" t="str">
        <f>IF(P1=2,"Lignes 1900 et 3700 doivent être égales","Lines 1900 and 3700 must be equal")</f>
        <v>Lines 1900 and 3700 must be equal</v>
      </c>
      <c r="Q40" s="1145">
        <f>+N40</f>
        <v>0</v>
      </c>
      <c r="S40" s="1146"/>
    </row>
    <row r="41" spans="2:19" s="48" customFormat="1" ht="15" customHeight="1" x14ac:dyDescent="0.2">
      <c r="B41" s="1129"/>
      <c r="P41" s="1755"/>
    </row>
    <row r="42" spans="2:19" s="1147" customFormat="1" ht="15" customHeight="1" x14ac:dyDescent="0.2">
      <c r="B42" s="1744" t="str">
        <f>IF(P1=2,"PASSIF","LIABILITIES")</f>
        <v>LIABILITIES</v>
      </c>
      <c r="C42" s="1744"/>
      <c r="D42" s="1744"/>
      <c r="E42" s="1744"/>
      <c r="F42" s="1744"/>
      <c r="G42" s="1744"/>
      <c r="H42" s="1744"/>
      <c r="I42" s="1744"/>
      <c r="J42" s="1744"/>
      <c r="K42" s="1744"/>
      <c r="L42" s="1744"/>
      <c r="M42" s="1744"/>
      <c r="N42" s="1744"/>
      <c r="P42" s="1755"/>
    </row>
    <row r="43" spans="2:19" s="48" customFormat="1" ht="15.75" x14ac:dyDescent="0.2">
      <c r="B43" s="1132"/>
      <c r="C43" s="1756" t="str">
        <f>IF(P1=2,"2000 - Passifs à court-terme:","2000 - Current Liabilities:")</f>
        <v>2000 - Current Liabilities:</v>
      </c>
      <c r="D43" s="1756"/>
      <c r="E43" s="1756"/>
      <c r="F43" s="1756"/>
      <c r="G43" s="1756"/>
      <c r="H43" s="1756"/>
      <c r="I43" s="1756"/>
      <c r="J43" s="1756"/>
      <c r="K43" s="1756"/>
      <c r="L43" s="1025" t="str">
        <f>IF(P1=2,"L'an passé","Last year")</f>
        <v>Last year</v>
      </c>
      <c r="M43" s="1025" t="str">
        <f>IF(P1=2,"Cette année","Current year")</f>
        <v>Current year</v>
      </c>
      <c r="N43" s="1757"/>
      <c r="P43" s="1755"/>
    </row>
    <row r="44" spans="2:19" s="80" customFormat="1" ht="16.5" customHeight="1" x14ac:dyDescent="0.2">
      <c r="B44" s="1148"/>
      <c r="C44" s="1746">
        <v>4</v>
      </c>
      <c r="D44" s="1040" t="s">
        <v>175</v>
      </c>
      <c r="E44" s="1045">
        <v>2010</v>
      </c>
      <c r="F44" s="1722" t="str">
        <f>'Acct Summ Reconcil'!I73</f>
        <v>Bank Credit Card</v>
      </c>
      <c r="G44" s="1722"/>
      <c r="H44" s="1722"/>
      <c r="I44" s="1722"/>
      <c r="J44" s="1722"/>
      <c r="K44" s="1722"/>
      <c r="L44" s="1110">
        <f>'Acct Detailed Reconcil'!G318</f>
        <v>0</v>
      </c>
      <c r="M44" s="1107">
        <f>'Acct Detailed Reconcil'!G354</f>
        <v>0</v>
      </c>
      <c r="N44" s="1757"/>
      <c r="P44" s="1755"/>
    </row>
    <row r="45" spans="2:19" s="80" customFormat="1" ht="16.5" customHeight="1" x14ac:dyDescent="0.2">
      <c r="B45" s="1109"/>
      <c r="C45" s="1746"/>
      <c r="D45" s="1040" t="s">
        <v>176</v>
      </c>
      <c r="E45" s="1045">
        <v>2020</v>
      </c>
      <c r="F45" s="1758" t="str">
        <f>IF('Acct Summ Reconcil'!C86="Available (Rename) Disponible (Renommez)",IF($P$1=2,"Disponible","Available"),'Acct Summ Reconcil'!C86)</f>
        <v>Available (Rename)</v>
      </c>
      <c r="G45" s="1758"/>
      <c r="H45" s="1758"/>
      <c r="I45" s="1758"/>
      <c r="J45" s="1758"/>
      <c r="K45" s="1758"/>
      <c r="L45" s="1110">
        <f>'Acct Detailed Reconcil'!G363</f>
        <v>0</v>
      </c>
      <c r="M45" s="1107">
        <f>'Acct Detailed Reconcil'!G399</f>
        <v>0</v>
      </c>
      <c r="N45" s="1757"/>
      <c r="P45" s="1755"/>
    </row>
    <row r="46" spans="2:19" s="80" customFormat="1" ht="16.5" customHeight="1" x14ac:dyDescent="0.2">
      <c r="B46" s="1109"/>
      <c r="C46" s="1746"/>
      <c r="D46" s="1040" t="s">
        <v>401</v>
      </c>
      <c r="E46" s="1045">
        <v>2030</v>
      </c>
      <c r="F46" s="1758" t="str">
        <f>IF('Acct Summ Reconcil'!I86="Available (Rename) Disponible (Renommez)",IF($P$1=2,"Disponible","Available"),'Acct Summ Reconcil'!I86)</f>
        <v>Available (Rename)</v>
      </c>
      <c r="G46" s="1758"/>
      <c r="H46" s="1758"/>
      <c r="I46" s="1758"/>
      <c r="J46" s="1758"/>
      <c r="K46" s="1758"/>
      <c r="L46" s="1110">
        <f>'Acct Detailed Reconcil'!G408</f>
        <v>0</v>
      </c>
      <c r="M46" s="1107">
        <f>'Acct Detailed Reconcil'!G444</f>
        <v>0</v>
      </c>
      <c r="N46" s="1757"/>
      <c r="P46" s="1755"/>
    </row>
    <row r="47" spans="2:19" s="80" customFormat="1" ht="16.5" customHeight="1" x14ac:dyDescent="0.2">
      <c r="B47" s="1109"/>
      <c r="C47" s="1746"/>
      <c r="D47" s="1040" t="s">
        <v>402</v>
      </c>
      <c r="E47" s="1045">
        <v>2040</v>
      </c>
      <c r="F47" s="1759" t="str">
        <f>IF('Acct Summ Reconcil'!C99="Available (Rename) Disponible (Renommez)",IF($P$1=2,"Disponible","Available"),'Acct Summ Reconcil'!C99)</f>
        <v>Available (Rename)</v>
      </c>
      <c r="G47" s="1759"/>
      <c r="H47" s="1759"/>
      <c r="I47" s="1759"/>
      <c r="J47" s="1759"/>
      <c r="K47" s="1759"/>
      <c r="L47" s="1149">
        <f>'Acct Detailed Reconcil'!G453</f>
        <v>0</v>
      </c>
      <c r="M47" s="1150">
        <f>'Acct Detailed Reconcil'!G489</f>
        <v>0</v>
      </c>
      <c r="N47" s="1757"/>
      <c r="P47" s="1755"/>
    </row>
    <row r="48" spans="2:19" s="80" customFormat="1" ht="16.5" hidden="1" customHeight="1" x14ac:dyDescent="0.2">
      <c r="B48" s="1151" t="s">
        <v>413</v>
      </c>
      <c r="C48" s="1746"/>
      <c r="D48" s="1045" t="s">
        <v>405</v>
      </c>
      <c r="E48" s="1105">
        <v>2050</v>
      </c>
      <c r="F48" s="1760"/>
      <c r="G48" s="1760"/>
      <c r="H48" s="1760"/>
      <c r="I48" s="1760"/>
      <c r="J48" s="1760"/>
      <c r="K48" s="1760"/>
      <c r="L48" s="1152"/>
      <c r="M48" s="1152"/>
      <c r="N48" s="1757"/>
      <c r="P48" s="1755"/>
    </row>
    <row r="49" spans="2:35" s="80" customFormat="1" ht="16.5" customHeight="1" x14ac:dyDescent="0.2">
      <c r="B49" s="1153"/>
      <c r="C49" s="1154"/>
      <c r="D49" s="1155"/>
      <c r="E49" s="1156">
        <v>2100</v>
      </c>
      <c r="F49" s="1761" t="str">
        <f>IF(P1=2,"Total du Passif à court-terme:","Total Current Liabilities:")</f>
        <v>Total Current Liabilities:</v>
      </c>
      <c r="G49" s="1761"/>
      <c r="H49" s="1761"/>
      <c r="I49" s="1761"/>
      <c r="J49" s="1761"/>
      <c r="K49" s="1761"/>
      <c r="L49" s="1761"/>
      <c r="M49" s="1761"/>
      <c r="N49" s="1122">
        <f>SUM(M44:M48)</f>
        <v>0</v>
      </c>
      <c r="P49" s="1755"/>
    </row>
    <row r="50" spans="2:35" s="80" customFormat="1" ht="14.25" customHeight="1" x14ac:dyDescent="0.2">
      <c r="B50" s="1157"/>
      <c r="C50" s="1745" t="str">
        <f>IF(P1=2,"2200 - Passifs à long-terme:","2200 - Long-Term Debts:")</f>
        <v>2200 - Long-Term Debts:</v>
      </c>
      <c r="D50" s="1745"/>
      <c r="E50" s="1745"/>
      <c r="F50" s="1745"/>
      <c r="G50" s="1745"/>
      <c r="H50" s="1745"/>
      <c r="I50" s="1745"/>
      <c r="J50" s="1745"/>
      <c r="K50" s="1745"/>
      <c r="L50" s="1025" t="str">
        <f>IF(P1=2,"L'an passé","Last year")</f>
        <v>Last year</v>
      </c>
      <c r="M50" s="1025" t="str">
        <f>IF(P1=2,"Cette année","Current year")</f>
        <v>Current year</v>
      </c>
      <c r="N50" s="1158"/>
      <c r="P50" s="1755"/>
    </row>
    <row r="51" spans="2:35" s="80" customFormat="1" ht="16.5" customHeight="1" x14ac:dyDescent="0.2">
      <c r="B51" s="1104"/>
      <c r="C51" s="1746">
        <v>5</v>
      </c>
      <c r="D51" s="1159" t="s">
        <v>175</v>
      </c>
      <c r="E51" s="1041">
        <v>2210</v>
      </c>
      <c r="F51" s="1762" t="str">
        <f>IF('Acct Summ Reconcil'!I99="Available (Rename) Disponible (Renommez)",IF($P$1=2,"Disponible","Available"),'Acct Summ Reconcil'!I99)</f>
        <v>Available (Rename)</v>
      </c>
      <c r="G51" s="1762"/>
      <c r="H51" s="1762"/>
      <c r="I51" s="1762"/>
      <c r="J51" s="1762"/>
      <c r="K51" s="1762"/>
      <c r="L51" s="1110">
        <f>'Acct Detailed Reconcil'!G498</f>
        <v>0</v>
      </c>
      <c r="M51" s="1160">
        <f>'Acct Detailed Reconcil'!G534</f>
        <v>0</v>
      </c>
      <c r="N51" s="1763"/>
      <c r="P51" s="1755"/>
    </row>
    <row r="52" spans="2:35" s="80" customFormat="1" ht="16.5" customHeight="1" x14ac:dyDescent="0.2">
      <c r="B52" s="1109"/>
      <c r="C52" s="1746"/>
      <c r="D52" s="1161" t="s">
        <v>176</v>
      </c>
      <c r="E52" s="1045">
        <v>2220</v>
      </c>
      <c r="F52" s="1758" t="str">
        <f>IF('Acct Summ Reconcil'!C112="Available (Rename) Disponible (Renommez)",IF($P$1=2,"Disponible","Available"),'Acct Summ Reconcil'!C112)</f>
        <v>Mortgage</v>
      </c>
      <c r="G52" s="1758"/>
      <c r="H52" s="1758"/>
      <c r="I52" s="1758"/>
      <c r="J52" s="1758"/>
      <c r="K52" s="1758"/>
      <c r="L52" s="1110">
        <f>'Acct Detailed Reconcil'!G543</f>
        <v>0</v>
      </c>
      <c r="M52" s="1160">
        <f>'Acct Detailed Reconcil'!G579</f>
        <v>0</v>
      </c>
      <c r="N52" s="1763"/>
      <c r="P52" s="1755"/>
      <c r="Q52" s="1764" t="str">
        <f>IF($P$1=2,"Différence","Difference")</f>
        <v>Difference</v>
      </c>
      <c r="R52" s="1765" t="str">
        <f>IF($P$1=2,IF($Q$54=0,"&lt;--- L'ACC9 est équilibré","&lt;--- L'ACC9 n'est pas équilibré"),IF($Q$54=0,"&lt;--- ACC9 is balanced","&lt;--- ACC9 is not balanced"))</f>
        <v>&lt;--- ACC9 is balanced</v>
      </c>
      <c r="S52" s="1765"/>
      <c r="T52" s="1765"/>
    </row>
    <row r="53" spans="2:35" s="80" customFormat="1" ht="16.5" customHeight="1" x14ac:dyDescent="0.2">
      <c r="B53" s="1151"/>
      <c r="C53" s="1746"/>
      <c r="D53" s="1161" t="s">
        <v>401</v>
      </c>
      <c r="E53" s="1045">
        <v>2230</v>
      </c>
      <c r="F53" s="1759" t="str">
        <f>IF('Acct Summ Reconcil'!I112="Available (Rename) Disponible (Renommez)",IF($P$1=2,"Disponible","Available"),'Acct Summ Reconcil'!I112)</f>
        <v>Available (Rename)</v>
      </c>
      <c r="G53" s="1759"/>
      <c r="H53" s="1759"/>
      <c r="I53" s="1759"/>
      <c r="J53" s="1759"/>
      <c r="K53" s="1759"/>
      <c r="L53" s="1110">
        <f>'Acct Detailed Reconcil'!G588</f>
        <v>0</v>
      </c>
      <c r="M53" s="1160">
        <f>'Acct Detailed Reconcil'!G624</f>
        <v>0</v>
      </c>
      <c r="N53" s="1763"/>
      <c r="P53" s="1755"/>
      <c r="Q53" s="1764"/>
      <c r="R53" s="1765"/>
      <c r="S53" s="1765"/>
      <c r="T53" s="1765"/>
    </row>
    <row r="54" spans="2:35" s="80" customFormat="1" ht="16.5" customHeight="1" x14ac:dyDescent="0.2">
      <c r="B54" s="155"/>
      <c r="D54" s="1040"/>
      <c r="E54" s="1119">
        <v>2300</v>
      </c>
      <c r="F54" s="1766" t="str">
        <f>IF(P1=2,"Total du Passif à long-terme:","Total Long-Term Debts:")</f>
        <v>Total Long-Term Debts:</v>
      </c>
      <c r="G54" s="1766"/>
      <c r="H54" s="1766"/>
      <c r="I54" s="1766"/>
      <c r="J54" s="1766"/>
      <c r="K54" s="1766"/>
      <c r="L54" s="1766"/>
      <c r="M54" s="1766"/>
      <c r="N54" s="1122">
        <f>+SUM(M51:M53)</f>
        <v>0</v>
      </c>
      <c r="P54" s="1755"/>
      <c r="Q54" s="1767">
        <f>+Q40-Q65</f>
        <v>0</v>
      </c>
      <c r="R54" s="1765"/>
      <c r="S54" s="1765"/>
      <c r="T54" s="1765"/>
    </row>
    <row r="55" spans="2:35" s="80" customFormat="1" ht="17.25" customHeight="1" x14ac:dyDescent="0.2">
      <c r="B55" s="1768" t="str">
        <f>IF(P1=2,"2400 - Total du passif","2400 - Total Liabilities")</f>
        <v>2400 - Total Liabilities</v>
      </c>
      <c r="C55" s="1768"/>
      <c r="D55" s="1768"/>
      <c r="E55" s="1768"/>
      <c r="F55" s="1768"/>
      <c r="G55" s="1768"/>
      <c r="H55" s="1768"/>
      <c r="I55" s="1768"/>
      <c r="J55" s="1768"/>
      <c r="K55" s="1768"/>
      <c r="L55" s="1768"/>
      <c r="M55" s="1768"/>
      <c r="N55" s="1068">
        <f>N54+N49</f>
        <v>0</v>
      </c>
      <c r="P55" s="1755"/>
      <c r="Q55" s="1767"/>
      <c r="R55" s="1765"/>
      <c r="S55" s="1765"/>
      <c r="T55" s="1765"/>
      <c r="U55" s="579"/>
      <c r="W55" s="605">
        <f>'Data Set up'!C21</f>
        <v>0</v>
      </c>
    </row>
    <row r="56" spans="2:35" s="80" customFormat="1" ht="15" customHeight="1" x14ac:dyDescent="0.2">
      <c r="B56" s="1162"/>
      <c r="C56" s="1162"/>
      <c r="D56" s="1162"/>
      <c r="E56" s="1162"/>
      <c r="F56" s="1162"/>
      <c r="G56" s="1162"/>
      <c r="H56" s="1162"/>
      <c r="I56" s="1162"/>
      <c r="J56" s="1162"/>
      <c r="K56" s="1162"/>
      <c r="L56" s="1162"/>
      <c r="M56" s="1162"/>
      <c r="N56" s="1163"/>
      <c r="P56" s="1755"/>
      <c r="R56" s="1769" t="str">
        <f>IF(P1=2,X69,X70)</f>
        <v>A difference of say from $0.01 to approximately $1 is not cause for concern and would be acceptable as this is likely due to rounding cents to the $1 integer value. In this instance enter an adjustment for the appropriate rounding difference on line "Adjustment" line.</v>
      </c>
      <c r="S56" s="1769"/>
      <c r="T56" s="1769"/>
    </row>
    <row r="57" spans="2:35" s="29" customFormat="1" ht="15" customHeight="1" x14ac:dyDescent="0.2">
      <c r="B57" s="1744" t="str">
        <f>IF(P1=2,"AVOIR","EQUITY")</f>
        <v>EQUITY</v>
      </c>
      <c r="C57" s="1744"/>
      <c r="D57" s="1744"/>
      <c r="E57" s="1744"/>
      <c r="F57" s="1744"/>
      <c r="G57" s="1744"/>
      <c r="H57" s="1744"/>
      <c r="I57" s="1744"/>
      <c r="J57" s="1744"/>
      <c r="K57" s="1744"/>
      <c r="L57" s="1744"/>
      <c r="M57" s="1744"/>
      <c r="N57" s="1744"/>
      <c r="P57" s="1755"/>
      <c r="R57" s="1769"/>
      <c r="S57" s="1769"/>
      <c r="T57" s="1769"/>
    </row>
    <row r="58" spans="2:35" s="48" customFormat="1" ht="17.25" customHeight="1" x14ac:dyDescent="0.2">
      <c r="B58" s="1164"/>
      <c r="C58" s="1745" t="str">
        <f>IF(P1=2,"3000 - Avoir","3000 - Equity")</f>
        <v>3000 - Equity</v>
      </c>
      <c r="D58" s="1745"/>
      <c r="E58" s="1745"/>
      <c r="F58" s="1745"/>
      <c r="G58" s="1745"/>
      <c r="H58" s="1745"/>
      <c r="I58" s="1745"/>
      <c r="J58" s="1745"/>
      <c r="K58" s="1745"/>
      <c r="L58" s="1025" t="str">
        <f>IF(P1=2,"L'an passé","Last year")</f>
        <v>Last year</v>
      </c>
      <c r="M58" s="1025" t="str">
        <f>IF(P1=2,"Cette année","Current year")</f>
        <v>Current year</v>
      </c>
      <c r="N58" s="579"/>
      <c r="P58" s="1755"/>
      <c r="R58" s="1769"/>
      <c r="S58" s="1769"/>
      <c r="T58" s="1769"/>
      <c r="W58" s="1770" t="str">
        <f>IF(P1="EN",W67&amp;" "&amp;'Data Set up'!C21&amp;" "&amp;W68&amp;" "&amp;W65&amp;" ","")</f>
        <v/>
      </c>
      <c r="X58" s="1770"/>
      <c r="Y58" s="1770"/>
      <c r="Z58" s="1770"/>
      <c r="AA58" s="1770"/>
      <c r="AB58" s="1770"/>
      <c r="AC58" s="1770"/>
      <c r="AD58" s="1770"/>
      <c r="AE58" s="1770"/>
      <c r="AF58" s="1770"/>
      <c r="AG58" s="1770"/>
      <c r="AH58" s="1770"/>
      <c r="AI58" s="1770"/>
    </row>
    <row r="59" spans="2:35" s="48" customFormat="1" ht="22.5" customHeight="1" x14ac:dyDescent="0.2">
      <c r="B59" s="1165"/>
      <c r="C59" s="1708">
        <v>6</v>
      </c>
      <c r="D59" s="1040" t="s">
        <v>175</v>
      </c>
      <c r="E59" s="1045">
        <v>3100</v>
      </c>
      <c r="F59" s="1717" t="str">
        <f>IF(P1=2,"Bénéfices non répartis (Avoir nette reportée de l'année précédente)","Retained Earnings (Equity from prior year)")</f>
        <v>Retained Earnings (Equity from prior year)</v>
      </c>
      <c r="G59" s="1717"/>
      <c r="H59" s="1717"/>
      <c r="I59" s="1717"/>
      <c r="J59" s="1717"/>
      <c r="K59" s="1717"/>
      <c r="L59" s="1166">
        <f>'Data Set up'!F44</f>
        <v>0</v>
      </c>
      <c r="M59" s="1167">
        <f>+L62</f>
        <v>0</v>
      </c>
      <c r="N59" s="1771"/>
      <c r="P59" s="1755"/>
      <c r="R59" s="1769"/>
      <c r="S59" s="1769"/>
      <c r="T59" s="1769"/>
      <c r="W59" s="1770"/>
      <c r="X59" s="1770"/>
      <c r="Y59" s="1770"/>
      <c r="Z59" s="1770"/>
      <c r="AA59" s="1770"/>
      <c r="AB59" s="1770"/>
      <c r="AC59" s="1770"/>
      <c r="AD59" s="1770"/>
      <c r="AE59" s="1770"/>
      <c r="AF59" s="1770"/>
      <c r="AG59" s="1770"/>
      <c r="AH59" s="1770"/>
      <c r="AI59" s="1770"/>
    </row>
    <row r="60" spans="2:35" s="48" customFormat="1" ht="22.5" customHeight="1" x14ac:dyDescent="0.2">
      <c r="B60" s="1169"/>
      <c r="C60" s="1708"/>
      <c r="D60" s="1040" t="s">
        <v>176</v>
      </c>
      <c r="E60" s="1045">
        <v>3110</v>
      </c>
      <c r="F60" s="1772" t="str">
        <f>IF(P1=2,"Surplus nets / (Déficit net)","Net Surplus / Net Deficit)")</f>
        <v>Net Surplus / Net Deficit)</v>
      </c>
      <c r="G60" s="1772"/>
      <c r="H60" s="1772"/>
      <c r="I60" s="1772"/>
      <c r="J60" s="1772"/>
      <c r="K60" s="1772"/>
      <c r="L60" s="1170">
        <f>'Data Set up'!F45</f>
        <v>0</v>
      </c>
      <c r="M60" s="1167">
        <f>+'ACC9 (Pages 4-5) Expenses'!K92</f>
        <v>0</v>
      </c>
      <c r="N60" s="1771"/>
      <c r="P60" s="1755"/>
      <c r="R60" s="1769"/>
      <c r="S60" s="1769"/>
      <c r="T60" s="1769"/>
      <c r="W60" s="1770"/>
      <c r="X60" s="1770"/>
      <c r="Y60" s="1770"/>
      <c r="Z60" s="1770"/>
      <c r="AA60" s="1770"/>
      <c r="AB60" s="1770"/>
      <c r="AC60" s="1770"/>
      <c r="AD60" s="1770"/>
      <c r="AE60" s="1770"/>
      <c r="AF60" s="1770"/>
      <c r="AG60" s="1770"/>
      <c r="AH60" s="1770"/>
      <c r="AI60" s="1770"/>
    </row>
    <row r="61" spans="2:35" s="48" customFormat="1" ht="22.5" customHeight="1" x14ac:dyDescent="0.2">
      <c r="B61" s="1171"/>
      <c r="C61" s="1708"/>
      <c r="D61" s="1040" t="s">
        <v>401</v>
      </c>
      <c r="E61" s="1045" t="s">
        <v>414</v>
      </c>
      <c r="F61" s="1773" t="str">
        <f>IF(P1=2,"Ajustement","Adjustment")</f>
        <v>Adjustment</v>
      </c>
      <c r="G61" s="1773"/>
      <c r="H61" s="1773"/>
      <c r="I61" s="1773"/>
      <c r="J61" s="1773"/>
      <c r="K61" s="1773"/>
      <c r="L61" s="1172">
        <f>'Data Set up'!F47</f>
        <v>0</v>
      </c>
      <c r="M61" s="1173"/>
      <c r="N61" s="1168"/>
      <c r="P61" s="1755"/>
      <c r="R61" s="1769"/>
      <c r="S61" s="1769"/>
      <c r="T61" s="1769"/>
      <c r="W61" s="1770"/>
      <c r="X61" s="1770"/>
      <c r="Y61" s="1770"/>
      <c r="Z61" s="1770"/>
      <c r="AA61" s="1770"/>
      <c r="AB61" s="1770"/>
      <c r="AC61" s="1770"/>
      <c r="AD61" s="1770"/>
      <c r="AE61" s="1770"/>
      <c r="AF61" s="1770"/>
      <c r="AG61" s="1770"/>
      <c r="AH61" s="1770"/>
      <c r="AI61" s="1770"/>
    </row>
    <row r="62" spans="2:35" s="48" customFormat="1" ht="22.5" customHeight="1" x14ac:dyDescent="0.2">
      <c r="B62" s="1129"/>
      <c r="C62" s="80"/>
      <c r="D62" s="1045"/>
      <c r="E62" s="1119">
        <v>3200</v>
      </c>
      <c r="F62" s="1774" t="str">
        <f>IF(P1=2,"Total de l'avoir (3100 + 3110+Ajustement)","Total Equity (3100 + 3110+Adjustment)")</f>
        <v>Total Equity (3100 + 3110+Adjustment)</v>
      </c>
      <c r="G62" s="1774"/>
      <c r="H62" s="1774"/>
      <c r="I62" s="1774"/>
      <c r="J62" s="1774"/>
      <c r="K62" s="1774"/>
      <c r="L62" s="1174">
        <f>+SUM(L59:L61)</f>
        <v>0</v>
      </c>
      <c r="M62" s="1175">
        <f>SUM(M59:M61)</f>
        <v>0</v>
      </c>
      <c r="N62" s="1163"/>
      <c r="P62" s="1755"/>
      <c r="Q62" s="1176"/>
      <c r="W62" s="1770"/>
      <c r="X62" s="1770"/>
      <c r="Y62" s="1770"/>
      <c r="Z62" s="1770"/>
      <c r="AA62" s="1770"/>
      <c r="AB62" s="1770"/>
      <c r="AC62" s="1770"/>
      <c r="AD62" s="1770"/>
      <c r="AE62" s="1770"/>
      <c r="AF62" s="1770"/>
      <c r="AG62" s="1770"/>
      <c r="AH62" s="1770"/>
      <c r="AI62" s="1770"/>
    </row>
    <row r="63" spans="2:35" s="48" customFormat="1" ht="15" customHeight="1" x14ac:dyDescent="0.2">
      <c r="B63" s="1768" t="str">
        <f>IF(P1=2,"3400 - Total de l'avoir","3400 - Total Equity")</f>
        <v>3400 - Total Equity</v>
      </c>
      <c r="C63" s="1768"/>
      <c r="D63" s="1768"/>
      <c r="E63" s="1768"/>
      <c r="F63" s="1768"/>
      <c r="G63" s="1768"/>
      <c r="H63" s="1768"/>
      <c r="I63" s="1768"/>
      <c r="J63" s="1768"/>
      <c r="K63" s="1768"/>
      <c r="L63" s="1768"/>
      <c r="M63" s="1768"/>
      <c r="N63" s="1068">
        <f>M62</f>
        <v>0</v>
      </c>
      <c r="P63" s="1755"/>
      <c r="W63" s="1177"/>
      <c r="X63" s="1177"/>
      <c r="Y63" s="1177"/>
      <c r="Z63" s="1177"/>
      <c r="AA63" s="1177"/>
      <c r="AB63" s="1177"/>
      <c r="AC63" s="1177"/>
      <c r="AD63" s="1177"/>
      <c r="AE63" s="1177"/>
      <c r="AF63" s="1177"/>
      <c r="AG63" s="1177"/>
      <c r="AH63" s="1177"/>
      <c r="AI63" s="1177"/>
    </row>
    <row r="64" spans="2:35" s="48" customFormat="1" ht="14.25" customHeight="1" x14ac:dyDescent="0.2">
      <c r="B64" s="1129"/>
      <c r="N64" s="139"/>
      <c r="P64" s="1755"/>
      <c r="W64" s="1177"/>
      <c r="X64" s="1177"/>
      <c r="Y64" s="1177"/>
      <c r="Z64" s="1177"/>
      <c r="AA64" s="1177"/>
      <c r="AB64" s="1177"/>
      <c r="AC64" s="1177"/>
      <c r="AD64" s="1177"/>
      <c r="AE64" s="1177"/>
      <c r="AF64" s="1177"/>
      <c r="AG64" s="1177"/>
      <c r="AH64" s="1177"/>
      <c r="AI64" s="1177"/>
    </row>
    <row r="65" spans="2:35" s="48" customFormat="1" ht="17.25" customHeight="1" x14ac:dyDescent="0.2">
      <c r="B65" s="1754" t="str">
        <f>IF(P1=2,"3700 - Total du passif et de l'avoir (Ligne 2400 + 3400)","3700 - Total Liabilities and Equity (Line 2400 + 3400)")</f>
        <v>3700 - Total Liabilities and Equity (Line 2400 + 3400)</v>
      </c>
      <c r="C65" s="1754"/>
      <c r="D65" s="1754"/>
      <c r="E65" s="1754"/>
      <c r="F65" s="1754"/>
      <c r="G65" s="1754"/>
      <c r="H65" s="1754"/>
      <c r="I65" s="1754"/>
      <c r="J65" s="1754"/>
      <c r="K65" s="1754"/>
      <c r="L65" s="1754"/>
      <c r="M65" s="1754"/>
      <c r="N65" s="1143">
        <f>N55+N63</f>
        <v>0</v>
      </c>
      <c r="O65" s="1144"/>
      <c r="P65" s="1755"/>
      <c r="Q65" s="1145">
        <f>+N65</f>
        <v>0</v>
      </c>
      <c r="W65" s="1775" t="s">
        <v>415</v>
      </c>
      <c r="X65" s="1775"/>
      <c r="Y65" s="1775"/>
      <c r="Z65" s="1775"/>
      <c r="AA65" s="1775"/>
      <c r="AB65" s="1775"/>
      <c r="AC65" s="1775"/>
      <c r="AD65" s="1775"/>
      <c r="AE65" s="1775"/>
      <c r="AF65" s="1775"/>
      <c r="AG65" s="1775"/>
      <c r="AH65" s="1775"/>
      <c r="AI65" s="1775"/>
    </row>
    <row r="66" spans="2:35" s="48" customFormat="1" ht="11.25" customHeight="1" x14ac:dyDescent="0.2">
      <c r="B66" s="1776"/>
      <c r="C66" s="1776"/>
      <c r="D66" s="1776"/>
      <c r="E66" s="1776"/>
      <c r="F66" s="1776"/>
      <c r="G66" s="1776"/>
      <c r="H66" s="1776"/>
      <c r="I66" s="1776"/>
      <c r="J66" s="1776"/>
      <c r="K66" s="1776"/>
      <c r="L66" s="1776"/>
      <c r="M66" s="1776"/>
      <c r="N66" s="1776"/>
      <c r="Q66" s="1777"/>
      <c r="R66" s="1777"/>
      <c r="S66" s="1777"/>
      <c r="T66" s="1777"/>
      <c r="U66" s="1777"/>
      <c r="W66" s="1177"/>
      <c r="X66" s="1177"/>
      <c r="Y66" s="1177"/>
      <c r="Z66" s="1177"/>
      <c r="AA66" s="1177"/>
      <c r="AB66" s="1177"/>
      <c r="AC66" s="1177"/>
      <c r="AD66" s="1177"/>
      <c r="AE66" s="1177"/>
      <c r="AF66" s="1177"/>
      <c r="AG66" s="1177"/>
      <c r="AH66" s="1177"/>
      <c r="AI66" s="1177"/>
    </row>
    <row r="67" spans="2:35" s="48" customFormat="1" ht="83.25" customHeight="1" x14ac:dyDescent="0.2">
      <c r="B67" s="1778" t="str">
        <f>W75</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C67" s="1778"/>
      <c r="D67" s="1778"/>
      <c r="E67" s="1778"/>
      <c r="F67" s="1778"/>
      <c r="G67" s="1778"/>
      <c r="H67" s="1778"/>
      <c r="I67" s="1778"/>
      <c r="J67" s="1778"/>
      <c r="K67" s="1778"/>
      <c r="L67" s="1778"/>
      <c r="M67" s="1778"/>
      <c r="N67" s="1778"/>
      <c r="Q67" s="1777"/>
      <c r="R67" s="1777"/>
      <c r="S67" s="1777"/>
      <c r="T67" s="1777"/>
      <c r="U67" s="1777"/>
      <c r="W67" s="1779" t="s">
        <v>416</v>
      </c>
      <c r="X67" s="1779"/>
      <c r="Y67" s="1779"/>
      <c r="Z67" s="1779"/>
      <c r="AA67" s="1779"/>
      <c r="AB67" s="1779"/>
      <c r="AC67" s="1779"/>
      <c r="AD67" s="1779"/>
      <c r="AE67" s="1779"/>
      <c r="AF67" s="1779"/>
      <c r="AG67" s="1779"/>
      <c r="AH67" s="1779"/>
      <c r="AI67" s="1779"/>
    </row>
    <row r="68" spans="2:35" s="703" customFormat="1" ht="15" customHeight="1" x14ac:dyDescent="0.2">
      <c r="B68" s="1780"/>
      <c r="C68" s="1780"/>
      <c r="D68" s="1780"/>
      <c r="E68" s="1781" t="str">
        <f>IF(P1=2,"Commandant","Commanding Officer")</f>
        <v>Commanding Officer</v>
      </c>
      <c r="F68" s="1781"/>
      <c r="G68" s="1781"/>
      <c r="H68" s="1781"/>
      <c r="I68" s="1781"/>
      <c r="J68" s="1782" t="str">
        <f>IF(P1=2,"Comité Répondant (CR)","Squadron Sponsoring Committee")</f>
        <v>Squadron Sponsoring Committee</v>
      </c>
      <c r="K68" s="1782"/>
      <c r="L68" s="1782"/>
      <c r="M68" s="1782"/>
      <c r="N68" s="1782"/>
      <c r="W68" s="1178" t="s">
        <v>417</v>
      </c>
      <c r="X68" s="692"/>
      <c r="Y68" s="692"/>
      <c r="Z68" s="692"/>
      <c r="AA68" s="692"/>
      <c r="AB68" s="692"/>
      <c r="AC68" s="692"/>
      <c r="AD68" s="692"/>
      <c r="AE68" s="692"/>
      <c r="AF68" s="692"/>
      <c r="AG68" s="692"/>
      <c r="AH68" s="692"/>
      <c r="AI68" s="692"/>
    </row>
    <row r="69" spans="2:35" s="703" customFormat="1" ht="15.75" customHeight="1" x14ac:dyDescent="0.2">
      <c r="B69" s="1780"/>
      <c r="C69" s="1780"/>
      <c r="D69" s="1780"/>
      <c r="E69" s="1781"/>
      <c r="F69" s="1781"/>
      <c r="G69" s="1781"/>
      <c r="H69" s="1781"/>
      <c r="I69" s="1781"/>
      <c r="J69" s="1783" t="str">
        <f>IF(P1=2,"Président(e)","Chairperson")</f>
        <v>Chairperson</v>
      </c>
      <c r="K69" s="1783"/>
      <c r="L69" s="1784" t="str">
        <f>IF(P1=2,"Trésorier(ière)","Treasurer")</f>
        <v>Treasurer</v>
      </c>
      <c r="M69" s="1784"/>
      <c r="N69" s="1784"/>
      <c r="X69" s="1179" t="s">
        <v>418</v>
      </c>
    </row>
    <row r="70" spans="2:35" s="48" customFormat="1" ht="30" customHeight="1" x14ac:dyDescent="0.2">
      <c r="B70" s="1789" t="s">
        <v>419</v>
      </c>
      <c r="C70" s="1789"/>
      <c r="D70" s="1789"/>
      <c r="E70" s="1790"/>
      <c r="F70" s="1790"/>
      <c r="G70" s="1790"/>
      <c r="H70" s="1790"/>
      <c r="I70" s="1790"/>
      <c r="J70" s="1749"/>
      <c r="K70" s="1749"/>
      <c r="L70" s="1791"/>
      <c r="M70" s="1791"/>
      <c r="N70" s="1791"/>
      <c r="X70" s="145" t="s">
        <v>420</v>
      </c>
    </row>
    <row r="71" spans="2:35" s="48" customFormat="1" ht="18" customHeight="1" x14ac:dyDescent="0.2">
      <c r="B71" s="1789" t="str">
        <f>IF(P1=2,"Nom imprimé:","Print Name:")</f>
        <v>Print Name:</v>
      </c>
      <c r="C71" s="1789"/>
      <c r="D71" s="1789"/>
      <c r="E71" s="1792">
        <f>'Data Set up'!C34</f>
        <v>0</v>
      </c>
      <c r="F71" s="1792"/>
      <c r="G71" s="1792"/>
      <c r="H71" s="1792"/>
      <c r="I71" s="1792"/>
      <c r="J71" s="1793">
        <f>'Data Set up'!C14</f>
        <v>0</v>
      </c>
      <c r="K71" s="1793"/>
      <c r="L71" s="1794">
        <f>'Data Set up'!C21</f>
        <v>0</v>
      </c>
      <c r="M71" s="1794"/>
      <c r="N71" s="1794"/>
      <c r="X71" s="48" t="str">
        <f>IF(P1=2,"pour l'exercice terminée le "&amp;EndOfYear,"For Year End "&amp;EndOfYear)</f>
        <v>For Year End 31 August 2024</v>
      </c>
    </row>
    <row r="72" spans="2:35" s="48" customFormat="1" ht="16.5" customHeight="1" x14ac:dyDescent="0.2">
      <c r="B72" s="1795" t="s">
        <v>373</v>
      </c>
      <c r="C72" s="1795"/>
      <c r="D72" s="1795"/>
      <c r="E72" s="1796">
        <f ca="1">TODAY()</f>
        <v>45154</v>
      </c>
      <c r="F72" s="1796"/>
      <c r="G72" s="1796"/>
      <c r="H72" s="1796"/>
      <c r="I72" s="1796"/>
      <c r="J72" s="1797">
        <f ca="1">TODAY()</f>
        <v>45154</v>
      </c>
      <c r="K72" s="1797"/>
      <c r="L72" s="1798">
        <f ca="1">TODAY()</f>
        <v>45154</v>
      </c>
      <c r="M72" s="1798"/>
      <c r="N72" s="1798"/>
      <c r="Q72" s="1785"/>
      <c r="R72" s="1785"/>
      <c r="S72" s="1785"/>
      <c r="T72" s="1785"/>
      <c r="U72" s="1785"/>
      <c r="W72" s="1775" t="s">
        <v>421</v>
      </c>
      <c r="X72" s="1775"/>
      <c r="Y72" s="1775"/>
      <c r="Z72" s="1775"/>
      <c r="AA72" s="1775"/>
      <c r="AB72" s="1775"/>
      <c r="AC72" s="1775"/>
      <c r="AD72" s="1775"/>
      <c r="AE72" s="1775"/>
      <c r="AF72" s="1775"/>
      <c r="AG72" s="1775"/>
      <c r="AH72" s="1775"/>
      <c r="AI72" s="1775"/>
    </row>
    <row r="73" spans="2:35" s="48" customFormat="1" ht="16.5" customHeight="1" x14ac:dyDescent="0.25">
      <c r="B73" s="1786"/>
      <c r="C73" s="1786"/>
      <c r="D73" s="1786"/>
      <c r="E73" s="1786"/>
      <c r="F73" s="1786"/>
      <c r="G73" s="1786"/>
      <c r="H73" s="1786"/>
      <c r="N73" s="1180" t="s">
        <v>422</v>
      </c>
      <c r="Q73" s="1785"/>
      <c r="R73" s="1785"/>
      <c r="S73" s="1785"/>
      <c r="T73" s="1785"/>
      <c r="U73" s="1785"/>
      <c r="W73" s="1775" t="s">
        <v>423</v>
      </c>
      <c r="X73" s="1775"/>
      <c r="Y73" s="1775"/>
      <c r="Z73" s="1775"/>
      <c r="AA73" s="1775"/>
      <c r="AB73" s="1775"/>
      <c r="AC73" s="1775"/>
      <c r="AD73" s="1775"/>
      <c r="AE73" s="1775"/>
      <c r="AF73" s="1775"/>
      <c r="AG73" s="1775"/>
      <c r="AH73" s="1775"/>
      <c r="AI73" s="1775"/>
    </row>
    <row r="74" spans="2:35" s="48" customFormat="1" ht="15" customHeight="1" x14ac:dyDescent="0.2">
      <c r="B74" s="1129"/>
      <c r="Q74" s="1787"/>
      <c r="R74" s="1787"/>
      <c r="S74" s="1787"/>
      <c r="T74" s="1787"/>
      <c r="U74" s="1787"/>
      <c r="W74" s="1775" t="s">
        <v>424</v>
      </c>
      <c r="X74" s="1775"/>
      <c r="Y74" s="1775"/>
      <c r="Z74" s="1775"/>
      <c r="AA74" s="1775"/>
      <c r="AB74" s="1775"/>
      <c r="AC74" s="1775"/>
      <c r="AD74" s="1775"/>
      <c r="AE74" s="1775"/>
      <c r="AF74" s="1775"/>
      <c r="AG74" s="1775"/>
      <c r="AH74" s="1775"/>
      <c r="AI74" s="1775"/>
    </row>
    <row r="75" spans="2:35" s="48" customFormat="1" ht="15" customHeight="1" x14ac:dyDescent="0.2">
      <c r="B75" s="1129"/>
      <c r="Q75" s="1787"/>
      <c r="R75" s="1787"/>
      <c r="S75" s="1787"/>
      <c r="T75" s="1787"/>
      <c r="U75" s="1787"/>
      <c r="W75" s="1775" t="str">
        <f>IF(P1=2,W72&amp;" "&amp;W55&amp;"."&amp;" "&amp;W74&amp;W73,W67&amp;" "&amp;W55&amp;"."&amp;" "&amp;W65)</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X75" s="1775"/>
      <c r="Y75" s="1775"/>
      <c r="Z75" s="1775"/>
      <c r="AA75" s="1775"/>
      <c r="AB75" s="1775"/>
      <c r="AC75" s="1775"/>
      <c r="AD75" s="1775"/>
      <c r="AE75" s="1775"/>
      <c r="AF75" s="1775"/>
      <c r="AG75" s="1775"/>
      <c r="AH75" s="1775"/>
      <c r="AI75" s="1775"/>
    </row>
    <row r="76" spans="2:35" s="48" customFormat="1" ht="15" customHeight="1" x14ac:dyDescent="0.2">
      <c r="B76" s="1129"/>
      <c r="G76" s="1788"/>
      <c r="H76" s="1788"/>
      <c r="I76" s="1788"/>
      <c r="J76" s="1788"/>
      <c r="K76" s="1788"/>
      <c r="L76" s="1788"/>
      <c r="M76" s="1788"/>
      <c r="Q76" s="1787"/>
      <c r="R76" s="1787"/>
      <c r="S76" s="1787"/>
      <c r="T76" s="1787"/>
      <c r="U76" s="1787"/>
      <c r="W76" s="1775"/>
      <c r="X76" s="1775"/>
      <c r="Y76" s="1775"/>
      <c r="Z76" s="1775"/>
      <c r="AA76" s="1775"/>
      <c r="AB76" s="1775"/>
      <c r="AC76" s="1775"/>
      <c r="AD76" s="1775"/>
      <c r="AE76" s="1775"/>
      <c r="AF76" s="1775"/>
      <c r="AG76" s="1775"/>
      <c r="AH76" s="1775"/>
      <c r="AI76" s="1775"/>
    </row>
    <row r="77" spans="2:35" s="48" customFormat="1" ht="40.5" customHeight="1" x14ac:dyDescent="0.2">
      <c r="B77" s="1129"/>
      <c r="G77" s="1788"/>
      <c r="H77" s="1788"/>
      <c r="I77" s="1788"/>
      <c r="J77" s="1788"/>
      <c r="K77" s="1788"/>
      <c r="L77" s="1788"/>
      <c r="M77" s="1788"/>
      <c r="Q77" s="1787"/>
      <c r="R77" s="1787"/>
      <c r="S77" s="1787"/>
      <c r="T77" s="1787"/>
      <c r="U77" s="1787"/>
      <c r="W77" s="1775"/>
      <c r="X77" s="1775"/>
      <c r="Y77" s="1775"/>
      <c r="Z77" s="1775"/>
      <c r="AA77" s="1775"/>
      <c r="AB77" s="1775"/>
      <c r="AC77" s="1775"/>
      <c r="AD77" s="1775"/>
      <c r="AE77" s="1775"/>
      <c r="AF77" s="1775"/>
      <c r="AG77" s="1775"/>
      <c r="AH77" s="1775"/>
      <c r="AI77" s="1775"/>
    </row>
    <row r="78" spans="2:35" s="48" customFormat="1" ht="69.75" customHeight="1" x14ac:dyDescent="0.2">
      <c r="B78" s="1129"/>
      <c r="G78" s="1788"/>
      <c r="H78" s="1788"/>
      <c r="I78" s="1788"/>
      <c r="J78" s="1788"/>
      <c r="K78" s="1788"/>
      <c r="L78" s="1788"/>
      <c r="M78" s="1788"/>
      <c r="Q78" s="1787"/>
      <c r="R78" s="1787"/>
      <c r="S78" s="1787"/>
      <c r="T78" s="1787"/>
      <c r="U78" s="1787"/>
      <c r="W78" s="1775"/>
      <c r="X78" s="1775"/>
      <c r="Y78" s="1775"/>
      <c r="Z78" s="1775"/>
      <c r="AA78" s="1775"/>
      <c r="AB78" s="1775"/>
      <c r="AC78" s="1775"/>
      <c r="AD78" s="1775"/>
      <c r="AE78" s="1775"/>
      <c r="AF78" s="1775"/>
      <c r="AG78" s="1775"/>
      <c r="AH78" s="1775"/>
      <c r="AI78" s="1775"/>
    </row>
    <row r="79" spans="2:35" s="48" customFormat="1" ht="15" customHeight="1" x14ac:dyDescent="0.2">
      <c r="B79" s="1129"/>
      <c r="G79" s="1177"/>
      <c r="H79" s="1177"/>
      <c r="I79" s="1177"/>
      <c r="J79" s="1177"/>
      <c r="K79" s="1177"/>
      <c r="L79" s="1177"/>
      <c r="M79" s="1177"/>
      <c r="W79" s="1775"/>
      <c r="X79" s="1775"/>
      <c r="Y79" s="1775"/>
      <c r="Z79" s="1775"/>
      <c r="AA79" s="1775"/>
      <c r="AB79" s="1775"/>
      <c r="AC79" s="1775"/>
      <c r="AD79" s="1775"/>
      <c r="AE79" s="1775"/>
      <c r="AF79" s="1775"/>
      <c r="AG79" s="1775"/>
      <c r="AH79" s="1775"/>
      <c r="AI79" s="1775"/>
    </row>
    <row r="80" spans="2:35" s="48" customFormat="1" ht="15" customHeight="1" x14ac:dyDescent="0.2">
      <c r="B80" s="1129"/>
      <c r="G80" s="1177"/>
      <c r="H80" s="1177"/>
      <c r="I80" s="1177"/>
      <c r="J80" s="1177"/>
      <c r="K80" s="1177"/>
      <c r="L80" s="1177"/>
      <c r="M80" s="1177"/>
      <c r="W80" s="1775"/>
      <c r="X80" s="1775"/>
      <c r="Y80" s="1775"/>
      <c r="Z80" s="1775"/>
      <c r="AA80" s="1775"/>
      <c r="AB80" s="1775"/>
      <c r="AC80" s="1775"/>
      <c r="AD80" s="1775"/>
      <c r="AE80" s="1775"/>
      <c r="AF80" s="1775"/>
      <c r="AG80" s="1775"/>
      <c r="AH80" s="1775"/>
      <c r="AI80" s="1775"/>
    </row>
    <row r="81" spans="2:35" s="48" customFormat="1" ht="15" customHeight="1" x14ac:dyDescent="0.2">
      <c r="B81" s="1129"/>
      <c r="G81" s="1177"/>
      <c r="H81" s="1177"/>
      <c r="I81" s="1177"/>
      <c r="J81" s="1177"/>
      <c r="K81" s="1177"/>
      <c r="L81" s="1177"/>
      <c r="M81" s="1177"/>
      <c r="W81" s="1775"/>
      <c r="X81" s="1775"/>
      <c r="Y81" s="1775"/>
      <c r="Z81" s="1775"/>
      <c r="AA81" s="1775"/>
      <c r="AB81" s="1775"/>
      <c r="AC81" s="1775"/>
      <c r="AD81" s="1775"/>
      <c r="AE81" s="1775"/>
      <c r="AF81" s="1775"/>
      <c r="AG81" s="1775"/>
      <c r="AH81" s="1775"/>
      <c r="AI81" s="1775"/>
    </row>
    <row r="82" spans="2:35" s="48" customFormat="1" ht="15" customHeight="1" x14ac:dyDescent="0.2">
      <c r="B82" s="1129"/>
      <c r="W82" s="1775"/>
      <c r="X82" s="1775"/>
      <c r="Y82" s="1775"/>
      <c r="Z82" s="1775"/>
      <c r="AA82" s="1775"/>
      <c r="AB82" s="1775"/>
      <c r="AC82" s="1775"/>
      <c r="AD82" s="1775"/>
      <c r="AE82" s="1775"/>
      <c r="AF82" s="1775"/>
      <c r="AG82" s="1775"/>
      <c r="AH82" s="1775"/>
      <c r="AI82" s="1775"/>
    </row>
    <row r="83" spans="2:35" s="48" customFormat="1" ht="15" customHeight="1" x14ac:dyDescent="0.2">
      <c r="B83" s="1129"/>
      <c r="W83" s="1775"/>
      <c r="X83" s="1775"/>
      <c r="Y83" s="1775"/>
      <c r="Z83" s="1775"/>
      <c r="AA83" s="1775"/>
      <c r="AB83" s="1775"/>
      <c r="AC83" s="1775"/>
      <c r="AD83" s="1775"/>
      <c r="AE83" s="1775"/>
      <c r="AF83" s="1775"/>
      <c r="AG83" s="1775"/>
      <c r="AH83" s="1775"/>
      <c r="AI83" s="1775"/>
    </row>
    <row r="84" spans="2:35" s="48" customFormat="1" ht="15" customHeight="1" x14ac:dyDescent="0.2">
      <c r="B84" s="1129"/>
      <c r="W84" s="1775"/>
      <c r="X84" s="1775"/>
      <c r="Y84" s="1775"/>
      <c r="Z84" s="1775"/>
      <c r="AA84" s="1775"/>
      <c r="AB84" s="1775"/>
      <c r="AC84" s="1775"/>
      <c r="AD84" s="1775"/>
      <c r="AE84" s="1775"/>
      <c r="AF84" s="1775"/>
      <c r="AG84" s="1775"/>
      <c r="AH84" s="1775"/>
      <c r="AI84" s="1775"/>
    </row>
    <row r="85" spans="2:35" s="48" customFormat="1" ht="15" customHeight="1" x14ac:dyDescent="0.2">
      <c r="B85" s="1129"/>
    </row>
    <row r="86" spans="2:35" s="48" customFormat="1" ht="15" customHeight="1" x14ac:dyDescent="0.2">
      <c r="B86" s="1129"/>
    </row>
    <row r="87" spans="2:35" s="48" customFormat="1" ht="15" customHeight="1" x14ac:dyDescent="0.2">
      <c r="B87" s="1129"/>
    </row>
    <row r="88" spans="2:35" s="48" customFormat="1" ht="15" customHeight="1" x14ac:dyDescent="0.2">
      <c r="B88" s="1129"/>
    </row>
    <row r="89" spans="2:35" s="48" customFormat="1" ht="15" customHeight="1" x14ac:dyDescent="0.2">
      <c r="B89" s="1129"/>
    </row>
    <row r="90" spans="2:35" s="48" customFormat="1" ht="15" customHeight="1" x14ac:dyDescent="0.2">
      <c r="B90" s="1129"/>
    </row>
    <row r="91" spans="2:35" s="48" customFormat="1" ht="15" customHeight="1" x14ac:dyDescent="0.2">
      <c r="B91" s="1129"/>
    </row>
    <row r="92" spans="2:35" s="48" customFormat="1" ht="15" customHeight="1" x14ac:dyDescent="0.2">
      <c r="B92" s="1129"/>
    </row>
    <row r="93" spans="2:35" s="48" customFormat="1" ht="15" customHeight="1" x14ac:dyDescent="0.2">
      <c r="B93" s="1129"/>
    </row>
    <row r="94" spans="2:35" s="48" customFormat="1" ht="15" customHeight="1" x14ac:dyDescent="0.2">
      <c r="B94" s="1129"/>
    </row>
    <row r="95" spans="2:35" s="48" customFormat="1" ht="15" customHeight="1" x14ac:dyDescent="0.2">
      <c r="B95" s="1129"/>
    </row>
    <row r="96" spans="2:35" s="48" customFormat="1" ht="15" customHeight="1" x14ac:dyDescent="0.2">
      <c r="B96" s="1129"/>
    </row>
    <row r="97" spans="2:2" s="48" customFormat="1" ht="15" customHeight="1" x14ac:dyDescent="0.2">
      <c r="B97" s="1129"/>
    </row>
    <row r="98" spans="2:2" s="48" customFormat="1" ht="15" customHeight="1" x14ac:dyDescent="0.2">
      <c r="B98" s="1129"/>
    </row>
    <row r="99" spans="2:2" s="48" customFormat="1" ht="15" customHeight="1" x14ac:dyDescent="0.2">
      <c r="B99" s="1129"/>
    </row>
    <row r="100" spans="2:2" s="48" customFormat="1" ht="15" customHeight="1" x14ac:dyDescent="0.2">
      <c r="B100" s="1129"/>
    </row>
    <row r="101" spans="2:2" s="48" customFormat="1" ht="15" customHeight="1" x14ac:dyDescent="0.2">
      <c r="B101" s="1129"/>
    </row>
    <row r="102" spans="2:2" s="48" customFormat="1" ht="15" customHeight="1" x14ac:dyDescent="0.2">
      <c r="B102" s="1129"/>
    </row>
    <row r="103" spans="2:2" s="48" customFormat="1" ht="15" customHeight="1" x14ac:dyDescent="0.2">
      <c r="B103" s="1129"/>
    </row>
    <row r="104" spans="2:2" s="48" customFormat="1" ht="15" customHeight="1" x14ac:dyDescent="0.2">
      <c r="B104" s="1129"/>
    </row>
    <row r="105" spans="2:2" s="48" customFormat="1" ht="15" customHeight="1" x14ac:dyDescent="0.2">
      <c r="B105" s="1129"/>
    </row>
    <row r="106" spans="2:2" s="48" customFormat="1" ht="15" customHeight="1" x14ac:dyDescent="0.2">
      <c r="B106" s="1129"/>
    </row>
    <row r="107" spans="2:2" s="48" customFormat="1" ht="15" customHeight="1" x14ac:dyDescent="0.2">
      <c r="B107" s="1129"/>
    </row>
    <row r="108" spans="2:2" s="48" customFormat="1" ht="15" customHeight="1" x14ac:dyDescent="0.2">
      <c r="B108" s="1129"/>
    </row>
    <row r="109" spans="2:2" s="48" customFormat="1" ht="15" customHeight="1" x14ac:dyDescent="0.2">
      <c r="B109" s="1129"/>
    </row>
    <row r="110" spans="2:2" s="48" customFormat="1" ht="15" customHeight="1" x14ac:dyDescent="0.2">
      <c r="B110" s="1129"/>
    </row>
    <row r="111" spans="2:2" s="48" customFormat="1" ht="15" customHeight="1" x14ac:dyDescent="0.2">
      <c r="B111" s="1129"/>
    </row>
    <row r="112" spans="2:2" s="48" customFormat="1" ht="15" customHeight="1" x14ac:dyDescent="0.2">
      <c r="B112" s="1129"/>
    </row>
    <row r="113" spans="2:2" s="48" customFormat="1" ht="15" customHeight="1" x14ac:dyDescent="0.2">
      <c r="B113" s="1129"/>
    </row>
    <row r="114" spans="2:2" s="48" customFormat="1" ht="15" customHeight="1" x14ac:dyDescent="0.2">
      <c r="B114" s="1129"/>
    </row>
    <row r="115" spans="2:2" s="48" customFormat="1" ht="15" customHeight="1" x14ac:dyDescent="0.2">
      <c r="B115" s="1129"/>
    </row>
    <row r="116" spans="2:2" s="48" customFormat="1" ht="15" customHeight="1" x14ac:dyDescent="0.2">
      <c r="B116" s="1129"/>
    </row>
    <row r="117" spans="2:2" s="48" customFormat="1" ht="15" customHeight="1" x14ac:dyDescent="0.2">
      <c r="B117" s="1129"/>
    </row>
    <row r="118" spans="2:2" s="48" customFormat="1" ht="15" customHeight="1" x14ac:dyDescent="0.2">
      <c r="B118" s="1129"/>
    </row>
    <row r="119" spans="2:2" s="48" customFormat="1" ht="15" customHeight="1" x14ac:dyDescent="0.2">
      <c r="B119" s="1129"/>
    </row>
    <row r="120" spans="2:2" s="48" customFormat="1" ht="15" customHeight="1" x14ac:dyDescent="0.2">
      <c r="B120" s="1129"/>
    </row>
    <row r="121" spans="2:2" s="48" customFormat="1" ht="15" customHeight="1" x14ac:dyDescent="0.2">
      <c r="B121" s="1129"/>
    </row>
    <row r="122" spans="2:2" s="48" customFormat="1" ht="15" customHeight="1" x14ac:dyDescent="0.2">
      <c r="B122" s="1129"/>
    </row>
    <row r="123" spans="2:2" s="48" customFormat="1" ht="15" customHeight="1" x14ac:dyDescent="0.2">
      <c r="B123" s="1129"/>
    </row>
    <row r="124" spans="2:2" s="48" customFormat="1" ht="15" customHeight="1" x14ac:dyDescent="0.2">
      <c r="B124" s="1129"/>
    </row>
    <row r="125" spans="2:2" s="48" customFormat="1" ht="15" customHeight="1" x14ac:dyDescent="0.2">
      <c r="B125" s="1129"/>
    </row>
    <row r="126" spans="2:2" s="48" customFormat="1" ht="15" customHeight="1" x14ac:dyDescent="0.2">
      <c r="B126" s="1129"/>
    </row>
    <row r="127" spans="2:2" s="48" customFormat="1" ht="15" customHeight="1" x14ac:dyDescent="0.2">
      <c r="B127" s="1129"/>
    </row>
    <row r="128" spans="2:2" s="48" customFormat="1" ht="15" customHeight="1" x14ac:dyDescent="0.2">
      <c r="B128" s="1129"/>
    </row>
    <row r="129" spans="2:2" s="48" customFormat="1" ht="15" customHeight="1" x14ac:dyDescent="0.2">
      <c r="B129" s="1129"/>
    </row>
    <row r="130" spans="2:2" s="48" customFormat="1" ht="15" customHeight="1" x14ac:dyDescent="0.2">
      <c r="B130" s="1129"/>
    </row>
    <row r="131" spans="2:2" s="48" customFormat="1" ht="15" customHeight="1" x14ac:dyDescent="0.2">
      <c r="B131" s="1129"/>
    </row>
    <row r="132" spans="2:2" s="48" customFormat="1" ht="15" customHeight="1" x14ac:dyDescent="0.2">
      <c r="B132" s="1129"/>
    </row>
    <row r="133" spans="2:2" s="48" customFormat="1" ht="15" customHeight="1" x14ac:dyDescent="0.2">
      <c r="B133" s="1129"/>
    </row>
    <row r="134" spans="2:2" s="48" customFormat="1" ht="15" customHeight="1" x14ac:dyDescent="0.2">
      <c r="B134" s="1129"/>
    </row>
    <row r="135" spans="2:2" s="48" customFormat="1" ht="15" customHeight="1" x14ac:dyDescent="0.2">
      <c r="B135" s="1129"/>
    </row>
    <row r="136" spans="2:2" s="48" customFormat="1" ht="15" customHeight="1" x14ac:dyDescent="0.2">
      <c r="B136" s="1129"/>
    </row>
    <row r="137" spans="2:2" s="48" customFormat="1" ht="15" customHeight="1" x14ac:dyDescent="0.2">
      <c r="B137" s="1129"/>
    </row>
    <row r="138" spans="2:2" s="48" customFormat="1" ht="15" customHeight="1" x14ac:dyDescent="0.2">
      <c r="B138" s="1129"/>
    </row>
    <row r="139" spans="2:2" s="48" customFormat="1" ht="15" customHeight="1" x14ac:dyDescent="0.2">
      <c r="B139" s="1129"/>
    </row>
    <row r="140" spans="2:2" s="48" customFormat="1" ht="15" customHeight="1" x14ac:dyDescent="0.2">
      <c r="B140" s="1129"/>
    </row>
    <row r="141" spans="2:2" s="48" customFormat="1" ht="15" customHeight="1" x14ac:dyDescent="0.2">
      <c r="B141" s="1129"/>
    </row>
    <row r="142" spans="2:2" s="48" customFormat="1" ht="15" customHeight="1" x14ac:dyDescent="0.2">
      <c r="B142" s="1129"/>
    </row>
    <row r="143" spans="2:2" s="48" customFormat="1" ht="15" customHeight="1" x14ac:dyDescent="0.2">
      <c r="B143" s="1129"/>
    </row>
    <row r="144" spans="2:2" s="48" customFormat="1" ht="15" customHeight="1" x14ac:dyDescent="0.2">
      <c r="B144" s="1129"/>
    </row>
    <row r="145" spans="2:2" s="48" customFormat="1" ht="15" customHeight="1" x14ac:dyDescent="0.2">
      <c r="B145" s="1129"/>
    </row>
    <row r="146" spans="2:2" s="48" customFormat="1" ht="15" customHeight="1" x14ac:dyDescent="0.2">
      <c r="B146" s="1129"/>
    </row>
    <row r="147" spans="2:2" s="48" customFormat="1" ht="15" customHeight="1" x14ac:dyDescent="0.2">
      <c r="B147" s="1129"/>
    </row>
    <row r="148" spans="2:2" s="48" customFormat="1" ht="15" customHeight="1" x14ac:dyDescent="0.2">
      <c r="B148" s="1129"/>
    </row>
    <row r="149" spans="2:2" s="48" customFormat="1" ht="15" customHeight="1" x14ac:dyDescent="0.2">
      <c r="B149" s="1129"/>
    </row>
    <row r="150" spans="2:2" s="48" customFormat="1" ht="15" customHeight="1" x14ac:dyDescent="0.2">
      <c r="B150" s="1129"/>
    </row>
    <row r="151" spans="2:2" s="48" customFormat="1" ht="15" customHeight="1" x14ac:dyDescent="0.2">
      <c r="B151" s="1129"/>
    </row>
    <row r="152" spans="2:2" s="48" customFormat="1" ht="15" customHeight="1" x14ac:dyDescent="0.2">
      <c r="B152" s="1129"/>
    </row>
    <row r="153" spans="2:2" s="48" customFormat="1" ht="15" customHeight="1" x14ac:dyDescent="0.2">
      <c r="B153" s="1129"/>
    </row>
    <row r="154" spans="2:2" s="48" customFormat="1" ht="15" customHeight="1" x14ac:dyDescent="0.2">
      <c r="B154" s="1129"/>
    </row>
    <row r="155" spans="2:2" s="48" customFormat="1" ht="15" customHeight="1" x14ac:dyDescent="0.2">
      <c r="B155" s="1129"/>
    </row>
    <row r="156" spans="2:2" s="48" customFormat="1" ht="15" customHeight="1" x14ac:dyDescent="0.2">
      <c r="B156" s="1129"/>
    </row>
    <row r="157" spans="2:2" s="48" customFormat="1" ht="15" customHeight="1" x14ac:dyDescent="0.2">
      <c r="B157" s="1129"/>
    </row>
    <row r="158" spans="2:2" s="48" customFormat="1" ht="15" customHeight="1" x14ac:dyDescent="0.2">
      <c r="B158" s="1129"/>
    </row>
    <row r="159" spans="2:2" s="48" customFormat="1" ht="15" customHeight="1" x14ac:dyDescent="0.2">
      <c r="B159" s="1129"/>
    </row>
    <row r="160" spans="2:2" s="48" customFormat="1" ht="15" customHeight="1" x14ac:dyDescent="0.2">
      <c r="B160" s="1129"/>
    </row>
    <row r="161" spans="2:2" s="48" customFormat="1" ht="15" customHeight="1" x14ac:dyDescent="0.2">
      <c r="B161" s="1129"/>
    </row>
    <row r="162" spans="2:2" s="48" customFormat="1" ht="15" customHeight="1" x14ac:dyDescent="0.2">
      <c r="B162" s="1129"/>
    </row>
    <row r="163" spans="2:2" s="48" customFormat="1" ht="15" customHeight="1" x14ac:dyDescent="0.2">
      <c r="B163" s="1129"/>
    </row>
    <row r="164" spans="2:2" s="48" customFormat="1" ht="15" customHeight="1" x14ac:dyDescent="0.2">
      <c r="B164" s="1129"/>
    </row>
    <row r="165" spans="2:2" s="48" customFormat="1" ht="15" customHeight="1" x14ac:dyDescent="0.2">
      <c r="B165" s="1129"/>
    </row>
    <row r="166" spans="2:2" s="48" customFormat="1" ht="15" customHeight="1" x14ac:dyDescent="0.2">
      <c r="B166" s="1129"/>
    </row>
    <row r="167" spans="2:2" s="48" customFormat="1" ht="15" customHeight="1" x14ac:dyDescent="0.2">
      <c r="B167" s="1129"/>
    </row>
    <row r="168" spans="2:2" s="48" customFormat="1" ht="15" customHeight="1" x14ac:dyDescent="0.2">
      <c r="B168" s="1129"/>
    </row>
    <row r="169" spans="2:2" s="48" customFormat="1" ht="15" customHeight="1" x14ac:dyDescent="0.2">
      <c r="B169" s="1129"/>
    </row>
    <row r="170" spans="2:2" s="48" customFormat="1" ht="15" customHeight="1" x14ac:dyDescent="0.2">
      <c r="B170" s="1129"/>
    </row>
    <row r="171" spans="2:2" s="48" customFormat="1" ht="15" customHeight="1" x14ac:dyDescent="0.2">
      <c r="B171" s="1129"/>
    </row>
    <row r="172" spans="2:2" s="48" customFormat="1" ht="15" customHeight="1" x14ac:dyDescent="0.2">
      <c r="B172" s="1129"/>
    </row>
    <row r="173" spans="2:2" s="48" customFormat="1" ht="15" customHeight="1" x14ac:dyDescent="0.2">
      <c r="B173" s="1129"/>
    </row>
    <row r="174" spans="2:2" s="48" customFormat="1" ht="15" customHeight="1" x14ac:dyDescent="0.2">
      <c r="B174" s="1129"/>
    </row>
    <row r="175" spans="2:2" s="48" customFormat="1" ht="15" customHeight="1" x14ac:dyDescent="0.2">
      <c r="B175" s="1129"/>
    </row>
    <row r="176" spans="2:2" s="48" customFormat="1" ht="15" customHeight="1" x14ac:dyDescent="0.2">
      <c r="B176" s="1129"/>
    </row>
    <row r="177" spans="2:2" s="48" customFormat="1" ht="15" customHeight="1" x14ac:dyDescent="0.2">
      <c r="B177" s="1129"/>
    </row>
    <row r="178" spans="2:2" s="48" customFormat="1" ht="15" customHeight="1" x14ac:dyDescent="0.2">
      <c r="B178" s="1129"/>
    </row>
    <row r="179" spans="2:2" s="48" customFormat="1" ht="15" customHeight="1" x14ac:dyDescent="0.2">
      <c r="B179" s="1129"/>
    </row>
    <row r="180" spans="2:2" s="48" customFormat="1" ht="15" customHeight="1" x14ac:dyDescent="0.2">
      <c r="B180" s="1129"/>
    </row>
    <row r="181" spans="2:2" s="48" customFormat="1" ht="15" customHeight="1" x14ac:dyDescent="0.2">
      <c r="B181" s="1129"/>
    </row>
    <row r="182" spans="2:2" s="48" customFormat="1" ht="15" customHeight="1" x14ac:dyDescent="0.2">
      <c r="B182" s="1129"/>
    </row>
    <row r="183" spans="2:2" s="48" customFormat="1" ht="15" customHeight="1" x14ac:dyDescent="0.2">
      <c r="B183" s="1129"/>
    </row>
    <row r="184" spans="2:2" s="48" customFormat="1" ht="15" customHeight="1" x14ac:dyDescent="0.2">
      <c r="B184" s="1129"/>
    </row>
    <row r="185" spans="2:2" s="48" customFormat="1" ht="15" customHeight="1" x14ac:dyDescent="0.2">
      <c r="B185" s="1129"/>
    </row>
    <row r="186" spans="2:2" s="48" customFormat="1" ht="15" customHeight="1" x14ac:dyDescent="0.2">
      <c r="B186" s="1129"/>
    </row>
    <row r="187" spans="2:2" s="48" customFormat="1" ht="15" customHeight="1" x14ac:dyDescent="0.2">
      <c r="B187" s="1129"/>
    </row>
    <row r="188" spans="2:2" s="48" customFormat="1" ht="15" customHeight="1" x14ac:dyDescent="0.2">
      <c r="B188" s="1129"/>
    </row>
    <row r="189" spans="2:2" s="48" customFormat="1" ht="15" customHeight="1" x14ac:dyDescent="0.2">
      <c r="B189" s="1129"/>
    </row>
    <row r="190" spans="2:2" s="48" customFormat="1" ht="15" customHeight="1" x14ac:dyDescent="0.2">
      <c r="B190" s="1129"/>
    </row>
    <row r="191" spans="2:2" s="48" customFormat="1" ht="15" customHeight="1" x14ac:dyDescent="0.2">
      <c r="B191" s="1129"/>
    </row>
    <row r="192" spans="2:2" s="48" customFormat="1" ht="15" customHeight="1" x14ac:dyDescent="0.2">
      <c r="B192" s="1129"/>
    </row>
    <row r="193" spans="2:2" s="48" customFormat="1" ht="15" customHeight="1" x14ac:dyDescent="0.2">
      <c r="B193" s="1129"/>
    </row>
    <row r="194" spans="2:2" s="48" customFormat="1" ht="15" customHeight="1" x14ac:dyDescent="0.2">
      <c r="B194" s="1129"/>
    </row>
    <row r="195" spans="2:2" s="48" customFormat="1" ht="15" customHeight="1" x14ac:dyDescent="0.2">
      <c r="B195" s="1129"/>
    </row>
    <row r="196" spans="2:2" s="48" customFormat="1" ht="15" customHeight="1" x14ac:dyDescent="0.2">
      <c r="B196" s="1129"/>
    </row>
    <row r="197" spans="2:2" s="48" customFormat="1" ht="15" customHeight="1" x14ac:dyDescent="0.2">
      <c r="B197" s="1129"/>
    </row>
    <row r="198" spans="2:2" s="48" customFormat="1" ht="15" customHeight="1" x14ac:dyDescent="0.2">
      <c r="B198" s="1129"/>
    </row>
    <row r="199" spans="2:2" s="48" customFormat="1" ht="15" customHeight="1" x14ac:dyDescent="0.2">
      <c r="B199" s="1129"/>
    </row>
    <row r="200" spans="2:2" s="48" customFormat="1" ht="15" customHeight="1" x14ac:dyDescent="0.2">
      <c r="B200" s="1129"/>
    </row>
    <row r="201" spans="2:2" s="48" customFormat="1" ht="15" customHeight="1" x14ac:dyDescent="0.2">
      <c r="B201" s="1129"/>
    </row>
    <row r="202" spans="2:2" s="48" customFormat="1" ht="15" customHeight="1" x14ac:dyDescent="0.2">
      <c r="B202" s="1129"/>
    </row>
    <row r="203" spans="2:2" s="48" customFormat="1" ht="15" customHeight="1" x14ac:dyDescent="0.2">
      <c r="B203" s="1129"/>
    </row>
    <row r="204" spans="2:2" s="48" customFormat="1" ht="15" customHeight="1" x14ac:dyDescent="0.2">
      <c r="B204" s="1129"/>
    </row>
    <row r="205" spans="2:2" s="48" customFormat="1" ht="15" customHeight="1" x14ac:dyDescent="0.2">
      <c r="B205" s="1129"/>
    </row>
    <row r="206" spans="2:2" s="48" customFormat="1" ht="15" customHeight="1" x14ac:dyDescent="0.2">
      <c r="B206" s="1129"/>
    </row>
    <row r="207" spans="2:2" s="48" customFormat="1" ht="15" customHeight="1" x14ac:dyDescent="0.2">
      <c r="B207" s="1129"/>
    </row>
    <row r="208" spans="2:2" s="48" customFormat="1" ht="15" customHeight="1" x14ac:dyDescent="0.2">
      <c r="B208" s="1129"/>
    </row>
    <row r="209" spans="2:2" s="48" customFormat="1" ht="15" customHeight="1" x14ac:dyDescent="0.2">
      <c r="B209" s="1129"/>
    </row>
    <row r="210" spans="2:2" s="48" customFormat="1" ht="15" customHeight="1" x14ac:dyDescent="0.2">
      <c r="B210" s="1129"/>
    </row>
    <row r="211" spans="2:2" s="48" customFormat="1" ht="15" customHeight="1" x14ac:dyDescent="0.2">
      <c r="B211" s="1129"/>
    </row>
    <row r="212" spans="2:2" s="48" customFormat="1" ht="15" customHeight="1" x14ac:dyDescent="0.2">
      <c r="B212" s="1129"/>
    </row>
    <row r="213" spans="2:2" s="48" customFormat="1" ht="15" customHeight="1" x14ac:dyDescent="0.2">
      <c r="B213" s="1129"/>
    </row>
    <row r="214" spans="2:2" s="48" customFormat="1" ht="15" customHeight="1" x14ac:dyDescent="0.2">
      <c r="B214" s="1129"/>
    </row>
    <row r="215" spans="2:2" s="48" customFormat="1" ht="15" customHeight="1" x14ac:dyDescent="0.2">
      <c r="B215" s="1129"/>
    </row>
    <row r="216" spans="2:2" s="48" customFormat="1" ht="15" customHeight="1" x14ac:dyDescent="0.2">
      <c r="B216" s="1129"/>
    </row>
    <row r="217" spans="2:2" s="48" customFormat="1" ht="15" customHeight="1" x14ac:dyDescent="0.2">
      <c r="B217" s="1129"/>
    </row>
    <row r="218" spans="2:2" s="48" customFormat="1" ht="15" customHeight="1" x14ac:dyDescent="0.2">
      <c r="B218" s="1129"/>
    </row>
    <row r="219" spans="2:2" s="48" customFormat="1" ht="15" customHeight="1" x14ac:dyDescent="0.2">
      <c r="B219" s="1129"/>
    </row>
    <row r="220" spans="2:2" s="48" customFormat="1" ht="15" customHeight="1" x14ac:dyDescent="0.2">
      <c r="B220" s="1129"/>
    </row>
    <row r="221" spans="2:2" s="48" customFormat="1" ht="15" customHeight="1" x14ac:dyDescent="0.2">
      <c r="B221" s="1129"/>
    </row>
    <row r="222" spans="2:2" s="48" customFormat="1" ht="15" customHeight="1" x14ac:dyDescent="0.2">
      <c r="B222" s="1129"/>
    </row>
    <row r="223" spans="2:2" s="48" customFormat="1" ht="15" customHeight="1" x14ac:dyDescent="0.2">
      <c r="B223" s="1129"/>
    </row>
    <row r="224" spans="2:2" s="48" customFormat="1" ht="15" customHeight="1" x14ac:dyDescent="0.2">
      <c r="B224" s="1129"/>
    </row>
    <row r="225" spans="2:2" s="48" customFormat="1" ht="15" customHeight="1" x14ac:dyDescent="0.2">
      <c r="B225" s="1129"/>
    </row>
    <row r="226" spans="2:2" s="48" customFormat="1" ht="15" customHeight="1" x14ac:dyDescent="0.2">
      <c r="B226" s="1129"/>
    </row>
    <row r="227" spans="2:2" s="48" customFormat="1" ht="15" customHeight="1" x14ac:dyDescent="0.2">
      <c r="B227" s="1129"/>
    </row>
    <row r="228" spans="2:2" s="48" customFormat="1" ht="15" customHeight="1" x14ac:dyDescent="0.2">
      <c r="B228" s="1129"/>
    </row>
    <row r="229" spans="2:2" s="48" customFormat="1" ht="15" customHeight="1" x14ac:dyDescent="0.2">
      <c r="B229" s="1129"/>
    </row>
    <row r="230" spans="2:2" s="48" customFormat="1" ht="15" customHeight="1" x14ac:dyDescent="0.2">
      <c r="B230" s="1129"/>
    </row>
    <row r="231" spans="2:2" s="48" customFormat="1" ht="15" customHeight="1" x14ac:dyDescent="0.2">
      <c r="B231" s="1129"/>
    </row>
    <row r="232" spans="2:2" s="48" customFormat="1" ht="15" customHeight="1" x14ac:dyDescent="0.2">
      <c r="B232" s="1129"/>
    </row>
    <row r="233" spans="2:2" s="48" customFormat="1" ht="15" customHeight="1" x14ac:dyDescent="0.2">
      <c r="B233" s="1129"/>
    </row>
    <row r="234" spans="2:2" s="48" customFormat="1" ht="15" customHeight="1" x14ac:dyDescent="0.2">
      <c r="B234" s="1129"/>
    </row>
    <row r="235" spans="2:2" s="48" customFormat="1" ht="15" customHeight="1" x14ac:dyDescent="0.2">
      <c r="B235" s="1129"/>
    </row>
    <row r="236" spans="2:2" s="48" customFormat="1" ht="15" customHeight="1" x14ac:dyDescent="0.2">
      <c r="B236" s="1129"/>
    </row>
    <row r="237" spans="2:2" s="48" customFormat="1" ht="15" customHeight="1" x14ac:dyDescent="0.2">
      <c r="B237" s="1129"/>
    </row>
  </sheetData>
  <sheetProtection algorithmName="SHA-512" hashValue="/zehD0cZxyfLwJtZ82rwmdUeFN0evmITAgBFcBifOqEaPLT9PYiAKpgEeBL4nx5XsGVCNACRHv06unL5E/K9rg==" saltValue="Hethb6wKnAm8TXnEt6atZg==" spinCount="100000" sheet="1" objects="1" scenarios="1" selectLockedCells="1"/>
  <protectedRanges>
    <protectedRange sqref="F19:K20" name="Range2"/>
    <protectedRange sqref="L8:L14 L17:L20" name="Range1"/>
  </protectedRanges>
  <mergeCells count="108">
    <mergeCell ref="Q72:U73"/>
    <mergeCell ref="W72:AI72"/>
    <mergeCell ref="B73:H73"/>
    <mergeCell ref="W73:AI73"/>
    <mergeCell ref="Q74:U78"/>
    <mergeCell ref="W74:AI74"/>
    <mergeCell ref="W75:AI84"/>
    <mergeCell ref="G76:M78"/>
    <mergeCell ref="B70:D70"/>
    <mergeCell ref="E70:I70"/>
    <mergeCell ref="J70:K70"/>
    <mergeCell ref="L70:N70"/>
    <mergeCell ref="B71:D71"/>
    <mergeCell ref="E71:I71"/>
    <mergeCell ref="J71:K71"/>
    <mergeCell ref="L71:N71"/>
    <mergeCell ref="B72:D72"/>
    <mergeCell ref="E72:I72"/>
    <mergeCell ref="J72:K72"/>
    <mergeCell ref="L72:N72"/>
    <mergeCell ref="B66:N66"/>
    <mergeCell ref="Q66:U67"/>
    <mergeCell ref="B67:N67"/>
    <mergeCell ref="W67:AI67"/>
    <mergeCell ref="B68:D69"/>
    <mergeCell ref="E68:I69"/>
    <mergeCell ref="J68:N68"/>
    <mergeCell ref="J69:K69"/>
    <mergeCell ref="L69:N69"/>
    <mergeCell ref="W58:AI62"/>
    <mergeCell ref="C59:C61"/>
    <mergeCell ref="F59:K59"/>
    <mergeCell ref="N59:N60"/>
    <mergeCell ref="F60:K60"/>
    <mergeCell ref="F61:K61"/>
    <mergeCell ref="F62:K62"/>
    <mergeCell ref="B63:M63"/>
    <mergeCell ref="B65:M65"/>
    <mergeCell ref="W65:AI65"/>
    <mergeCell ref="Q52:Q53"/>
    <mergeCell ref="R52:T55"/>
    <mergeCell ref="F53:K53"/>
    <mergeCell ref="F54:M54"/>
    <mergeCell ref="Q54:Q55"/>
    <mergeCell ref="B55:M55"/>
    <mergeCell ref="R56:T61"/>
    <mergeCell ref="B57:N57"/>
    <mergeCell ref="C58:K58"/>
    <mergeCell ref="B40:M40"/>
    <mergeCell ref="P40:P65"/>
    <mergeCell ref="B42:N42"/>
    <mergeCell ref="C43:K43"/>
    <mergeCell ref="N43:N48"/>
    <mergeCell ref="C44:C48"/>
    <mergeCell ref="F44:K44"/>
    <mergeCell ref="F45:K45"/>
    <mergeCell ref="F46:K46"/>
    <mergeCell ref="F47:K47"/>
    <mergeCell ref="F48:K48"/>
    <mergeCell ref="F49:M49"/>
    <mergeCell ref="C50:K50"/>
    <mergeCell ref="C51:C53"/>
    <mergeCell ref="F51:K51"/>
    <mergeCell ref="N51:N53"/>
    <mergeCell ref="F52:K52"/>
    <mergeCell ref="C23:K24"/>
    <mergeCell ref="N23:N37"/>
    <mergeCell ref="C25:C36"/>
    <mergeCell ref="F25:K25"/>
    <mergeCell ref="F26:K26"/>
    <mergeCell ref="F27:K27"/>
    <mergeCell ref="F28:K28"/>
    <mergeCell ref="F29:K29"/>
    <mergeCell ref="F30:K30"/>
    <mergeCell ref="F31:K31"/>
    <mergeCell ref="F32:K32"/>
    <mergeCell ref="F33:K33"/>
    <mergeCell ref="F34:K34"/>
    <mergeCell ref="F35:K35"/>
    <mergeCell ref="F36:K36"/>
    <mergeCell ref="D37:D38"/>
    <mergeCell ref="F37:K37"/>
    <mergeCell ref="F38:M38"/>
    <mergeCell ref="F15:K15"/>
    <mergeCell ref="C16:K16"/>
    <mergeCell ref="C17:C20"/>
    <mergeCell ref="F17:K17"/>
    <mergeCell ref="F18:K18"/>
    <mergeCell ref="F19:K19"/>
    <mergeCell ref="F20:K20"/>
    <mergeCell ref="F21:K21"/>
    <mergeCell ref="C22:M22"/>
    <mergeCell ref="B1:N1"/>
    <mergeCell ref="B2:N2"/>
    <mergeCell ref="B3:N3"/>
    <mergeCell ref="B4:G4"/>
    <mergeCell ref="H4:I4"/>
    <mergeCell ref="K4:M4"/>
    <mergeCell ref="B6:N6"/>
    <mergeCell ref="C7:K7"/>
    <mergeCell ref="C8:C14"/>
    <mergeCell ref="F8:K8"/>
    <mergeCell ref="F9:K9"/>
    <mergeCell ref="F10:K10"/>
    <mergeCell ref="F11:K11"/>
    <mergeCell ref="F12:K12"/>
    <mergeCell ref="F13:K13"/>
    <mergeCell ref="F14:K14"/>
  </mergeCells>
  <conditionalFormatting sqref="Q40 P40 Q65 Q52:T55">
    <cfRule type="expression" dxfId="21" priority="2">
      <formula>OR($Q$54&lt;=-0.01,$Q$54&gt;=0.01)</formula>
    </cfRule>
    <cfRule type="expression" dxfId="20" priority="4">
      <formula>OR($Q$54&gt;=-0.01,$Q$54&lt;=0.01)</formula>
    </cfRule>
  </conditionalFormatting>
  <conditionalFormatting sqref="H4:I4 K4:M4">
    <cfRule type="cellIs" dxfId="19" priority="3" operator="equal">
      <formula>0</formula>
    </cfRule>
  </conditionalFormatting>
  <conditionalFormatting sqref="R56">
    <cfRule type="expression" dxfId="18" priority="7">
      <formula>Q54&lt;&gt;0</formula>
    </cfRule>
  </conditionalFormatting>
  <dataValidations count="1">
    <dataValidation allowBlank="1" sqref="M61">
      <formula1>0</formula1>
      <formula2>0</formula2>
    </dataValidation>
  </dataValidations>
  <printOptions horizontalCentered="1"/>
  <pageMargins left="0.9" right="0.15763888888888899" top="0.31527777777777799" bottom="0.15763888888888899" header="0.511811023622047" footer="0.15763888888888899"/>
  <pageSetup scale="61"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MJ149"/>
  <sheetViews>
    <sheetView showGridLines="0" showRowColHeaders="0" showZeros="0" topLeftCell="A36" zoomScale="85" zoomScaleNormal="85" zoomScalePageLayoutView="70" workbookViewId="0">
      <selection activeCell="C65" sqref="C65"/>
    </sheetView>
  </sheetViews>
  <sheetFormatPr defaultColWidth="11.42578125" defaultRowHeight="12.75" x14ac:dyDescent="0.2"/>
  <cols>
    <col min="1" max="1" width="13.28515625" style="1" customWidth="1"/>
    <col min="2" max="2" width="15.5703125" style="1" customWidth="1"/>
    <col min="3" max="3" width="43" style="1" customWidth="1"/>
    <col min="4" max="4" width="7" style="1" customWidth="1"/>
    <col min="5" max="5" width="7.28515625" style="1" customWidth="1"/>
    <col min="6" max="6" width="9.140625" style="1" customWidth="1"/>
    <col min="7" max="7" width="8.28515625" style="1" customWidth="1"/>
    <col min="8" max="8" width="17.140625" style="1" hidden="1" customWidth="1"/>
    <col min="9" max="10" width="25.7109375" style="1" customWidth="1"/>
    <col min="11" max="11" width="17.85546875" style="1" customWidth="1"/>
    <col min="12" max="12" width="3.85546875" style="1" customWidth="1"/>
    <col min="13" max="13" width="9.140625" style="1" customWidth="1"/>
    <col min="14" max="14" width="9.140625" style="1" hidden="1" customWidth="1"/>
    <col min="15" max="15" width="11.42578125" style="1"/>
    <col min="16" max="18" width="9.140625" style="1" customWidth="1"/>
    <col min="19" max="19" width="21.28515625" style="1" customWidth="1"/>
    <col min="20" max="21" width="9.140625" style="1" customWidth="1"/>
    <col min="22" max="22" width="9.140625" style="1" hidden="1" customWidth="1"/>
    <col min="23" max="257" width="9.140625" style="1" customWidth="1"/>
    <col min="258" max="1024" width="11.42578125" style="1"/>
  </cols>
  <sheetData>
    <row r="1" spans="2:22" ht="33.75" customHeight="1" x14ac:dyDescent="0.4">
      <c r="B1" s="1452" t="str">
        <f>IF(O3=2,"État des immobilisations","Statement of Fixed Assets")</f>
        <v>Statement of Fixed Assets</v>
      </c>
      <c r="C1" s="1452"/>
      <c r="D1" s="1452"/>
      <c r="E1" s="1452"/>
      <c r="F1" s="1452"/>
      <c r="G1" s="1452"/>
      <c r="H1" s="1452"/>
      <c r="I1" s="1452"/>
      <c r="J1" s="1452"/>
      <c r="K1" s="914"/>
      <c r="L1" s="80"/>
      <c r="M1" s="80"/>
    </row>
    <row r="2" spans="2:22" ht="26.25" customHeight="1" x14ac:dyDescent="0.2">
      <c r="B2" s="1569">
        <f>'Data Set up'!B2:I2</f>
        <v>0</v>
      </c>
      <c r="C2" s="1569"/>
      <c r="D2" s="1569"/>
      <c r="E2" s="1569"/>
      <c r="F2" s="1569"/>
      <c r="G2" s="1569"/>
      <c r="H2" s="1569"/>
      <c r="I2" s="1569"/>
      <c r="J2" s="1569"/>
      <c r="K2" s="135"/>
    </row>
    <row r="3" spans="2:22" ht="26.25" customHeight="1" x14ac:dyDescent="0.2">
      <c r="B3" s="1711" t="str">
        <f>'Revenue Jrnl'!B3:P3</f>
        <v>For the period from 1 september 2023 to 31 August 2024</v>
      </c>
      <c r="C3" s="1711"/>
      <c r="D3" s="1711"/>
      <c r="E3" s="1711"/>
      <c r="F3" s="1711"/>
      <c r="G3" s="1711"/>
      <c r="H3" s="1711"/>
      <c r="I3" s="1711"/>
      <c r="J3" s="1711"/>
      <c r="K3" s="1181"/>
      <c r="O3" s="152">
        <f>'Data Set up'!K10</f>
        <v>1</v>
      </c>
    </row>
    <row r="4" spans="2:22" ht="24" hidden="1" customHeight="1" x14ac:dyDescent="0.2">
      <c r="B4" s="1799"/>
      <c r="C4" s="1799"/>
      <c r="D4" s="608"/>
      <c r="G4" s="1182"/>
      <c r="H4" s="1732"/>
      <c r="I4" s="1732"/>
      <c r="J4" s="1732"/>
      <c r="K4" s="1732"/>
    </row>
    <row r="5" spans="2:22" ht="3.75" customHeight="1" x14ac:dyDescent="0.2">
      <c r="B5" s="1182"/>
      <c r="C5" s="205"/>
      <c r="D5" s="205"/>
      <c r="E5" s="205"/>
      <c r="F5" s="205"/>
      <c r="G5" s="205"/>
      <c r="H5" s="205"/>
      <c r="I5" s="205"/>
      <c r="J5" s="205"/>
      <c r="K5" s="205"/>
    </row>
    <row r="6" spans="2:22" ht="46.5" customHeight="1" x14ac:dyDescent="0.2">
      <c r="B6" s="1183" t="str">
        <f>IF(O3=2,"Numéro de catégorie d'item","Inventory Category Number")</f>
        <v>Inventory Category Number</v>
      </c>
      <c r="C6" s="1183" t="str">
        <f>IF(O3=2,"Nom de catégorie d'item","Item Category Name")</f>
        <v>Item Category Name</v>
      </c>
      <c r="D6" s="1800" t="str">
        <f>IF(O3=2,"Description","Description")</f>
        <v>Description</v>
      </c>
      <c r="E6" s="1800"/>
      <c r="F6" s="1800"/>
      <c r="G6" s="1800"/>
      <c r="H6" s="1800"/>
      <c r="I6" s="1183" t="str">
        <f>IF(O3=2,"Prix d'acquisition","Purchase Price")</f>
        <v>Purchase Price</v>
      </c>
      <c r="J6" s="1183" t="str">
        <f>IF(O3=2,"Valeur de remplacement ou juste valeur marchande","Estimated Replacement Cost or Fair Market Value")</f>
        <v>Estimated Replacement Cost or Fair Market Value</v>
      </c>
      <c r="P6" s="16"/>
    </row>
    <row r="7" spans="2:22" ht="6" customHeight="1" x14ac:dyDescent="0.2">
      <c r="B7" s="1184"/>
      <c r="C7" s="24"/>
      <c r="D7" s="24"/>
      <c r="E7" s="24"/>
      <c r="F7" s="24"/>
      <c r="G7" s="24"/>
      <c r="H7" s="24"/>
      <c r="I7" s="24"/>
      <c r="J7" s="24"/>
    </row>
    <row r="8" spans="2:22" ht="18" x14ac:dyDescent="0.2">
      <c r="B8" s="1185" t="s">
        <v>425</v>
      </c>
      <c r="C8" s="1801" t="str">
        <f>IF(O3=2,"Aéronefs","Aircrafts")</f>
        <v>Aircrafts</v>
      </c>
      <c r="D8" s="1801"/>
      <c r="E8" s="1801"/>
      <c r="F8" s="1801"/>
      <c r="G8" s="1801"/>
      <c r="H8" s="1801"/>
      <c r="I8" s="1801"/>
      <c r="J8" s="1801"/>
    </row>
    <row r="9" spans="2:22" ht="17.25" customHeight="1" x14ac:dyDescent="0.2">
      <c r="B9" s="1186" t="s">
        <v>426</v>
      </c>
      <c r="C9" s="1187"/>
      <c r="D9" s="1802"/>
      <c r="E9" s="1802"/>
      <c r="F9" s="1802"/>
      <c r="G9" s="1802"/>
      <c r="H9" s="1802"/>
      <c r="I9" s="1188"/>
      <c r="J9" s="1188"/>
    </row>
    <row r="10" spans="2:22" ht="16.5" customHeight="1" x14ac:dyDescent="0.2">
      <c r="B10" s="1186" t="s">
        <v>427</v>
      </c>
      <c r="C10" s="1187"/>
      <c r="D10" s="1802"/>
      <c r="E10" s="1802"/>
      <c r="F10" s="1802"/>
      <c r="G10" s="1802"/>
      <c r="H10" s="1802"/>
      <c r="I10" s="1188"/>
      <c r="J10" s="1188"/>
    </row>
    <row r="11" spans="2:22" ht="16.5" customHeight="1" x14ac:dyDescent="0.2">
      <c r="B11" s="1186" t="s">
        <v>428</v>
      </c>
      <c r="C11" s="1187"/>
      <c r="D11" s="1802"/>
      <c r="E11" s="1802"/>
      <c r="F11" s="1802"/>
      <c r="G11" s="1802"/>
      <c r="H11" s="1802"/>
      <c r="I11" s="1188"/>
      <c r="J11" s="1188"/>
      <c r="M11" s="1803" t="str">
        <f>IF(O3=2,V16,V17)</f>
        <v>The purchase price will be reflected in the statement of fixed assets in the financial statements. The replacement cost will be used for insurance coverage purposes. In the event that the purchase price or the replacement cost is not known, both are given the same value.</v>
      </c>
      <c r="N11" s="1803"/>
      <c r="O11" s="1803"/>
      <c r="P11" s="1803"/>
      <c r="Q11" s="1803"/>
      <c r="R11" s="1803"/>
      <c r="S11" s="1803"/>
    </row>
    <row r="12" spans="2:22" ht="16.5" customHeight="1" x14ac:dyDescent="0.2">
      <c r="B12" s="1186" t="s">
        <v>429</v>
      </c>
      <c r="C12" s="1187"/>
      <c r="D12" s="1802"/>
      <c r="E12" s="1802"/>
      <c r="F12" s="1802"/>
      <c r="G12" s="1802"/>
      <c r="H12" s="1802"/>
      <c r="I12" s="1188"/>
      <c r="J12" s="1188"/>
      <c r="M12" s="1803"/>
      <c r="N12" s="1803"/>
      <c r="O12" s="1803"/>
      <c r="P12" s="1803"/>
      <c r="Q12" s="1803"/>
      <c r="R12" s="1803"/>
      <c r="S12" s="1803"/>
    </row>
    <row r="13" spans="2:22" ht="16.5" customHeight="1" x14ac:dyDescent="0.2">
      <c r="B13" s="1186" t="s">
        <v>430</v>
      </c>
      <c r="C13" s="1187"/>
      <c r="D13" s="1802"/>
      <c r="E13" s="1802"/>
      <c r="F13" s="1802"/>
      <c r="G13" s="1802"/>
      <c r="H13" s="1802"/>
      <c r="I13" s="1188"/>
      <c r="J13" s="1188"/>
      <c r="M13" s="1803"/>
      <c r="N13" s="1803"/>
      <c r="O13" s="1803"/>
      <c r="P13" s="1803"/>
      <c r="Q13" s="1803"/>
      <c r="R13" s="1803"/>
      <c r="S13" s="1803"/>
    </row>
    <row r="14" spans="2:22" ht="16.5" customHeight="1" x14ac:dyDescent="0.2">
      <c r="B14" s="1186" t="s">
        <v>431</v>
      </c>
      <c r="C14" s="1187"/>
      <c r="D14" s="1802"/>
      <c r="E14" s="1802"/>
      <c r="F14" s="1802"/>
      <c r="G14" s="1802"/>
      <c r="H14" s="1802"/>
      <c r="I14" s="1188"/>
      <c r="J14" s="1188"/>
      <c r="M14" s="1803"/>
      <c r="N14" s="1803"/>
      <c r="O14" s="1803"/>
      <c r="P14" s="1803"/>
      <c r="Q14" s="1803"/>
      <c r="R14" s="1803"/>
      <c r="S14" s="1803"/>
    </row>
    <row r="15" spans="2:22" ht="16.5" customHeight="1" x14ac:dyDescent="0.2">
      <c r="B15" s="1186" t="s">
        <v>432</v>
      </c>
      <c r="C15" s="1189" t="str">
        <f>IF(O3=2,"Pièces de rechange","Spare Parts")</f>
        <v>Spare Parts</v>
      </c>
      <c r="D15" s="1802"/>
      <c r="E15" s="1802"/>
      <c r="F15" s="1802"/>
      <c r="G15" s="1802"/>
      <c r="H15" s="1802"/>
      <c r="I15" s="1188"/>
      <c r="J15" s="1188"/>
      <c r="M15" s="1803"/>
      <c r="N15" s="1803"/>
      <c r="O15" s="1803"/>
      <c r="P15" s="1803"/>
      <c r="Q15" s="1803"/>
      <c r="R15" s="1803"/>
      <c r="S15" s="1803"/>
    </row>
    <row r="16" spans="2:22" ht="16.5" customHeight="1" x14ac:dyDescent="0.2">
      <c r="B16" s="1190" t="s">
        <v>433</v>
      </c>
      <c r="C16" s="1189" t="str">
        <f>IF(O3=2,"Autres","Others")</f>
        <v>Others</v>
      </c>
      <c r="D16" s="1802"/>
      <c r="E16" s="1802"/>
      <c r="F16" s="1802"/>
      <c r="G16" s="1802"/>
      <c r="H16" s="1802"/>
      <c r="I16" s="1188"/>
      <c r="J16" s="1188"/>
      <c r="M16" s="1803"/>
      <c r="N16" s="1803"/>
      <c r="O16" s="1803"/>
      <c r="P16" s="1803"/>
      <c r="Q16" s="1803"/>
      <c r="R16" s="1803"/>
      <c r="S16" s="1803"/>
      <c r="V16" s="568" t="s">
        <v>434</v>
      </c>
    </row>
    <row r="17" spans="2:22" ht="15.75" x14ac:dyDescent="0.2">
      <c r="B17" s="1191"/>
      <c r="C17" s="1191"/>
      <c r="D17" s="1191"/>
      <c r="E17" s="1191"/>
      <c r="F17" s="1191"/>
      <c r="G17" s="1804" t="s">
        <v>435</v>
      </c>
      <c r="H17" s="1804"/>
      <c r="I17" s="1192">
        <f>SUM(I9:I16)</f>
        <v>0</v>
      </c>
      <c r="J17" s="1193">
        <f>SUM(J9:J16)</f>
        <v>0</v>
      </c>
      <c r="M17" s="1803"/>
      <c r="N17" s="1803"/>
      <c r="O17" s="1803"/>
      <c r="P17" s="1803"/>
      <c r="Q17" s="1803"/>
      <c r="R17" s="1803"/>
      <c r="S17" s="1803"/>
      <c r="V17" s="568" t="s">
        <v>436</v>
      </c>
    </row>
    <row r="18" spans="2:22" ht="9.9499999999999993" customHeight="1" x14ac:dyDescent="0.2">
      <c r="B18" s="1194"/>
      <c r="C18" s="24"/>
      <c r="D18" s="24"/>
      <c r="E18" s="24"/>
      <c r="F18" s="24"/>
      <c r="G18" s="24"/>
      <c r="H18" s="24"/>
      <c r="I18" s="24"/>
      <c r="J18" s="1195"/>
      <c r="M18" s="1803"/>
      <c r="N18" s="1803"/>
      <c r="O18" s="1803"/>
      <c r="P18" s="1803"/>
      <c r="Q18" s="1803"/>
      <c r="R18" s="1803"/>
      <c r="S18" s="1803"/>
    </row>
    <row r="19" spans="2:22" ht="18" x14ac:dyDescent="0.2">
      <c r="B19" s="1185" t="s">
        <v>437</v>
      </c>
      <c r="C19" s="1801" t="str">
        <f>IF(O3=2,"Terrains &amp; Propriétés","Land &amp; Properties")</f>
        <v>Land &amp; Properties</v>
      </c>
      <c r="D19" s="1801"/>
      <c r="E19" s="1801"/>
      <c r="F19" s="1801"/>
      <c r="G19" s="1801"/>
      <c r="H19" s="1801"/>
      <c r="I19" s="1801"/>
      <c r="J19" s="1801"/>
      <c r="M19" s="1803"/>
      <c r="N19" s="1803"/>
      <c r="O19" s="1803"/>
      <c r="P19" s="1803"/>
      <c r="Q19" s="1803"/>
      <c r="R19" s="1803"/>
      <c r="S19" s="1803"/>
    </row>
    <row r="20" spans="2:22" ht="16.5" customHeight="1" x14ac:dyDescent="0.2">
      <c r="B20" s="1186" t="s">
        <v>438</v>
      </c>
      <c r="C20" s="1187"/>
      <c r="D20" s="1805"/>
      <c r="E20" s="1805"/>
      <c r="F20" s="1805"/>
      <c r="G20" s="1805"/>
      <c r="H20" s="1805"/>
      <c r="I20" s="1188"/>
      <c r="J20" s="1188"/>
    </row>
    <row r="21" spans="2:22" ht="16.5" customHeight="1" x14ac:dyDescent="0.2">
      <c r="B21" s="1186" t="s">
        <v>439</v>
      </c>
      <c r="C21" s="1187"/>
      <c r="D21" s="1805"/>
      <c r="E21" s="1805"/>
      <c r="F21" s="1805"/>
      <c r="G21" s="1805"/>
      <c r="H21" s="1805"/>
      <c r="I21" s="1188"/>
      <c r="J21" s="1188"/>
    </row>
    <row r="22" spans="2:22" ht="16.5" customHeight="1" x14ac:dyDescent="0.2">
      <c r="B22" s="1186" t="s">
        <v>440</v>
      </c>
      <c r="C22" s="1187"/>
      <c r="D22" s="1805"/>
      <c r="E22" s="1805"/>
      <c r="F22" s="1805"/>
      <c r="G22" s="1805"/>
      <c r="H22" s="1805"/>
      <c r="I22" s="1188"/>
      <c r="J22" s="1188"/>
    </row>
    <row r="23" spans="2:22" ht="16.5" customHeight="1" x14ac:dyDescent="0.2">
      <c r="B23" s="1186" t="s">
        <v>441</v>
      </c>
      <c r="C23" s="1187"/>
      <c r="D23" s="1805"/>
      <c r="E23" s="1805"/>
      <c r="F23" s="1805"/>
      <c r="G23" s="1805"/>
      <c r="H23" s="1805"/>
      <c r="I23" s="1188"/>
      <c r="J23" s="1188"/>
    </row>
    <row r="24" spans="2:22" ht="16.5" customHeight="1" x14ac:dyDescent="0.2">
      <c r="B24" s="1186" t="s">
        <v>442</v>
      </c>
      <c r="C24" s="1187"/>
      <c r="D24" s="1805"/>
      <c r="E24" s="1805"/>
      <c r="F24" s="1805"/>
      <c r="G24" s="1805"/>
      <c r="H24" s="1805"/>
      <c r="I24" s="1188"/>
      <c r="J24" s="1188"/>
    </row>
    <row r="25" spans="2:22" ht="16.5" customHeight="1" x14ac:dyDescent="0.2">
      <c r="B25" s="1186" t="s">
        <v>443</v>
      </c>
      <c r="C25" s="1187"/>
      <c r="D25" s="1805"/>
      <c r="E25" s="1805"/>
      <c r="F25" s="1805"/>
      <c r="G25" s="1805"/>
      <c r="H25" s="1805"/>
      <c r="I25" s="1188"/>
      <c r="J25" s="1188"/>
    </row>
    <row r="26" spans="2:22" ht="16.5" customHeight="1" x14ac:dyDescent="0.2">
      <c r="B26" s="1186" t="s">
        <v>444</v>
      </c>
      <c r="C26" s="1187"/>
      <c r="D26" s="1805"/>
      <c r="E26" s="1805"/>
      <c r="F26" s="1805"/>
      <c r="G26" s="1805"/>
      <c r="H26" s="1805"/>
      <c r="I26" s="1188"/>
      <c r="J26" s="1188"/>
    </row>
    <row r="27" spans="2:22" ht="16.5" customHeight="1" x14ac:dyDescent="0.2">
      <c r="B27" s="1190" t="s">
        <v>445</v>
      </c>
      <c r="C27" s="1189" t="str">
        <f>IF(O3=2,"Autres","Others")</f>
        <v>Others</v>
      </c>
      <c r="D27" s="1805"/>
      <c r="E27" s="1805"/>
      <c r="F27" s="1805"/>
      <c r="G27" s="1805"/>
      <c r="H27" s="1805"/>
      <c r="I27" s="1188"/>
      <c r="J27" s="1188"/>
    </row>
    <row r="28" spans="2:22" ht="15.75" x14ac:dyDescent="0.2">
      <c r="B28" s="1196"/>
      <c r="C28" s="1191"/>
      <c r="D28" s="1191"/>
      <c r="E28" s="1191"/>
      <c r="F28" s="1191"/>
      <c r="G28" s="1804" t="s">
        <v>435</v>
      </c>
      <c r="H28" s="1804"/>
      <c r="I28" s="1192">
        <f>SUM(I20:I27)</f>
        <v>0</v>
      </c>
      <c r="J28" s="1193">
        <f>SUM(J20:J27)</f>
        <v>0</v>
      </c>
    </row>
    <row r="29" spans="2:22" ht="9.9499999999999993" customHeight="1" x14ac:dyDescent="0.2">
      <c r="B29" s="1194"/>
      <c r="C29" s="24"/>
      <c r="D29" s="24"/>
      <c r="E29" s="24"/>
      <c r="F29" s="24"/>
      <c r="G29" s="24"/>
      <c r="H29" s="24"/>
      <c r="I29" s="24"/>
      <c r="J29" s="24"/>
    </row>
    <row r="30" spans="2:22" ht="18" x14ac:dyDescent="0.2">
      <c r="B30" s="1185" t="s">
        <v>446</v>
      </c>
      <c r="C30" s="1801" t="str">
        <f>IF(O3=2,"Bâtiments","Buildings")</f>
        <v>Buildings</v>
      </c>
      <c r="D30" s="1801"/>
      <c r="E30" s="1801"/>
      <c r="F30" s="1801"/>
      <c r="G30" s="1801"/>
      <c r="H30" s="1801"/>
      <c r="I30" s="1801"/>
      <c r="J30" s="1801"/>
    </row>
    <row r="31" spans="2:22" ht="16.5" customHeight="1" x14ac:dyDescent="0.2">
      <c r="B31" s="1197" t="s">
        <v>447</v>
      </c>
      <c r="C31" s="1187"/>
      <c r="D31" s="1805"/>
      <c r="E31" s="1805"/>
      <c r="F31" s="1805"/>
      <c r="G31" s="1805"/>
      <c r="H31" s="1805"/>
      <c r="I31" s="1188"/>
      <c r="J31" s="1188"/>
    </row>
    <row r="32" spans="2:22" ht="16.5" customHeight="1" x14ac:dyDescent="0.2">
      <c r="B32" s="1197" t="s">
        <v>448</v>
      </c>
      <c r="C32" s="1187"/>
      <c r="D32" s="1805"/>
      <c r="E32" s="1805"/>
      <c r="F32" s="1805"/>
      <c r="G32" s="1805"/>
      <c r="H32" s="1805"/>
      <c r="I32" s="1188"/>
      <c r="J32" s="1188"/>
    </row>
    <row r="33" spans="2:10" ht="16.5" customHeight="1" x14ac:dyDescent="0.2">
      <c r="B33" s="1197" t="s">
        <v>449</v>
      </c>
      <c r="C33" s="1187"/>
      <c r="D33" s="1805"/>
      <c r="E33" s="1805"/>
      <c r="F33" s="1805"/>
      <c r="G33" s="1805"/>
      <c r="H33" s="1805"/>
      <c r="I33" s="1188"/>
      <c r="J33" s="1188"/>
    </row>
    <row r="34" spans="2:10" ht="16.5" customHeight="1" x14ac:dyDescent="0.2">
      <c r="B34" s="1197" t="s">
        <v>450</v>
      </c>
      <c r="C34" s="1187"/>
      <c r="D34" s="1805"/>
      <c r="E34" s="1805"/>
      <c r="F34" s="1805"/>
      <c r="G34" s="1805"/>
      <c r="H34" s="1805"/>
      <c r="I34" s="1188"/>
      <c r="J34" s="1188"/>
    </row>
    <row r="35" spans="2:10" ht="16.5" customHeight="1" x14ac:dyDescent="0.2">
      <c r="B35" s="1197" t="s">
        <v>451</v>
      </c>
      <c r="C35" s="1187"/>
      <c r="D35" s="1805"/>
      <c r="E35" s="1805"/>
      <c r="F35" s="1805"/>
      <c r="G35" s="1805"/>
      <c r="H35" s="1805"/>
      <c r="I35" s="1188"/>
      <c r="J35" s="1188"/>
    </row>
    <row r="36" spans="2:10" ht="16.5" customHeight="1" x14ac:dyDescent="0.2">
      <c r="B36" s="1197" t="s">
        <v>452</v>
      </c>
      <c r="C36" s="1187"/>
      <c r="D36" s="1805"/>
      <c r="E36" s="1805"/>
      <c r="F36" s="1805"/>
      <c r="G36" s="1805"/>
      <c r="H36" s="1805"/>
      <c r="I36" s="1188"/>
      <c r="J36" s="1188"/>
    </row>
    <row r="37" spans="2:10" ht="16.5" customHeight="1" x14ac:dyDescent="0.2">
      <c r="B37" s="1197" t="s">
        <v>453</v>
      </c>
      <c r="C37" s="1187"/>
      <c r="D37" s="1805"/>
      <c r="E37" s="1805"/>
      <c r="F37" s="1805"/>
      <c r="G37" s="1805"/>
      <c r="H37" s="1805"/>
      <c r="I37" s="1188"/>
      <c r="J37" s="1188"/>
    </row>
    <row r="38" spans="2:10" ht="16.5" customHeight="1" x14ac:dyDescent="0.2">
      <c r="B38" s="1198" t="s">
        <v>454</v>
      </c>
      <c r="C38" s="1189" t="str">
        <f>IF(O3=2,"Autres","Others")</f>
        <v>Others</v>
      </c>
      <c r="D38" s="1805"/>
      <c r="E38" s="1805"/>
      <c r="F38" s="1805"/>
      <c r="G38" s="1805"/>
      <c r="H38" s="1805"/>
      <c r="I38" s="1188"/>
      <c r="J38" s="1188"/>
    </row>
    <row r="39" spans="2:10" ht="15.75" x14ac:dyDescent="0.2">
      <c r="B39" s="1196"/>
      <c r="C39" s="1191"/>
      <c r="D39" s="1191"/>
      <c r="E39" s="1191"/>
      <c r="F39" s="1191"/>
      <c r="G39" s="1804" t="s">
        <v>435</v>
      </c>
      <c r="H39" s="1804"/>
      <c r="I39" s="1192">
        <f>SUM(I31:I38)</f>
        <v>0</v>
      </c>
      <c r="J39" s="1193">
        <f>SUM(J31:J38)</f>
        <v>0</v>
      </c>
    </row>
    <row r="40" spans="2:10" ht="9.9499999999999993" customHeight="1" x14ac:dyDescent="0.2">
      <c r="B40" s="1194"/>
      <c r="C40" s="24"/>
      <c r="D40" s="24"/>
      <c r="E40" s="24"/>
      <c r="F40" s="24"/>
      <c r="G40" s="24"/>
      <c r="H40" s="24"/>
      <c r="I40" s="24"/>
      <c r="J40" s="24"/>
    </row>
    <row r="41" spans="2:10" ht="18" x14ac:dyDescent="0.2">
      <c r="B41" s="1185" t="s">
        <v>455</v>
      </c>
      <c r="C41" s="1801" t="str">
        <f>IF(O3=2,"Véhicules","Vehicles")</f>
        <v>Vehicles</v>
      </c>
      <c r="D41" s="1801"/>
      <c r="E41" s="1801"/>
      <c r="F41" s="1801"/>
      <c r="G41" s="1801"/>
      <c r="H41" s="1801"/>
      <c r="I41" s="1801"/>
      <c r="J41" s="1801"/>
    </row>
    <row r="42" spans="2:10" ht="16.5" customHeight="1" x14ac:dyDescent="0.2">
      <c r="B42" s="1197" t="s">
        <v>456</v>
      </c>
      <c r="C42" s="1187"/>
      <c r="D42" s="1802"/>
      <c r="E42" s="1802"/>
      <c r="F42" s="1802"/>
      <c r="G42" s="1802"/>
      <c r="H42" s="1802"/>
      <c r="I42" s="1188"/>
      <c r="J42" s="1188"/>
    </row>
    <row r="43" spans="2:10" ht="16.5" customHeight="1" x14ac:dyDescent="0.2">
      <c r="B43" s="1197" t="s">
        <v>457</v>
      </c>
      <c r="C43" s="1187"/>
      <c r="D43" s="1802"/>
      <c r="E43" s="1802"/>
      <c r="F43" s="1802"/>
      <c r="G43" s="1802"/>
      <c r="H43" s="1802"/>
      <c r="I43" s="1188"/>
      <c r="J43" s="1188"/>
    </row>
    <row r="44" spans="2:10" ht="16.5" customHeight="1" x14ac:dyDescent="0.2">
      <c r="B44" s="1197" t="s">
        <v>458</v>
      </c>
      <c r="C44" s="1187"/>
      <c r="D44" s="1802"/>
      <c r="E44" s="1802"/>
      <c r="F44" s="1802"/>
      <c r="G44" s="1802"/>
      <c r="H44" s="1802"/>
      <c r="I44" s="1188"/>
      <c r="J44" s="1188"/>
    </row>
    <row r="45" spans="2:10" ht="16.5" customHeight="1" x14ac:dyDescent="0.2">
      <c r="B45" s="1197" t="s">
        <v>459</v>
      </c>
      <c r="C45" s="1187"/>
      <c r="D45" s="1802"/>
      <c r="E45" s="1802"/>
      <c r="F45" s="1802"/>
      <c r="G45" s="1802"/>
      <c r="H45" s="1802"/>
      <c r="I45" s="1188"/>
      <c r="J45" s="1188"/>
    </row>
    <row r="46" spans="2:10" ht="16.5" customHeight="1" x14ac:dyDescent="0.2">
      <c r="B46" s="1197" t="s">
        <v>460</v>
      </c>
      <c r="C46" s="1187"/>
      <c r="D46" s="1802"/>
      <c r="E46" s="1802"/>
      <c r="F46" s="1802"/>
      <c r="G46" s="1802"/>
      <c r="H46" s="1802"/>
      <c r="I46" s="1188"/>
      <c r="J46" s="1188"/>
    </row>
    <row r="47" spans="2:10" ht="16.5" customHeight="1" x14ac:dyDescent="0.2">
      <c r="B47" s="1197" t="s">
        <v>461</v>
      </c>
      <c r="C47" s="1187"/>
      <c r="D47" s="1802"/>
      <c r="E47" s="1802"/>
      <c r="F47" s="1802"/>
      <c r="G47" s="1802"/>
      <c r="H47" s="1802"/>
      <c r="I47" s="1188"/>
      <c r="J47" s="1188"/>
    </row>
    <row r="48" spans="2:10" ht="16.5" customHeight="1" x14ac:dyDescent="0.2">
      <c r="B48" s="1197" t="s">
        <v>462</v>
      </c>
      <c r="C48" s="1187"/>
      <c r="D48" s="1802"/>
      <c r="E48" s="1802"/>
      <c r="F48" s="1802"/>
      <c r="G48" s="1802"/>
      <c r="H48" s="1802"/>
      <c r="I48" s="1188"/>
      <c r="J48" s="1188"/>
    </row>
    <row r="49" spans="2:10" ht="16.5" customHeight="1" x14ac:dyDescent="0.2">
      <c r="B49" s="1198" t="s">
        <v>463</v>
      </c>
      <c r="C49" s="1189" t="str">
        <f>IF(O3=2,"Autres","Others")</f>
        <v>Others</v>
      </c>
      <c r="D49" s="1802"/>
      <c r="E49" s="1802"/>
      <c r="F49" s="1802"/>
      <c r="G49" s="1802"/>
      <c r="H49" s="1802"/>
      <c r="I49" s="1188"/>
      <c r="J49" s="1188"/>
    </row>
    <row r="50" spans="2:10" ht="15.75" x14ac:dyDescent="0.2">
      <c r="B50" s="1196"/>
      <c r="C50" s="1191"/>
      <c r="D50" s="1191"/>
      <c r="E50" s="1191"/>
      <c r="F50" s="1191"/>
      <c r="G50" s="1804" t="s">
        <v>435</v>
      </c>
      <c r="H50" s="1804"/>
      <c r="I50" s="1192">
        <f>SUM(I42:I49)</f>
        <v>0</v>
      </c>
      <c r="J50" s="1193">
        <f>SUM(J42:J49)</f>
        <v>0</v>
      </c>
    </row>
    <row r="51" spans="2:10" s="1" customFormat="1" ht="9.9499999999999993" customHeight="1" x14ac:dyDescent="0.2">
      <c r="B51" s="355"/>
      <c r="J51" s="1199"/>
    </row>
    <row r="52" spans="2:10" ht="18" x14ac:dyDescent="0.2">
      <c r="B52" s="1185" t="s">
        <v>464</v>
      </c>
      <c r="C52" s="1801" t="str">
        <f>IF(O3=2,"Équipement de bureau","Office Equipment")</f>
        <v>Office Equipment</v>
      </c>
      <c r="D52" s="1801"/>
      <c r="E52" s="1801"/>
      <c r="F52" s="1801"/>
      <c r="G52" s="1801"/>
      <c r="H52" s="1801"/>
      <c r="I52" s="1801"/>
      <c r="J52" s="1801"/>
    </row>
    <row r="53" spans="2:10" ht="16.5" customHeight="1" x14ac:dyDescent="0.2">
      <c r="B53" s="1186" t="s">
        <v>465</v>
      </c>
      <c r="C53" s="1187"/>
      <c r="D53" s="1802"/>
      <c r="E53" s="1802"/>
      <c r="F53" s="1802"/>
      <c r="G53" s="1802"/>
      <c r="H53" s="1802"/>
      <c r="I53" s="1188"/>
      <c r="J53" s="1188"/>
    </row>
    <row r="54" spans="2:10" ht="16.5" customHeight="1" x14ac:dyDescent="0.2">
      <c r="B54" s="1186" t="s">
        <v>466</v>
      </c>
      <c r="C54" s="1187"/>
      <c r="D54" s="1802"/>
      <c r="E54" s="1802"/>
      <c r="F54" s="1802"/>
      <c r="G54" s="1802"/>
      <c r="H54" s="1802"/>
      <c r="I54" s="1188"/>
      <c r="J54" s="1188"/>
    </row>
    <row r="55" spans="2:10" ht="16.5" customHeight="1" x14ac:dyDescent="0.2">
      <c r="B55" s="1186" t="s">
        <v>467</v>
      </c>
      <c r="C55" s="1187"/>
      <c r="D55" s="1802"/>
      <c r="E55" s="1802"/>
      <c r="F55" s="1802"/>
      <c r="G55" s="1802"/>
      <c r="H55" s="1802"/>
      <c r="I55" s="1188"/>
      <c r="J55" s="1188"/>
    </row>
    <row r="56" spans="2:10" ht="16.5" customHeight="1" x14ac:dyDescent="0.2">
      <c r="B56" s="1186" t="s">
        <v>468</v>
      </c>
      <c r="C56" s="1187"/>
      <c r="D56" s="1802"/>
      <c r="E56" s="1802"/>
      <c r="F56" s="1802"/>
      <c r="G56" s="1802"/>
      <c r="H56" s="1802"/>
      <c r="I56" s="1188"/>
      <c r="J56" s="1188"/>
    </row>
    <row r="57" spans="2:10" ht="16.5" customHeight="1" x14ac:dyDescent="0.2">
      <c r="B57" s="1186" t="s">
        <v>469</v>
      </c>
      <c r="C57" s="1187"/>
      <c r="D57" s="1802"/>
      <c r="E57" s="1802"/>
      <c r="F57" s="1802"/>
      <c r="G57" s="1802"/>
      <c r="H57" s="1802"/>
      <c r="I57" s="1188"/>
      <c r="J57" s="1188"/>
    </row>
    <row r="58" spans="2:10" ht="16.5" customHeight="1" x14ac:dyDescent="0.2">
      <c r="B58" s="1186" t="s">
        <v>470</v>
      </c>
      <c r="C58" s="1187"/>
      <c r="D58" s="1802"/>
      <c r="E58" s="1802"/>
      <c r="F58" s="1802"/>
      <c r="G58" s="1802"/>
      <c r="H58" s="1802"/>
      <c r="I58" s="1188"/>
      <c r="J58" s="1188"/>
    </row>
    <row r="59" spans="2:10" ht="16.5" customHeight="1" x14ac:dyDescent="0.2">
      <c r="B59" s="1186" t="s">
        <v>471</v>
      </c>
      <c r="C59" s="1187"/>
      <c r="D59" s="1802"/>
      <c r="E59" s="1802"/>
      <c r="F59" s="1802"/>
      <c r="G59" s="1802"/>
      <c r="H59" s="1802"/>
      <c r="I59" s="1188"/>
      <c r="J59" s="1188"/>
    </row>
    <row r="60" spans="2:10" ht="16.5" customHeight="1" x14ac:dyDescent="0.2">
      <c r="B60" s="1190" t="s">
        <v>472</v>
      </c>
      <c r="C60" s="1189" t="str">
        <f>IF(O3=2,"Autres","Others")</f>
        <v>Others</v>
      </c>
      <c r="D60" s="1802"/>
      <c r="E60" s="1802"/>
      <c r="F60" s="1802"/>
      <c r="G60" s="1802"/>
      <c r="H60" s="1802"/>
      <c r="I60" s="1188"/>
      <c r="J60" s="1188"/>
    </row>
    <row r="61" spans="2:10" ht="15.75" x14ac:dyDescent="0.2">
      <c r="B61" s="1196"/>
      <c r="C61" s="1191"/>
      <c r="D61" s="1191"/>
      <c r="E61" s="1191"/>
      <c r="F61" s="1191"/>
      <c r="G61" s="1804" t="s">
        <v>435</v>
      </c>
      <c r="H61" s="1804"/>
      <c r="I61" s="1192">
        <f>+SUM(I53:I60)</f>
        <v>0</v>
      </c>
      <c r="J61" s="1193">
        <f>+SUM(J53:J60)</f>
        <v>0</v>
      </c>
    </row>
    <row r="62" spans="2:10" ht="17.25" customHeight="1" x14ac:dyDescent="0.2">
      <c r="B62" s="347"/>
      <c r="C62" s="355"/>
      <c r="D62" s="355"/>
      <c r="E62" s="355"/>
      <c r="F62" s="355"/>
      <c r="G62" s="355"/>
      <c r="H62" s="355"/>
      <c r="I62" s="355"/>
      <c r="J62" s="1200" t="s">
        <v>473</v>
      </c>
    </row>
    <row r="63" spans="2:10" ht="18" x14ac:dyDescent="0.2">
      <c r="B63" s="1185" t="s">
        <v>474</v>
      </c>
      <c r="C63" s="1801" t="str">
        <f>IF(O3=2,"Équipement sportif","Sport Equipment")</f>
        <v>Sport Equipment</v>
      </c>
      <c r="D63" s="1801"/>
      <c r="E63" s="1801"/>
      <c r="F63" s="1801"/>
      <c r="G63" s="1801"/>
      <c r="H63" s="1801"/>
      <c r="I63" s="1801"/>
      <c r="J63" s="1801"/>
    </row>
    <row r="64" spans="2:10" ht="16.5" customHeight="1" x14ac:dyDescent="0.2">
      <c r="B64" s="1186" t="s">
        <v>475</v>
      </c>
      <c r="C64" s="1187"/>
      <c r="D64" s="1802"/>
      <c r="E64" s="1802"/>
      <c r="F64" s="1802"/>
      <c r="G64" s="1802"/>
      <c r="H64" s="1802"/>
      <c r="I64" s="1188"/>
      <c r="J64" s="1188"/>
    </row>
    <row r="65" spans="2:10" ht="16.5" customHeight="1" x14ac:dyDescent="0.2">
      <c r="B65" s="1186" t="s">
        <v>476</v>
      </c>
      <c r="C65" s="1187"/>
      <c r="D65" s="1802"/>
      <c r="E65" s="1802"/>
      <c r="F65" s="1802"/>
      <c r="G65" s="1802"/>
      <c r="H65" s="1802"/>
      <c r="I65" s="1188"/>
      <c r="J65" s="1188"/>
    </row>
    <row r="66" spans="2:10" ht="16.5" customHeight="1" x14ac:dyDescent="0.2">
      <c r="B66" s="1186" t="s">
        <v>477</v>
      </c>
      <c r="C66" s="1187"/>
      <c r="D66" s="1802"/>
      <c r="E66" s="1802"/>
      <c r="F66" s="1802"/>
      <c r="G66" s="1802"/>
      <c r="H66" s="1802"/>
      <c r="I66" s="1188"/>
      <c r="J66" s="1188"/>
    </row>
    <row r="67" spans="2:10" ht="16.5" customHeight="1" x14ac:dyDescent="0.2">
      <c r="B67" s="1186" t="s">
        <v>478</v>
      </c>
      <c r="C67" s="1187"/>
      <c r="D67" s="1802"/>
      <c r="E67" s="1802"/>
      <c r="F67" s="1802"/>
      <c r="G67" s="1802"/>
      <c r="H67" s="1802"/>
      <c r="I67" s="1188"/>
      <c r="J67" s="1188"/>
    </row>
    <row r="68" spans="2:10" ht="16.5" customHeight="1" x14ac:dyDescent="0.2">
      <c r="B68" s="1186" t="s">
        <v>479</v>
      </c>
      <c r="C68" s="1187"/>
      <c r="D68" s="1802"/>
      <c r="E68" s="1802"/>
      <c r="F68" s="1802"/>
      <c r="G68" s="1802"/>
      <c r="H68" s="1802"/>
      <c r="I68" s="1188"/>
      <c r="J68" s="1188"/>
    </row>
    <row r="69" spans="2:10" ht="16.5" customHeight="1" x14ac:dyDescent="0.2">
      <c r="B69" s="1186" t="s">
        <v>480</v>
      </c>
      <c r="C69" s="1187"/>
      <c r="D69" s="1802"/>
      <c r="E69" s="1802"/>
      <c r="F69" s="1802"/>
      <c r="G69" s="1802"/>
      <c r="H69" s="1802"/>
      <c r="I69" s="1188"/>
      <c r="J69" s="1188"/>
    </row>
    <row r="70" spans="2:10" ht="16.5" customHeight="1" x14ac:dyDescent="0.2">
      <c r="B70" s="1186" t="s">
        <v>481</v>
      </c>
      <c r="C70" s="1187"/>
      <c r="D70" s="1802"/>
      <c r="E70" s="1802"/>
      <c r="F70" s="1802"/>
      <c r="G70" s="1802"/>
      <c r="H70" s="1802"/>
      <c r="I70" s="1188"/>
      <c r="J70" s="1188"/>
    </row>
    <row r="71" spans="2:10" ht="16.5" customHeight="1" x14ac:dyDescent="0.2">
      <c r="B71" s="1190" t="s">
        <v>482</v>
      </c>
      <c r="C71" s="1189" t="str">
        <f>IF(O3=2,"Autres","Others")</f>
        <v>Others</v>
      </c>
      <c r="D71" s="1802"/>
      <c r="E71" s="1802"/>
      <c r="F71" s="1802"/>
      <c r="G71" s="1802"/>
      <c r="H71" s="1802"/>
      <c r="I71" s="1188"/>
      <c r="J71" s="1188"/>
    </row>
    <row r="72" spans="2:10" ht="15.75" x14ac:dyDescent="0.2">
      <c r="B72" s="1196"/>
      <c r="C72" s="1191"/>
      <c r="D72" s="1201"/>
      <c r="E72" s="1201"/>
      <c r="F72" s="1201"/>
      <c r="G72" s="1804" t="s">
        <v>435</v>
      </c>
      <c r="H72" s="1804"/>
      <c r="I72" s="1192">
        <f>SUM(I64:I71)</f>
        <v>0</v>
      </c>
      <c r="J72" s="1193">
        <f>+SUM(J64:J71)</f>
        <v>0</v>
      </c>
    </row>
    <row r="73" spans="2:10" ht="9.9499999999999993" customHeight="1" x14ac:dyDescent="0.2">
      <c r="B73" s="24"/>
      <c r="C73" s="24"/>
      <c r="D73" s="24"/>
      <c r="E73" s="24"/>
      <c r="F73" s="24"/>
      <c r="G73" s="24"/>
      <c r="H73" s="24"/>
      <c r="I73" s="24"/>
      <c r="J73" s="24"/>
    </row>
    <row r="74" spans="2:10" ht="18" x14ac:dyDescent="0.2">
      <c r="B74" s="1185" t="s">
        <v>483</v>
      </c>
      <c r="C74" s="1801" t="str">
        <f>IF(O3=2,"Équipement de photographie","Photography Equipment")</f>
        <v>Photography Equipment</v>
      </c>
      <c r="D74" s="1801"/>
      <c r="E74" s="1801"/>
      <c r="F74" s="1801"/>
      <c r="G74" s="1801"/>
      <c r="H74" s="1801"/>
      <c r="I74" s="1801"/>
      <c r="J74" s="1801"/>
    </row>
    <row r="75" spans="2:10" ht="16.5" customHeight="1" x14ac:dyDescent="0.2">
      <c r="B75" s="1197" t="s">
        <v>484</v>
      </c>
      <c r="C75" s="1187"/>
      <c r="D75" s="1802"/>
      <c r="E75" s="1802"/>
      <c r="F75" s="1802"/>
      <c r="G75" s="1802"/>
      <c r="H75" s="1802"/>
      <c r="I75" s="1188"/>
      <c r="J75" s="1188"/>
    </row>
    <row r="76" spans="2:10" ht="16.5" customHeight="1" x14ac:dyDescent="0.2">
      <c r="B76" s="1197" t="s">
        <v>485</v>
      </c>
      <c r="C76" s="1187"/>
      <c r="D76" s="1802"/>
      <c r="E76" s="1802"/>
      <c r="F76" s="1802"/>
      <c r="G76" s="1802"/>
      <c r="H76" s="1802"/>
      <c r="I76" s="1188"/>
      <c r="J76" s="1188"/>
    </row>
    <row r="77" spans="2:10" ht="16.5" customHeight="1" x14ac:dyDescent="0.2">
      <c r="B77" s="1197" t="s">
        <v>486</v>
      </c>
      <c r="C77" s="1187"/>
      <c r="D77" s="1802"/>
      <c r="E77" s="1802"/>
      <c r="F77" s="1802"/>
      <c r="G77" s="1802"/>
      <c r="H77" s="1802"/>
      <c r="I77" s="1188"/>
      <c r="J77" s="1188"/>
    </row>
    <row r="78" spans="2:10" ht="16.5" customHeight="1" x14ac:dyDescent="0.2">
      <c r="B78" s="1197" t="s">
        <v>487</v>
      </c>
      <c r="C78" s="1187"/>
      <c r="D78" s="1802"/>
      <c r="E78" s="1802"/>
      <c r="F78" s="1802"/>
      <c r="G78" s="1802"/>
      <c r="H78" s="1802"/>
      <c r="I78" s="1188"/>
      <c r="J78" s="1188"/>
    </row>
    <row r="79" spans="2:10" ht="16.5" customHeight="1" x14ac:dyDescent="0.2">
      <c r="B79" s="1197" t="s">
        <v>488</v>
      </c>
      <c r="C79" s="1187"/>
      <c r="D79" s="1802"/>
      <c r="E79" s="1802"/>
      <c r="F79" s="1802"/>
      <c r="G79" s="1802"/>
      <c r="H79" s="1802"/>
      <c r="I79" s="1188"/>
      <c r="J79" s="1188"/>
    </row>
    <row r="80" spans="2:10" ht="16.5" customHeight="1" x14ac:dyDescent="0.2">
      <c r="B80" s="1197" t="s">
        <v>489</v>
      </c>
      <c r="C80" s="1187"/>
      <c r="D80" s="1802"/>
      <c r="E80" s="1802"/>
      <c r="F80" s="1802"/>
      <c r="G80" s="1802"/>
      <c r="H80" s="1802"/>
      <c r="I80" s="1188"/>
      <c r="J80" s="1188"/>
    </row>
    <row r="81" spans="2:10" ht="16.5" customHeight="1" x14ac:dyDescent="0.2">
      <c r="B81" s="1197" t="s">
        <v>490</v>
      </c>
      <c r="C81" s="1189" t="str">
        <f>IF(O3=2,"Accessoires","Accessories")</f>
        <v>Accessories</v>
      </c>
      <c r="D81" s="1802"/>
      <c r="E81" s="1802"/>
      <c r="F81" s="1802"/>
      <c r="G81" s="1802"/>
      <c r="H81" s="1802"/>
      <c r="I81" s="1188"/>
      <c r="J81" s="1188"/>
    </row>
    <row r="82" spans="2:10" ht="16.5" customHeight="1" x14ac:dyDescent="0.2">
      <c r="B82" s="1198" t="s">
        <v>491</v>
      </c>
      <c r="C82" s="1189" t="str">
        <f>IF(O3=2,"Autres","Others")</f>
        <v>Others</v>
      </c>
      <c r="D82" s="1802"/>
      <c r="E82" s="1802"/>
      <c r="F82" s="1802"/>
      <c r="G82" s="1802"/>
      <c r="H82" s="1802"/>
      <c r="I82" s="1188"/>
      <c r="J82" s="1188"/>
    </row>
    <row r="83" spans="2:10" ht="15.75" x14ac:dyDescent="0.2">
      <c r="B83" s="1196"/>
      <c r="C83" s="1191"/>
      <c r="D83" s="1191"/>
      <c r="E83" s="1191"/>
      <c r="F83" s="1191"/>
      <c r="G83" s="1804" t="s">
        <v>435</v>
      </c>
      <c r="H83" s="1804"/>
      <c r="I83" s="1192">
        <f>+SUM(I75:I82)</f>
        <v>0</v>
      </c>
      <c r="J83" s="1193">
        <f>+SUM(J75:J82)</f>
        <v>0</v>
      </c>
    </row>
    <row r="84" spans="2:10" ht="9.9499999999999993" customHeight="1" x14ac:dyDescent="0.2">
      <c r="B84" s="1202"/>
      <c r="I84" s="1069"/>
      <c r="J84" s="1203"/>
    </row>
    <row r="85" spans="2:10" ht="18" x14ac:dyDescent="0.2">
      <c r="B85" s="1185" t="s">
        <v>492</v>
      </c>
      <c r="C85" s="1801" t="str">
        <f>IF(O3=2,"Équipement de plein-air","Field Equipment")</f>
        <v>Field Equipment</v>
      </c>
      <c r="D85" s="1801"/>
      <c r="E85" s="1801"/>
      <c r="F85" s="1801"/>
      <c r="G85" s="1801"/>
      <c r="H85" s="1801"/>
      <c r="I85" s="1801"/>
      <c r="J85" s="1801"/>
    </row>
    <row r="86" spans="2:10" ht="16.5" customHeight="1" x14ac:dyDescent="0.2">
      <c r="B86" s="1186" t="s">
        <v>493</v>
      </c>
      <c r="C86" s="1187"/>
      <c r="D86" s="1802"/>
      <c r="E86" s="1802"/>
      <c r="F86" s="1802"/>
      <c r="G86" s="1802"/>
      <c r="H86" s="1802"/>
      <c r="I86" s="1188"/>
      <c r="J86" s="1188"/>
    </row>
    <row r="87" spans="2:10" ht="16.5" customHeight="1" x14ac:dyDescent="0.2">
      <c r="B87" s="1186" t="s">
        <v>494</v>
      </c>
      <c r="C87" s="1187"/>
      <c r="D87" s="1802"/>
      <c r="E87" s="1802"/>
      <c r="F87" s="1802"/>
      <c r="G87" s="1802"/>
      <c r="H87" s="1802"/>
      <c r="I87" s="1188"/>
      <c r="J87" s="1188"/>
    </row>
    <row r="88" spans="2:10" ht="16.5" customHeight="1" x14ac:dyDescent="0.2">
      <c r="B88" s="1186" t="s">
        <v>495</v>
      </c>
      <c r="C88" s="1187"/>
      <c r="D88" s="1802"/>
      <c r="E88" s="1802"/>
      <c r="F88" s="1802"/>
      <c r="G88" s="1802"/>
      <c r="H88" s="1802"/>
      <c r="I88" s="1188"/>
      <c r="J88" s="1188"/>
    </row>
    <row r="89" spans="2:10" ht="16.5" customHeight="1" x14ac:dyDescent="0.2">
      <c r="B89" s="1186" t="s">
        <v>496</v>
      </c>
      <c r="C89" s="1187"/>
      <c r="D89" s="1802"/>
      <c r="E89" s="1802"/>
      <c r="F89" s="1802"/>
      <c r="G89" s="1802"/>
      <c r="H89" s="1802"/>
      <c r="I89" s="1188"/>
      <c r="J89" s="1188"/>
    </row>
    <row r="90" spans="2:10" ht="16.5" customHeight="1" x14ac:dyDescent="0.2">
      <c r="B90" s="1186" t="s">
        <v>497</v>
      </c>
      <c r="C90" s="1187"/>
      <c r="D90" s="1802"/>
      <c r="E90" s="1802"/>
      <c r="F90" s="1802"/>
      <c r="G90" s="1802"/>
      <c r="H90" s="1802"/>
      <c r="I90" s="1188"/>
      <c r="J90" s="1188"/>
    </row>
    <row r="91" spans="2:10" ht="16.5" customHeight="1" x14ac:dyDescent="0.2">
      <c r="B91" s="1186" t="s">
        <v>498</v>
      </c>
      <c r="C91" s="1187"/>
      <c r="D91" s="1802"/>
      <c r="E91" s="1802"/>
      <c r="F91" s="1802"/>
      <c r="G91" s="1802"/>
      <c r="H91" s="1802"/>
      <c r="I91" s="1188"/>
      <c r="J91" s="1188"/>
    </row>
    <row r="92" spans="2:10" ht="16.5" customHeight="1" x14ac:dyDescent="0.2">
      <c r="B92" s="1186" t="s">
        <v>499</v>
      </c>
      <c r="C92" s="1187"/>
      <c r="D92" s="1802"/>
      <c r="E92" s="1802"/>
      <c r="F92" s="1802"/>
      <c r="G92" s="1802"/>
      <c r="H92" s="1802"/>
      <c r="I92" s="1188"/>
      <c r="J92" s="1188"/>
    </row>
    <row r="93" spans="2:10" ht="16.5" customHeight="1" x14ac:dyDescent="0.2">
      <c r="B93" s="1190" t="s">
        <v>500</v>
      </c>
      <c r="C93" s="1189" t="str">
        <f>IF(O3=2,"Autres","Others")</f>
        <v>Others</v>
      </c>
      <c r="D93" s="1802"/>
      <c r="E93" s="1802"/>
      <c r="F93" s="1802"/>
      <c r="G93" s="1802"/>
      <c r="H93" s="1802"/>
      <c r="I93" s="1188"/>
      <c r="J93" s="1188"/>
    </row>
    <row r="94" spans="2:10" ht="15.75" x14ac:dyDescent="0.2">
      <c r="B94" s="1196"/>
      <c r="C94" s="1191"/>
      <c r="D94" s="1201"/>
      <c r="E94" s="1201"/>
      <c r="F94" s="1201"/>
      <c r="G94" s="1804" t="s">
        <v>435</v>
      </c>
      <c r="H94" s="1804"/>
      <c r="I94" s="1192">
        <f>SUM(I86:I93)</f>
        <v>0</v>
      </c>
      <c r="J94" s="1193">
        <f>+SUM(J86:J93)</f>
        <v>0</v>
      </c>
    </row>
    <row r="95" spans="2:10" ht="9.9499999999999993" customHeight="1" x14ac:dyDescent="0.2">
      <c r="B95" s="347"/>
      <c r="I95" s="1069"/>
      <c r="J95" s="1069"/>
    </row>
    <row r="96" spans="2:10" ht="18" x14ac:dyDescent="0.2">
      <c r="B96" s="1185" t="s">
        <v>501</v>
      </c>
      <c r="C96" s="1801" t="str">
        <f>IF(O3=2,"Équipement électronique","Electronic Equipment")</f>
        <v>Electronic Equipment</v>
      </c>
      <c r="D96" s="1801"/>
      <c r="E96" s="1801"/>
      <c r="F96" s="1801"/>
      <c r="G96" s="1801"/>
      <c r="H96" s="1801"/>
      <c r="I96" s="1801"/>
      <c r="J96" s="1801"/>
    </row>
    <row r="97" spans="2:10" ht="16.5" customHeight="1" x14ac:dyDescent="0.2">
      <c r="B97" s="1186" t="s">
        <v>502</v>
      </c>
      <c r="C97" s="1204"/>
      <c r="D97" s="1802"/>
      <c r="E97" s="1802"/>
      <c r="F97" s="1802"/>
      <c r="G97" s="1802"/>
      <c r="H97" s="1802"/>
      <c r="I97" s="1188"/>
      <c r="J97" s="1188"/>
    </row>
    <row r="98" spans="2:10" ht="16.5" customHeight="1" x14ac:dyDescent="0.2">
      <c r="B98" s="1186" t="s">
        <v>503</v>
      </c>
      <c r="C98" s="1204"/>
      <c r="D98" s="1802"/>
      <c r="E98" s="1802"/>
      <c r="F98" s="1802"/>
      <c r="G98" s="1802"/>
      <c r="H98" s="1802"/>
      <c r="I98" s="1188"/>
      <c r="J98" s="1188"/>
    </row>
    <row r="99" spans="2:10" ht="16.5" customHeight="1" x14ac:dyDescent="0.2">
      <c r="B99" s="1186" t="s">
        <v>504</v>
      </c>
      <c r="C99" s="1204"/>
      <c r="D99" s="1802"/>
      <c r="E99" s="1802"/>
      <c r="F99" s="1802"/>
      <c r="G99" s="1802"/>
      <c r="H99" s="1802"/>
      <c r="I99" s="1188"/>
      <c r="J99" s="1188"/>
    </row>
    <row r="100" spans="2:10" ht="16.5" customHeight="1" x14ac:dyDescent="0.2">
      <c r="B100" s="1186" t="s">
        <v>505</v>
      </c>
      <c r="C100" s="1204"/>
      <c r="D100" s="1802"/>
      <c r="E100" s="1802"/>
      <c r="F100" s="1802"/>
      <c r="G100" s="1802"/>
      <c r="H100" s="1802"/>
      <c r="I100" s="1188"/>
      <c r="J100" s="1188"/>
    </row>
    <row r="101" spans="2:10" ht="16.5" customHeight="1" x14ac:dyDescent="0.2">
      <c r="B101" s="1186" t="s">
        <v>506</v>
      </c>
      <c r="C101" s="1204"/>
      <c r="D101" s="1802"/>
      <c r="E101" s="1802"/>
      <c r="F101" s="1802"/>
      <c r="G101" s="1802"/>
      <c r="H101" s="1802"/>
      <c r="I101" s="1188"/>
      <c r="J101" s="1188"/>
    </row>
    <row r="102" spans="2:10" ht="16.5" customHeight="1" x14ac:dyDescent="0.2">
      <c r="B102" s="1186" t="s">
        <v>507</v>
      </c>
      <c r="C102" s="1204"/>
      <c r="D102" s="1802"/>
      <c r="E102" s="1802"/>
      <c r="F102" s="1802"/>
      <c r="G102" s="1802"/>
      <c r="H102" s="1802"/>
      <c r="I102" s="1188"/>
      <c r="J102" s="1188"/>
    </row>
    <row r="103" spans="2:10" ht="16.5" customHeight="1" x14ac:dyDescent="0.2">
      <c r="B103" s="1186" t="s">
        <v>508</v>
      </c>
      <c r="C103" s="789" t="str">
        <f>IF(O3=2,"Accessoires","Accessories")</f>
        <v>Accessories</v>
      </c>
      <c r="D103" s="1802"/>
      <c r="E103" s="1802"/>
      <c r="F103" s="1802"/>
      <c r="G103" s="1802"/>
      <c r="H103" s="1802"/>
      <c r="I103" s="1188"/>
      <c r="J103" s="1188"/>
    </row>
    <row r="104" spans="2:10" ht="16.5" customHeight="1" x14ac:dyDescent="0.2">
      <c r="B104" s="1190" t="s">
        <v>509</v>
      </c>
      <c r="C104" s="789" t="str">
        <f>IF(O3=2,"Autres","Others")</f>
        <v>Others</v>
      </c>
      <c r="D104" s="1802"/>
      <c r="E104" s="1802"/>
      <c r="F104" s="1802"/>
      <c r="G104" s="1802"/>
      <c r="H104" s="1802"/>
      <c r="I104" s="1188"/>
      <c r="J104" s="1188"/>
    </row>
    <row r="105" spans="2:10" ht="15.75" x14ac:dyDescent="0.2">
      <c r="B105" s="1196"/>
      <c r="C105" s="1191"/>
      <c r="D105" s="1201"/>
      <c r="E105" s="1201"/>
      <c r="F105" s="1201"/>
      <c r="G105" s="1804" t="s">
        <v>435</v>
      </c>
      <c r="H105" s="1804"/>
      <c r="I105" s="1192">
        <f>SUM(I97:I104)</f>
        <v>0</v>
      </c>
      <c r="J105" s="1193">
        <f>+SUM(J97:J104)</f>
        <v>0</v>
      </c>
    </row>
    <row r="106" spans="2:10" ht="15" customHeight="1" x14ac:dyDescent="0.2">
      <c r="B106" s="347"/>
      <c r="I106" s="1069"/>
      <c r="J106" s="1200" t="s">
        <v>510</v>
      </c>
    </row>
    <row r="107" spans="2:10" ht="18" x14ac:dyDescent="0.2">
      <c r="B107" s="1185" t="s">
        <v>511</v>
      </c>
      <c r="C107" s="1801" t="str">
        <f>IF(O3=2,"Instruments de musique &amp; Accessoires","Music Instruments &amp; Accessories")</f>
        <v>Music Instruments &amp; Accessories</v>
      </c>
      <c r="D107" s="1801"/>
      <c r="E107" s="1801"/>
      <c r="F107" s="1801"/>
      <c r="G107" s="1801"/>
      <c r="H107" s="1801"/>
      <c r="I107" s="1801"/>
      <c r="J107" s="1801"/>
    </row>
    <row r="108" spans="2:10" ht="16.5" customHeight="1" x14ac:dyDescent="0.2">
      <c r="B108" s="1197" t="s">
        <v>512</v>
      </c>
      <c r="C108" s="1204"/>
      <c r="D108" s="1802"/>
      <c r="E108" s="1802"/>
      <c r="F108" s="1802"/>
      <c r="G108" s="1802"/>
      <c r="H108" s="1802"/>
      <c r="I108" s="1188"/>
      <c r="J108" s="1188"/>
    </row>
    <row r="109" spans="2:10" ht="16.5" customHeight="1" x14ac:dyDescent="0.2">
      <c r="B109" s="1197" t="s">
        <v>513</v>
      </c>
      <c r="C109" s="1204"/>
      <c r="D109" s="1802"/>
      <c r="E109" s="1802"/>
      <c r="F109" s="1802"/>
      <c r="G109" s="1802"/>
      <c r="H109" s="1802"/>
      <c r="I109" s="1188"/>
      <c r="J109" s="1188"/>
    </row>
    <row r="110" spans="2:10" ht="16.5" customHeight="1" x14ac:dyDescent="0.2">
      <c r="B110" s="1197" t="s">
        <v>514</v>
      </c>
      <c r="C110" s="1204"/>
      <c r="D110" s="1802"/>
      <c r="E110" s="1802"/>
      <c r="F110" s="1802"/>
      <c r="G110" s="1802"/>
      <c r="H110" s="1802"/>
      <c r="I110" s="1188"/>
      <c r="J110" s="1188"/>
    </row>
    <row r="111" spans="2:10" ht="16.5" customHeight="1" x14ac:dyDescent="0.2">
      <c r="B111" s="1197" t="s">
        <v>515</v>
      </c>
      <c r="C111" s="1204"/>
      <c r="D111" s="1802"/>
      <c r="E111" s="1802"/>
      <c r="F111" s="1802"/>
      <c r="G111" s="1802"/>
      <c r="H111" s="1802"/>
      <c r="I111" s="1188"/>
      <c r="J111" s="1188"/>
    </row>
    <row r="112" spans="2:10" ht="16.5" customHeight="1" x14ac:dyDescent="0.2">
      <c r="B112" s="1197" t="s">
        <v>516</v>
      </c>
      <c r="C112" s="1204"/>
      <c r="D112" s="1802"/>
      <c r="E112" s="1802"/>
      <c r="F112" s="1802"/>
      <c r="G112" s="1802"/>
      <c r="H112" s="1802"/>
      <c r="I112" s="1188"/>
      <c r="J112" s="1188"/>
    </row>
    <row r="113" spans="2:10" ht="16.5" customHeight="1" x14ac:dyDescent="0.2">
      <c r="B113" s="1197" t="s">
        <v>517</v>
      </c>
      <c r="C113" s="1204"/>
      <c r="D113" s="1802"/>
      <c r="E113" s="1802"/>
      <c r="F113" s="1802"/>
      <c r="G113" s="1802"/>
      <c r="H113" s="1802"/>
      <c r="I113" s="1188"/>
      <c r="J113" s="1188"/>
    </row>
    <row r="114" spans="2:10" ht="16.5" customHeight="1" x14ac:dyDescent="0.2">
      <c r="B114" s="1197" t="s">
        <v>518</v>
      </c>
      <c r="C114" s="1204"/>
      <c r="D114" s="1802"/>
      <c r="E114" s="1802"/>
      <c r="F114" s="1802"/>
      <c r="G114" s="1802"/>
      <c r="H114" s="1802"/>
      <c r="I114" s="1188"/>
      <c r="J114" s="1188"/>
    </row>
    <row r="115" spans="2:10" ht="16.5" customHeight="1" x14ac:dyDescent="0.2">
      <c r="B115" s="1197" t="s">
        <v>519</v>
      </c>
      <c r="C115" s="1204"/>
      <c r="D115" s="1802"/>
      <c r="E115" s="1802"/>
      <c r="F115" s="1802"/>
      <c r="G115" s="1802"/>
      <c r="H115" s="1802"/>
      <c r="I115" s="1188"/>
      <c r="J115" s="1188"/>
    </row>
    <row r="116" spans="2:10" ht="16.5" customHeight="1" x14ac:dyDescent="0.2">
      <c r="B116" s="1197" t="s">
        <v>520</v>
      </c>
      <c r="C116" s="1204"/>
      <c r="D116" s="1802"/>
      <c r="E116" s="1802"/>
      <c r="F116" s="1802"/>
      <c r="G116" s="1802"/>
      <c r="H116" s="1802"/>
      <c r="I116" s="1188"/>
      <c r="J116" s="1188"/>
    </row>
    <row r="117" spans="2:10" ht="16.5" customHeight="1" x14ac:dyDescent="0.2">
      <c r="B117" s="1197" t="s">
        <v>521</v>
      </c>
      <c r="C117" s="1204"/>
      <c r="D117" s="1802"/>
      <c r="E117" s="1802"/>
      <c r="F117" s="1802"/>
      <c r="G117" s="1802"/>
      <c r="H117" s="1802"/>
      <c r="I117" s="1188"/>
      <c r="J117" s="1188"/>
    </row>
    <row r="118" spans="2:10" ht="16.5" customHeight="1" x14ac:dyDescent="0.2">
      <c r="B118" s="1197" t="s">
        <v>522</v>
      </c>
      <c r="C118" s="1204"/>
      <c r="D118" s="1802"/>
      <c r="E118" s="1802"/>
      <c r="F118" s="1802"/>
      <c r="G118" s="1802"/>
      <c r="H118" s="1802"/>
      <c r="I118" s="1188"/>
      <c r="J118" s="1188"/>
    </row>
    <row r="119" spans="2:10" ht="16.5" customHeight="1" x14ac:dyDescent="0.2">
      <c r="B119" s="1197" t="s">
        <v>523</v>
      </c>
      <c r="C119" s="1204"/>
      <c r="D119" s="1802"/>
      <c r="E119" s="1802"/>
      <c r="F119" s="1802"/>
      <c r="G119" s="1802"/>
      <c r="H119" s="1802"/>
      <c r="I119" s="1188"/>
      <c r="J119" s="1188"/>
    </row>
    <row r="120" spans="2:10" ht="16.5" customHeight="1" x14ac:dyDescent="0.2">
      <c r="B120" s="1197" t="s">
        <v>524</v>
      </c>
      <c r="C120" s="1204"/>
      <c r="D120" s="1802"/>
      <c r="E120" s="1802"/>
      <c r="F120" s="1802"/>
      <c r="G120" s="1802"/>
      <c r="H120" s="1802"/>
      <c r="I120" s="1188"/>
      <c r="J120" s="1188"/>
    </row>
    <row r="121" spans="2:10" ht="16.5" customHeight="1" x14ac:dyDescent="0.2">
      <c r="B121" s="1197" t="s">
        <v>525</v>
      </c>
      <c r="C121" s="1204"/>
      <c r="D121" s="1802"/>
      <c r="E121" s="1802"/>
      <c r="F121" s="1802"/>
      <c r="G121" s="1802"/>
      <c r="H121" s="1802"/>
      <c r="I121" s="1188"/>
      <c r="J121" s="1188"/>
    </row>
    <row r="122" spans="2:10" ht="16.5" customHeight="1" x14ac:dyDescent="0.2">
      <c r="B122" s="1197" t="s">
        <v>526</v>
      </c>
      <c r="C122" s="789" t="str">
        <f>IF(O3=2,"Accessoires","Accessories")</f>
        <v>Accessories</v>
      </c>
      <c r="D122" s="1802"/>
      <c r="E122" s="1802"/>
      <c r="F122" s="1802"/>
      <c r="G122" s="1802"/>
      <c r="H122" s="1802"/>
      <c r="I122" s="1188"/>
      <c r="J122" s="1188"/>
    </row>
    <row r="123" spans="2:10" ht="16.5" customHeight="1" x14ac:dyDescent="0.2">
      <c r="B123" s="1198" t="s">
        <v>527</v>
      </c>
      <c r="C123" s="789" t="str">
        <f>IF(O3=2,"Autres","Others")</f>
        <v>Others</v>
      </c>
      <c r="D123" s="1802"/>
      <c r="E123" s="1802"/>
      <c r="F123" s="1802"/>
      <c r="G123" s="1802"/>
      <c r="H123" s="1802"/>
      <c r="I123" s="1188"/>
      <c r="J123" s="1188"/>
    </row>
    <row r="124" spans="2:10" ht="15.75" x14ac:dyDescent="0.2">
      <c r="B124" s="1196"/>
      <c r="C124" s="1191"/>
      <c r="D124" s="1191"/>
      <c r="E124" s="1191"/>
      <c r="F124" s="1191"/>
      <c r="G124" s="1804" t="s">
        <v>435</v>
      </c>
      <c r="H124" s="1804"/>
      <c r="I124" s="1192">
        <f>+SUM(I108:I123)</f>
        <v>0</v>
      </c>
      <c r="J124" s="1193">
        <f>+SUM(J108:J123)</f>
        <v>0</v>
      </c>
    </row>
    <row r="125" spans="2:10" ht="9.9499999999999993" customHeight="1" x14ac:dyDescent="0.2">
      <c r="B125" s="347"/>
      <c r="I125" s="1069"/>
      <c r="J125" s="1069"/>
    </row>
    <row r="126" spans="2:10" ht="18" x14ac:dyDescent="0.2">
      <c r="B126" s="1185" t="s">
        <v>528</v>
      </c>
      <c r="C126" s="1801" t="str">
        <f>IF(O3=2,"Trophées &amp; Récompenses","Trophies &amp; Awards")</f>
        <v>Trophies &amp; Awards</v>
      </c>
      <c r="D126" s="1801"/>
      <c r="E126" s="1801"/>
      <c r="F126" s="1801"/>
      <c r="G126" s="1801"/>
      <c r="H126" s="1801"/>
      <c r="I126" s="1801"/>
      <c r="J126" s="1801"/>
    </row>
    <row r="127" spans="2:10" ht="16.5" customHeight="1" x14ac:dyDescent="0.2">
      <c r="B127" s="1186" t="s">
        <v>529</v>
      </c>
      <c r="C127" s="1187"/>
      <c r="D127" s="1802"/>
      <c r="E127" s="1802"/>
      <c r="F127" s="1802"/>
      <c r="G127" s="1802"/>
      <c r="H127" s="1802"/>
      <c r="I127" s="1188"/>
      <c r="J127" s="1188"/>
    </row>
    <row r="128" spans="2:10" ht="16.5" customHeight="1" x14ac:dyDescent="0.2">
      <c r="B128" s="1186" t="s">
        <v>530</v>
      </c>
      <c r="C128" s="1187"/>
      <c r="D128" s="1802"/>
      <c r="E128" s="1802"/>
      <c r="F128" s="1802"/>
      <c r="G128" s="1802"/>
      <c r="H128" s="1802"/>
      <c r="I128" s="1188"/>
      <c r="J128" s="1188"/>
    </row>
    <row r="129" spans="2:10" ht="16.5" customHeight="1" x14ac:dyDescent="0.2">
      <c r="B129" s="1186" t="s">
        <v>531</v>
      </c>
      <c r="C129" s="1187"/>
      <c r="D129" s="1802"/>
      <c r="E129" s="1802"/>
      <c r="F129" s="1802"/>
      <c r="G129" s="1802"/>
      <c r="H129" s="1802"/>
      <c r="I129" s="1188"/>
      <c r="J129" s="1188"/>
    </row>
    <row r="130" spans="2:10" ht="16.5" customHeight="1" x14ac:dyDescent="0.2">
      <c r="B130" s="1186" t="s">
        <v>532</v>
      </c>
      <c r="C130" s="1187"/>
      <c r="D130" s="1802"/>
      <c r="E130" s="1802"/>
      <c r="F130" s="1802"/>
      <c r="G130" s="1802"/>
      <c r="H130" s="1802"/>
      <c r="I130" s="1188"/>
      <c r="J130" s="1188"/>
    </row>
    <row r="131" spans="2:10" ht="16.5" customHeight="1" x14ac:dyDescent="0.2">
      <c r="B131" s="1186" t="s">
        <v>533</v>
      </c>
      <c r="C131" s="1187"/>
      <c r="D131" s="1802"/>
      <c r="E131" s="1802"/>
      <c r="F131" s="1802"/>
      <c r="G131" s="1802"/>
      <c r="H131" s="1802"/>
      <c r="I131" s="1188"/>
      <c r="J131" s="1188"/>
    </row>
    <row r="132" spans="2:10" ht="16.5" customHeight="1" x14ac:dyDescent="0.2">
      <c r="B132" s="1186" t="s">
        <v>534</v>
      </c>
      <c r="C132" s="1187"/>
      <c r="D132" s="1802"/>
      <c r="E132" s="1802"/>
      <c r="F132" s="1802"/>
      <c r="G132" s="1802"/>
      <c r="H132" s="1802"/>
      <c r="I132" s="1188"/>
      <c r="J132" s="1188"/>
    </row>
    <row r="133" spans="2:10" ht="16.5" customHeight="1" x14ac:dyDescent="0.2">
      <c r="B133" s="1186" t="s">
        <v>535</v>
      </c>
      <c r="C133" s="1187"/>
      <c r="D133" s="1802"/>
      <c r="E133" s="1802"/>
      <c r="F133" s="1802"/>
      <c r="G133" s="1802"/>
      <c r="H133" s="1802"/>
      <c r="I133" s="1188"/>
      <c r="J133" s="1188"/>
    </row>
    <row r="134" spans="2:10" ht="16.5" customHeight="1" x14ac:dyDescent="0.2">
      <c r="B134" s="1186" t="s">
        <v>536</v>
      </c>
      <c r="C134" s="1189" t="str">
        <f>IF(O3=2,"Autres","Others")</f>
        <v>Others</v>
      </c>
      <c r="D134" s="1802"/>
      <c r="E134" s="1802"/>
      <c r="F134" s="1802"/>
      <c r="G134" s="1802"/>
      <c r="H134" s="1802"/>
      <c r="I134" s="1188"/>
      <c r="J134" s="1188"/>
    </row>
    <row r="135" spans="2:10" ht="15.75" x14ac:dyDescent="0.2">
      <c r="B135" s="1196"/>
      <c r="C135" s="1191"/>
      <c r="D135" s="1201"/>
      <c r="E135" s="1201"/>
      <c r="F135" s="1201"/>
      <c r="G135" s="1804" t="s">
        <v>435</v>
      </c>
      <c r="H135" s="1804"/>
      <c r="I135" s="1192">
        <f>SUM(I127:I134)</f>
        <v>0</v>
      </c>
      <c r="J135" s="1193">
        <f>+SUM(J127:J134)</f>
        <v>0</v>
      </c>
    </row>
    <row r="136" spans="2:10" ht="9.9499999999999993" customHeight="1" x14ac:dyDescent="0.2">
      <c r="B136" s="347"/>
      <c r="I136" s="1069"/>
      <c r="J136" s="1069"/>
    </row>
    <row r="137" spans="2:10" ht="18" x14ac:dyDescent="0.2">
      <c r="B137" s="1185" t="s">
        <v>537</v>
      </c>
      <c r="C137" s="1801" t="str">
        <f>IF(O3=2,"Divers","Miscellaneous")</f>
        <v>Miscellaneous</v>
      </c>
      <c r="D137" s="1801"/>
      <c r="E137" s="1801"/>
      <c r="F137" s="1801"/>
      <c r="G137" s="1801"/>
      <c r="H137" s="1801"/>
      <c r="I137" s="1801"/>
      <c r="J137" s="1801"/>
    </row>
    <row r="138" spans="2:10" ht="16.5" customHeight="1" x14ac:dyDescent="0.2">
      <c r="B138" s="1186" t="s">
        <v>538</v>
      </c>
      <c r="C138" s="1187"/>
      <c r="D138" s="1802"/>
      <c r="E138" s="1802"/>
      <c r="F138" s="1802"/>
      <c r="G138" s="1802"/>
      <c r="H138" s="1802"/>
      <c r="I138" s="1188"/>
      <c r="J138" s="1188"/>
    </row>
    <row r="139" spans="2:10" ht="16.5" customHeight="1" x14ac:dyDescent="0.2">
      <c r="B139" s="1186" t="s">
        <v>539</v>
      </c>
      <c r="C139" s="1187"/>
      <c r="D139" s="1802"/>
      <c r="E139" s="1802"/>
      <c r="F139" s="1802"/>
      <c r="G139" s="1802"/>
      <c r="H139" s="1802"/>
      <c r="I139" s="1188"/>
      <c r="J139" s="1188"/>
    </row>
    <row r="140" spans="2:10" ht="16.5" customHeight="1" x14ac:dyDescent="0.2">
      <c r="B140" s="1186" t="s">
        <v>540</v>
      </c>
      <c r="C140" s="1187"/>
      <c r="D140" s="1802"/>
      <c r="E140" s="1802"/>
      <c r="F140" s="1802"/>
      <c r="G140" s="1802"/>
      <c r="H140" s="1802"/>
      <c r="I140" s="1188"/>
      <c r="J140" s="1188"/>
    </row>
    <row r="141" spans="2:10" ht="16.5" customHeight="1" x14ac:dyDescent="0.2">
      <c r="B141" s="1186" t="s">
        <v>541</v>
      </c>
      <c r="C141" s="1187"/>
      <c r="D141" s="1802"/>
      <c r="E141" s="1802"/>
      <c r="F141" s="1802"/>
      <c r="G141" s="1802"/>
      <c r="H141" s="1802"/>
      <c r="I141" s="1188"/>
      <c r="J141" s="1188"/>
    </row>
    <row r="142" spans="2:10" ht="16.5" customHeight="1" x14ac:dyDescent="0.2">
      <c r="B142" s="1186" t="s">
        <v>542</v>
      </c>
      <c r="C142" s="1187"/>
      <c r="D142" s="1802"/>
      <c r="E142" s="1802"/>
      <c r="F142" s="1802"/>
      <c r="G142" s="1802"/>
      <c r="H142" s="1802"/>
      <c r="I142" s="1188"/>
      <c r="J142" s="1188"/>
    </row>
    <row r="143" spans="2:10" ht="16.5" customHeight="1" x14ac:dyDescent="0.2">
      <c r="B143" s="1186" t="s">
        <v>543</v>
      </c>
      <c r="C143" s="1187"/>
      <c r="D143" s="1802"/>
      <c r="E143" s="1802"/>
      <c r="F143" s="1802"/>
      <c r="G143" s="1802"/>
      <c r="H143" s="1802"/>
      <c r="I143" s="1188"/>
      <c r="J143" s="1188"/>
    </row>
    <row r="144" spans="2:10" ht="16.5" customHeight="1" x14ac:dyDescent="0.2">
      <c r="B144" s="1186" t="s">
        <v>544</v>
      </c>
      <c r="C144" s="1187"/>
      <c r="D144" s="1802"/>
      <c r="E144" s="1802"/>
      <c r="F144" s="1802"/>
      <c r="G144" s="1802"/>
      <c r="H144" s="1802"/>
      <c r="I144" s="1188"/>
      <c r="J144" s="1188"/>
    </row>
    <row r="145" spans="2:14" ht="16.5" customHeight="1" x14ac:dyDescent="0.2">
      <c r="B145" s="1190" t="s">
        <v>545</v>
      </c>
      <c r="C145" s="1189" t="str">
        <f>IF(O3=2,"Autres","Others")</f>
        <v>Others</v>
      </c>
      <c r="D145" s="1802"/>
      <c r="E145" s="1802"/>
      <c r="F145" s="1802"/>
      <c r="G145" s="1802"/>
      <c r="H145" s="1802"/>
      <c r="I145" s="1188"/>
      <c r="J145" s="1188"/>
    </row>
    <row r="146" spans="2:14" ht="15.75" x14ac:dyDescent="0.2">
      <c r="B146" s="1196"/>
      <c r="C146" s="1191"/>
      <c r="D146" s="1201"/>
      <c r="E146" s="1201"/>
      <c r="F146" s="1201"/>
      <c r="G146" s="1804" t="s">
        <v>435</v>
      </c>
      <c r="H146" s="1804"/>
      <c r="I146" s="1192">
        <f>SUM(I138:I145)</f>
        <v>0</v>
      </c>
      <c r="J146" s="1193">
        <f>+SUM(J138:J145)</f>
        <v>0</v>
      </c>
    </row>
    <row r="147" spans="2:14" ht="15.75" x14ac:dyDescent="0.2">
      <c r="B147" s="347"/>
      <c r="C147" s="355"/>
      <c r="G147" s="1806" t="s">
        <v>546</v>
      </c>
      <c r="H147" s="1806"/>
      <c r="I147" s="1205">
        <f>SUM(I17,I28,I39,I50,I61,I72,I83,I94,I105,I124,I135,I146)</f>
        <v>0</v>
      </c>
      <c r="J147" s="1205">
        <f>SUM(J17,J28,J39,J50,J61,J72,J83,J94,J105,J124,J135,J146)</f>
        <v>0</v>
      </c>
    </row>
    <row r="148" spans="2:14" ht="45.75" customHeight="1" x14ac:dyDescent="0.2">
      <c r="B148" s="1807" t="str">
        <f>IF(O3=2,N148,N149)</f>
        <v>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v>
      </c>
      <c r="C148" s="1807"/>
      <c r="D148" s="1807"/>
      <c r="E148" s="1807"/>
      <c r="F148" s="1807"/>
      <c r="G148" s="1807"/>
      <c r="H148" s="1807"/>
      <c r="I148" s="1807"/>
      <c r="J148" s="1807"/>
      <c r="K148" s="1206"/>
      <c r="N148" s="80" t="s">
        <v>547</v>
      </c>
    </row>
    <row r="149" spans="2:14" ht="18.75" customHeight="1" x14ac:dyDescent="0.25">
      <c r="J149" s="1180" t="s">
        <v>548</v>
      </c>
      <c r="N149" s="80" t="s">
        <v>549</v>
      </c>
    </row>
  </sheetData>
  <sheetProtection algorithmName="SHA-512" hashValue="xAMea+hfeO1QxaLNdCDeZmyQEJzkez87D+R4tmcrrhTsFLmt0CJ/qAt/CCMnM63taqFKrTXQl8Zu/St7/nnBIg==" saltValue="Va/mTkmC7Um2EaTCaKLE2w==" spinCount="100000" sheet="1" objects="1" scenarios="1" selectLockedCells="1"/>
  <mergeCells count="137">
    <mergeCell ref="G147:H147"/>
    <mergeCell ref="B148:J148"/>
    <mergeCell ref="D138:H138"/>
    <mergeCell ref="D139:H139"/>
    <mergeCell ref="D140:H140"/>
    <mergeCell ref="D141:H141"/>
    <mergeCell ref="D142:H142"/>
    <mergeCell ref="D143:H143"/>
    <mergeCell ref="D144:H144"/>
    <mergeCell ref="D145:H145"/>
    <mergeCell ref="G146:H146"/>
    <mergeCell ref="D128:H128"/>
    <mergeCell ref="D129:H129"/>
    <mergeCell ref="D130:H130"/>
    <mergeCell ref="D131:H131"/>
    <mergeCell ref="D132:H132"/>
    <mergeCell ref="D133:H133"/>
    <mergeCell ref="D134:H134"/>
    <mergeCell ref="G135:H135"/>
    <mergeCell ref="C137:J137"/>
    <mergeCell ref="D118:H118"/>
    <mergeCell ref="D119:H119"/>
    <mergeCell ref="D120:H120"/>
    <mergeCell ref="D121:H121"/>
    <mergeCell ref="D122:H122"/>
    <mergeCell ref="D123:H123"/>
    <mergeCell ref="G124:H124"/>
    <mergeCell ref="C126:J126"/>
    <mergeCell ref="D127:H127"/>
    <mergeCell ref="D109:H109"/>
    <mergeCell ref="D110:H110"/>
    <mergeCell ref="D111:H111"/>
    <mergeCell ref="D112:H112"/>
    <mergeCell ref="D113:H113"/>
    <mergeCell ref="D114:H114"/>
    <mergeCell ref="D115:H115"/>
    <mergeCell ref="D116:H116"/>
    <mergeCell ref="D117:H117"/>
    <mergeCell ref="D99:H99"/>
    <mergeCell ref="D100:H100"/>
    <mergeCell ref="D101:H101"/>
    <mergeCell ref="D102:H102"/>
    <mergeCell ref="D103:H103"/>
    <mergeCell ref="D104:H104"/>
    <mergeCell ref="G105:H105"/>
    <mergeCell ref="C107:J107"/>
    <mergeCell ref="D108:H108"/>
    <mergeCell ref="D89:H89"/>
    <mergeCell ref="D90:H90"/>
    <mergeCell ref="D91:H91"/>
    <mergeCell ref="D92:H92"/>
    <mergeCell ref="D93:H93"/>
    <mergeCell ref="G94:H94"/>
    <mergeCell ref="C96:J96"/>
    <mergeCell ref="D97:H97"/>
    <mergeCell ref="D98:H98"/>
    <mergeCell ref="D79:H79"/>
    <mergeCell ref="D80:H80"/>
    <mergeCell ref="D81:H81"/>
    <mergeCell ref="D82:H82"/>
    <mergeCell ref="G83:H83"/>
    <mergeCell ref="C85:J85"/>
    <mergeCell ref="D86:H86"/>
    <mergeCell ref="D87:H87"/>
    <mergeCell ref="D88:H88"/>
    <mergeCell ref="D69:H69"/>
    <mergeCell ref="D70:H70"/>
    <mergeCell ref="D71:H71"/>
    <mergeCell ref="G72:H72"/>
    <mergeCell ref="C74:J74"/>
    <mergeCell ref="D75:H75"/>
    <mergeCell ref="D76:H76"/>
    <mergeCell ref="D77:H77"/>
    <mergeCell ref="D78:H78"/>
    <mergeCell ref="D59:H59"/>
    <mergeCell ref="D60:H60"/>
    <mergeCell ref="G61:H61"/>
    <mergeCell ref="C63:J63"/>
    <mergeCell ref="D64:H64"/>
    <mergeCell ref="D65:H65"/>
    <mergeCell ref="D66:H66"/>
    <mergeCell ref="D67:H67"/>
    <mergeCell ref="D68:H68"/>
    <mergeCell ref="D49:H49"/>
    <mergeCell ref="G50:H50"/>
    <mergeCell ref="C52:J52"/>
    <mergeCell ref="D53:H53"/>
    <mergeCell ref="D54:H54"/>
    <mergeCell ref="D55:H55"/>
    <mergeCell ref="D56:H56"/>
    <mergeCell ref="D57:H57"/>
    <mergeCell ref="D58:H58"/>
    <mergeCell ref="G39:H39"/>
    <mergeCell ref="C41:J41"/>
    <mergeCell ref="D42:H42"/>
    <mergeCell ref="D43:H43"/>
    <mergeCell ref="D44:H44"/>
    <mergeCell ref="D45:H45"/>
    <mergeCell ref="D46:H46"/>
    <mergeCell ref="D47:H47"/>
    <mergeCell ref="D48:H48"/>
    <mergeCell ref="C30:J30"/>
    <mergeCell ref="D31:H31"/>
    <mergeCell ref="D32:H32"/>
    <mergeCell ref="D33:H33"/>
    <mergeCell ref="D34:H34"/>
    <mergeCell ref="D35:H35"/>
    <mergeCell ref="D36:H36"/>
    <mergeCell ref="D37:H37"/>
    <mergeCell ref="D38:H38"/>
    <mergeCell ref="D20:H20"/>
    <mergeCell ref="D21:H21"/>
    <mergeCell ref="D22:H22"/>
    <mergeCell ref="D23:H23"/>
    <mergeCell ref="D24:H24"/>
    <mergeCell ref="D25:H25"/>
    <mergeCell ref="D26:H26"/>
    <mergeCell ref="D27:H27"/>
    <mergeCell ref="G28:H28"/>
    <mergeCell ref="D11:H11"/>
    <mergeCell ref="M11:S19"/>
    <mergeCell ref="D12:H12"/>
    <mergeCell ref="D13:H13"/>
    <mergeCell ref="D14:H14"/>
    <mergeCell ref="D15:H15"/>
    <mergeCell ref="D16:H16"/>
    <mergeCell ref="G17:H17"/>
    <mergeCell ref="C19:J19"/>
    <mergeCell ref="B1:J1"/>
    <mergeCell ref="B2:J2"/>
    <mergeCell ref="B3:J3"/>
    <mergeCell ref="B4:C4"/>
    <mergeCell ref="H4:K4"/>
    <mergeCell ref="D6:H6"/>
    <mergeCell ref="C8:J8"/>
    <mergeCell ref="D9:H9"/>
    <mergeCell ref="D10:H10"/>
  </mergeCells>
  <conditionalFormatting sqref="D4 H4:K4">
    <cfRule type="cellIs" dxfId="17" priority="2" operator="equal">
      <formula>0</formula>
    </cfRule>
  </conditionalFormatting>
  <pageMargins left="0.86597222222222203" right="0.196527777777778" top="0.27569444444444402" bottom="0.15763888888888899" header="0.15763888888888899" footer="0.511811023622047"/>
  <pageSetup scale="66" orientation="portrait" horizontalDpi="300" verticalDpi="300"/>
  <headerFooter>
    <oddHeader>&amp;C&amp;"Arial,Bold"&amp;28</oddHeader>
  </headerFooter>
  <rowBreaks count="2" manualBreakCount="2">
    <brk id="62" max="16383" man="1"/>
    <brk id="106" max="16383" man="1"/>
  </row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pageSetUpPr fitToPage="1"/>
  </sheetPr>
  <dimension ref="B1:V133"/>
  <sheetViews>
    <sheetView showGridLines="0" showRowColHeaders="0" showZeros="0" zoomScale="85" zoomScaleNormal="85" workbookViewId="0">
      <pane ySplit="6" topLeftCell="A52" activePane="bottomLeft" state="frozen"/>
      <selection pane="bottomLeft" activeCell="J59" sqref="J59"/>
    </sheetView>
  </sheetViews>
  <sheetFormatPr defaultColWidth="11.42578125" defaultRowHeight="12.75" x14ac:dyDescent="0.2"/>
  <cols>
    <col min="1" max="1" width="7.42578125" customWidth="1"/>
    <col min="2" max="2" width="85.85546875" customWidth="1"/>
    <col min="3" max="3" width="28.85546875" style="1207" customWidth="1"/>
    <col min="4" max="4" width="4.85546875" style="1207" customWidth="1"/>
    <col min="5" max="5" width="11.28515625" style="1207" customWidth="1"/>
    <col min="6" max="6" width="15.7109375" style="1207" customWidth="1"/>
    <col min="7" max="7" width="18.28515625" style="1208" customWidth="1"/>
    <col min="8" max="8" width="1.42578125" customWidth="1"/>
    <col min="9" max="13" width="9.140625" customWidth="1"/>
    <col min="14" max="14" width="23.28515625" customWidth="1"/>
    <col min="15" max="18" width="9.140625" hidden="1" customWidth="1"/>
    <col min="19" max="19" width="12.140625" customWidth="1"/>
    <col min="20" max="22" width="9.140625" customWidth="1"/>
    <col min="23" max="23" width="9.7109375" customWidth="1"/>
    <col min="24" max="33" width="9.140625" customWidth="1"/>
    <col min="34" max="34" width="15.7109375" customWidth="1"/>
    <col min="35" max="259" width="9.140625" customWidth="1"/>
  </cols>
  <sheetData>
    <row r="1" spans="2:22" ht="33.75" customHeight="1" x14ac:dyDescent="0.4">
      <c r="B1" s="1452" t="str">
        <f>IF(H4=2,"Rapport T3010 - Feuille de travail","T3010 Report - Worksheet")</f>
        <v>T3010 Report - Worksheet</v>
      </c>
      <c r="C1" s="1452"/>
      <c r="D1" s="1452"/>
      <c r="E1" s="1452"/>
      <c r="F1" s="1452"/>
      <c r="G1" s="1452"/>
    </row>
    <row r="2" spans="2:22" ht="33.75" customHeight="1" x14ac:dyDescent="0.2">
      <c r="B2" s="1569">
        <f>'Data Set up'!B2:I2</f>
        <v>0</v>
      </c>
      <c r="C2" s="1569"/>
      <c r="D2" s="1569"/>
      <c r="E2" s="1569"/>
      <c r="F2" s="1569"/>
      <c r="G2" s="1569"/>
    </row>
    <row r="3" spans="2:22" ht="41.25" customHeight="1" x14ac:dyDescent="0.2">
      <c r="B3" s="1808" t="str">
        <f>'Revenue Jrnl'!B3:P3</f>
        <v>For the period from 1 september 2023 to 31 August 2024</v>
      </c>
      <c r="C3" s="1808"/>
      <c r="D3" s="1808"/>
      <c r="E3" s="1808"/>
      <c r="F3" s="1808"/>
      <c r="G3" s="1808"/>
      <c r="P3" s="145" t="s">
        <v>550</v>
      </c>
    </row>
    <row r="4" spans="2:22" ht="4.5" customHeight="1" x14ac:dyDescent="0.2">
      <c r="B4" s="145"/>
      <c r="C4" s="145"/>
      <c r="D4" s="145"/>
      <c r="E4" s="145"/>
      <c r="F4" s="145"/>
      <c r="G4" s="145"/>
      <c r="H4" s="838">
        <f>'Data Set up'!K10</f>
        <v>1</v>
      </c>
      <c r="P4" s="145" t="s">
        <v>551</v>
      </c>
    </row>
    <row r="5" spans="2:22" s="1" customFormat="1" ht="8.25" customHeight="1" x14ac:dyDescent="0.2">
      <c r="C5" s="205"/>
      <c r="D5" s="205"/>
      <c r="E5" s="205"/>
      <c r="F5" s="205"/>
      <c r="G5" s="250"/>
      <c r="P5" s="16"/>
    </row>
    <row r="6" spans="2:22" s="1" customFormat="1" ht="28.5" customHeight="1" x14ac:dyDescent="0.2">
      <c r="B6" s="1209" t="s">
        <v>375</v>
      </c>
      <c r="C6" s="1210" t="str">
        <f>IF(H4=2,"ACC-9 
# Ligne", "ACC-9 
Line #")</f>
        <v>ACC-9 
Line #</v>
      </c>
      <c r="D6" s="1210"/>
      <c r="E6" s="1210" t="str">
        <f>IF(H4=2,"T3010
# ligne","T3010
Line #")</f>
        <v>T3010
Line #</v>
      </c>
      <c r="F6" s="1211" t="str">
        <f>IF(H4=2,"Montant","Amount")</f>
        <v>Amount</v>
      </c>
      <c r="G6" s="1211" t="str">
        <f>IF(H4=2,"Montant","Amount")</f>
        <v>Amount</v>
      </c>
      <c r="P6" s="145" t="s">
        <v>552</v>
      </c>
      <c r="S6" s="1212"/>
      <c r="T6" s="1212"/>
      <c r="U6" s="1212"/>
      <c r="V6" s="1212"/>
    </row>
    <row r="7" spans="2:22" s="1" customFormat="1" ht="28.5" customHeight="1" x14ac:dyDescent="0.2">
      <c r="B7" s="1213" t="s">
        <v>553</v>
      </c>
      <c r="C7" s="1809" t="str">
        <f>IF(H4=2,"Si les revenus de l'organisme dépassent $100 000, ne complétez pas cette section. Remplissez seulement l'annexe 6","If Charities' revenues are over $100 000, do not fill this section. Complete only the Schedule 6.")</f>
        <v>If Charities' revenues are over $100 000, do not fill this section. Complete only the Schedule 6.</v>
      </c>
      <c r="D7" s="1809"/>
      <c r="E7" s="1809"/>
      <c r="F7" s="1809"/>
      <c r="G7" s="1809"/>
      <c r="I7" s="561"/>
      <c r="J7" s="561"/>
      <c r="K7" s="561"/>
      <c r="L7" s="561"/>
      <c r="M7" s="561"/>
      <c r="N7" s="561"/>
      <c r="P7" s="145"/>
      <c r="S7" s="1212"/>
      <c r="T7" s="1212"/>
      <c r="U7" s="1212"/>
      <c r="V7" s="1212"/>
    </row>
    <row r="8" spans="2:22" s="1" customFormat="1" ht="28.5" customHeight="1" x14ac:dyDescent="0.2">
      <c r="B8" s="1810" t="str">
        <f>IF(H4=2,"ACTIF","ASSETS")</f>
        <v>ASSETS</v>
      </c>
      <c r="C8" s="1810"/>
      <c r="D8" s="1810"/>
      <c r="E8" s="1810"/>
      <c r="F8" s="1810"/>
      <c r="G8" s="1810"/>
      <c r="I8" s="1177"/>
      <c r="J8" s="1177"/>
      <c r="K8" s="1177"/>
      <c r="L8" s="1177"/>
      <c r="M8" s="1177"/>
      <c r="N8" s="1177"/>
      <c r="P8" s="145"/>
      <c r="S8" s="1212"/>
      <c r="T8" s="1212"/>
      <c r="U8" s="1212"/>
      <c r="V8" s="1212"/>
    </row>
    <row r="9" spans="2:22" s="1" customFormat="1" ht="28.5" customHeight="1" x14ac:dyDescent="0.2">
      <c r="B9" s="1214" t="str">
        <f>IF(H4=2,"Total de l’actif (incluant terrains et immeubles)","Total Assets (including land and buildings)")</f>
        <v>Total Assets (including land and buildings)</v>
      </c>
      <c r="C9" s="1215" t="s">
        <v>554</v>
      </c>
      <c r="D9" s="1216" t="s">
        <v>175</v>
      </c>
      <c r="E9" s="1215">
        <v>4200</v>
      </c>
      <c r="F9" s="1217"/>
      <c r="G9" s="1218">
        <f>G42</f>
        <v>0</v>
      </c>
      <c r="I9" s="1177"/>
      <c r="J9" s="1177"/>
      <c r="K9" s="1177"/>
      <c r="L9" s="1177"/>
      <c r="M9" s="1177"/>
      <c r="N9" s="1177"/>
      <c r="P9" s="145"/>
      <c r="S9" s="1212"/>
      <c r="T9" s="1212"/>
      <c r="U9" s="1212"/>
      <c r="V9" s="1212"/>
    </row>
    <row r="10" spans="2:22" s="1" customFormat="1" ht="28.5" customHeight="1" x14ac:dyDescent="0.2">
      <c r="B10" s="1810" t="str">
        <f>IF(H4=2,"PASSIF","LIABILITIES")</f>
        <v>LIABILITIES</v>
      </c>
      <c r="C10" s="1810"/>
      <c r="D10" s="1810"/>
      <c r="E10" s="1810"/>
      <c r="F10" s="1810"/>
      <c r="G10" s="1810"/>
      <c r="I10" s="1177"/>
      <c r="J10" s="1177"/>
      <c r="K10" s="1177"/>
      <c r="L10" s="1177"/>
      <c r="M10" s="1177"/>
      <c r="N10" s="1177"/>
      <c r="P10" s="145"/>
      <c r="S10" s="1212"/>
      <c r="T10" s="1212"/>
      <c r="U10" s="1212"/>
      <c r="V10" s="1212"/>
    </row>
    <row r="11" spans="2:22" s="1" customFormat="1" ht="28.5" customHeight="1" x14ac:dyDescent="0.2">
      <c r="B11" s="1214" t="str">
        <f>IF(H4=2,"Total du passif","Total Liabilities")</f>
        <v>Total Liabilities</v>
      </c>
      <c r="C11" s="1215">
        <v>2400</v>
      </c>
      <c r="D11" s="1216" t="s">
        <v>176</v>
      </c>
      <c r="E11" s="1215">
        <v>4350</v>
      </c>
      <c r="F11" s="1217"/>
      <c r="G11" s="1218">
        <f>G48</f>
        <v>0</v>
      </c>
      <c r="I11" s="1177"/>
      <c r="J11" s="1177"/>
      <c r="K11" s="1177"/>
      <c r="L11" s="1177"/>
      <c r="M11" s="1177"/>
      <c r="N11" s="1177"/>
      <c r="P11" s="145"/>
      <c r="S11" s="1212"/>
      <c r="T11" s="1212"/>
      <c r="U11" s="1212"/>
      <c r="V11" s="1212"/>
    </row>
    <row r="12" spans="2:22" s="1" customFormat="1" ht="28.5" customHeight="1" x14ac:dyDescent="0.2">
      <c r="B12" s="1810" t="str">
        <f>IF(H4=2,"REVENUS","REVENUES")</f>
        <v>REVENUES</v>
      </c>
      <c r="C12" s="1810"/>
      <c r="D12" s="1810"/>
      <c r="E12" s="1810"/>
      <c r="F12" s="1810"/>
      <c r="G12" s="1810"/>
      <c r="I12" s="1177"/>
      <c r="J12" s="1177"/>
      <c r="K12" s="1177"/>
      <c r="L12" s="1177"/>
      <c r="M12" s="1177"/>
      <c r="N12" s="1177"/>
      <c r="P12" s="145"/>
      <c r="S12" s="1212"/>
      <c r="T12" s="1212"/>
      <c r="U12" s="1212"/>
      <c r="V12" s="1212"/>
    </row>
    <row r="13" spans="2:22" s="1" customFormat="1" ht="38.25" customHeight="1" x14ac:dyDescent="0.2">
      <c r="B13" s="1214"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13" s="1215" t="s">
        <v>555</v>
      </c>
      <c r="D13" s="1216" t="s">
        <v>401</v>
      </c>
      <c r="E13" s="1215">
        <v>4500</v>
      </c>
      <c r="F13" s="1217"/>
      <c r="G13" s="1218">
        <f>G50</f>
        <v>0</v>
      </c>
      <c r="I13" s="1177"/>
      <c r="J13" s="1177"/>
      <c r="K13" s="1177"/>
      <c r="L13" s="1177"/>
      <c r="M13" s="1177"/>
      <c r="N13" s="1177"/>
      <c r="P13" s="145"/>
      <c r="S13" s="1212"/>
      <c r="T13" s="1212"/>
      <c r="U13" s="1212"/>
      <c r="V13" s="1212"/>
    </row>
    <row r="14" spans="2:22" s="1" customFormat="1" ht="28.5" customHeight="1" x14ac:dyDescent="0.2">
      <c r="B14" s="1214" t="str">
        <f>IF(H4=2,"Total des montants reçus d'autres organismes de bienfaisance enregistrés","Total Amount Received From Other Registered Charities")</f>
        <v>Total Amount Received From Other Registered Charities</v>
      </c>
      <c r="C14" s="1219" t="s">
        <v>556</v>
      </c>
      <c r="D14" s="1216" t="s">
        <v>402</v>
      </c>
      <c r="E14" s="1215">
        <v>4510</v>
      </c>
      <c r="F14" s="1217"/>
      <c r="G14" s="1218">
        <f>G51</f>
        <v>0</v>
      </c>
      <c r="I14" s="1220"/>
      <c r="J14" s="1220"/>
      <c r="K14" s="1220"/>
      <c r="L14" s="1220"/>
      <c r="M14" s="1220"/>
      <c r="N14" s="1220"/>
      <c r="P14" s="145"/>
      <c r="S14" s="1212"/>
      <c r="T14" s="1212"/>
      <c r="U14" s="1212"/>
      <c r="V14" s="1212"/>
    </row>
    <row r="15" spans="2:22" s="1" customFormat="1" ht="48" customHeight="1" x14ac:dyDescent="0.2">
      <c r="B15" s="1214"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15" s="1219" t="s">
        <v>557</v>
      </c>
      <c r="D15" s="1216" t="s">
        <v>405</v>
      </c>
      <c r="E15" s="1215">
        <v>4530</v>
      </c>
      <c r="F15" s="1217"/>
      <c r="G15" s="1218">
        <f>G52</f>
        <v>0</v>
      </c>
      <c r="I15" s="1220"/>
      <c r="J15" s="1220"/>
      <c r="K15" s="1220"/>
      <c r="L15" s="1220"/>
      <c r="M15" s="1220"/>
      <c r="N15" s="1220"/>
      <c r="P15" s="145"/>
      <c r="S15" s="1212"/>
      <c r="T15" s="1212"/>
      <c r="U15" s="1212"/>
      <c r="V15" s="1212"/>
    </row>
    <row r="16" spans="2:22" s="1" customFormat="1" ht="38.25" customHeight="1" x14ac:dyDescent="0.2">
      <c r="B16" s="1214" t="str">
        <f>IF(H4=2,"Total des revenus provenant d'un gouvernement","Total revenue received from government")</f>
        <v>Total revenue received from government</v>
      </c>
      <c r="C16" s="1215">
        <v>4899</v>
      </c>
      <c r="D16" s="1216" t="s">
        <v>406</v>
      </c>
      <c r="E16" s="1215">
        <v>4570</v>
      </c>
      <c r="F16" s="1217"/>
      <c r="G16" s="1218">
        <f>SUM(G53:G55)</f>
        <v>0</v>
      </c>
      <c r="I16" s="1220"/>
      <c r="J16" s="1220"/>
      <c r="K16" s="1220"/>
      <c r="L16" s="1220"/>
      <c r="M16" s="1220"/>
      <c r="N16" s="1220"/>
      <c r="P16" s="145"/>
      <c r="S16" s="1212"/>
      <c r="T16" s="1212"/>
      <c r="U16" s="1212"/>
      <c r="V16" s="1212"/>
    </row>
    <row r="17" spans="2:22" s="1" customFormat="1" ht="38.25" customHeight="1" x14ac:dyDescent="0.2">
      <c r="B17" s="1214"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17" s="1215"/>
      <c r="D17" s="798" t="s">
        <v>407</v>
      </c>
      <c r="E17" s="1215">
        <v>4575</v>
      </c>
      <c r="F17" s="1217"/>
      <c r="G17" s="1218"/>
      <c r="I17" s="1220"/>
      <c r="J17" s="1220"/>
      <c r="K17" s="1220"/>
      <c r="L17" s="1220"/>
      <c r="M17" s="1220"/>
      <c r="N17" s="1220"/>
      <c r="P17" s="145"/>
      <c r="S17" s="1212"/>
      <c r="T17" s="1212"/>
      <c r="U17" s="1212"/>
      <c r="V17" s="1212"/>
    </row>
    <row r="18" spans="2:22" s="1" customFormat="1" ht="38.25" customHeight="1" x14ac:dyDescent="0.2">
      <c r="B18" s="1214" t="str">
        <f>IF(H4=2,"Total des montants des collectes de fonds pour lesquels l'organisme n'a pas délivré de reçus aux fins de l'impôt","Total non tax-receipted revenue from fundraising")</f>
        <v>Total non tax-receipted revenue from fundraising</v>
      </c>
      <c r="C18" s="1219" t="s">
        <v>558</v>
      </c>
      <c r="D18" s="1216" t="s">
        <v>408</v>
      </c>
      <c r="E18" s="1215">
        <v>4630</v>
      </c>
      <c r="F18" s="1217"/>
      <c r="G18" s="1218">
        <f>G62</f>
        <v>0</v>
      </c>
      <c r="I18" s="1220"/>
      <c r="J18" s="1220"/>
      <c r="K18" s="1220"/>
      <c r="L18" s="1220"/>
      <c r="M18" s="1220"/>
      <c r="N18" s="1220"/>
      <c r="P18" s="145"/>
      <c r="S18" s="1212"/>
      <c r="T18" s="1212"/>
      <c r="U18" s="1212"/>
      <c r="V18" s="1212"/>
    </row>
    <row r="19" spans="2:22" s="1" customFormat="1" ht="38.25" customHeight="1" x14ac:dyDescent="0.2">
      <c r="B19" s="1214"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19" s="1215"/>
      <c r="D19" s="1216" t="s">
        <v>409</v>
      </c>
      <c r="E19" s="1215">
        <v>4640</v>
      </c>
      <c r="F19" s="1217"/>
      <c r="G19" s="1218">
        <f>G63</f>
        <v>0</v>
      </c>
      <c r="P19" s="145"/>
      <c r="S19" s="1212"/>
      <c r="T19" s="1212"/>
      <c r="U19" s="1212"/>
      <c r="V19" s="1212"/>
    </row>
    <row r="20" spans="2:22" s="1" customFormat="1" ht="38.25" customHeight="1" x14ac:dyDescent="0.2">
      <c r="B20" s="1214" t="str">
        <f>IF(H4=2,"Tout autre revenu qui n'est pas compris dans les montants ci-dessus","Other revenue not already included in the amounts above")</f>
        <v>Other revenue not already included in the amounts above</v>
      </c>
      <c r="C20" s="1219">
        <v>4699</v>
      </c>
      <c r="D20" s="1215" t="s">
        <v>410</v>
      </c>
      <c r="E20" s="1215">
        <v>4650</v>
      </c>
      <c r="F20" s="1217"/>
      <c r="G20" s="1218">
        <f>G64+G57</f>
        <v>0</v>
      </c>
      <c r="P20" s="145"/>
      <c r="S20" s="1212"/>
      <c r="T20" s="1212"/>
      <c r="U20" s="1212"/>
      <c r="V20" s="1212"/>
    </row>
    <row r="21" spans="2:22" s="1" customFormat="1" ht="38.25" customHeight="1" x14ac:dyDescent="0.2">
      <c r="B21" s="1221" t="str">
        <f>IF(H4=2,"Total des revenus","Total Revenue")</f>
        <v>Total Revenue</v>
      </c>
      <c r="C21" s="1222" t="s">
        <v>559</v>
      </c>
      <c r="D21" s="1222" t="s">
        <v>411</v>
      </c>
      <c r="E21" s="1222">
        <v>4700</v>
      </c>
      <c r="F21" s="1223"/>
      <c r="G21" s="1224">
        <f>SUM(G13:G20)</f>
        <v>0</v>
      </c>
      <c r="I21" s="1811" t="str">
        <f>IF(H4=2,"← Devrait correspondre de près aux revenus totaux","← Should closely match total revenues")</f>
        <v>← Should closely match total revenues</v>
      </c>
      <c r="J21" s="1811"/>
      <c r="K21" s="1811"/>
      <c r="L21" s="1811"/>
      <c r="M21" s="1811"/>
      <c r="N21" s="1811"/>
      <c r="P21" s="145"/>
      <c r="S21" s="1212"/>
      <c r="T21" s="1212"/>
      <c r="U21" s="1212"/>
      <c r="V21" s="1212"/>
    </row>
    <row r="22" spans="2:22" s="1" customFormat="1" ht="28.5" customHeight="1" x14ac:dyDescent="0.2">
      <c r="B22" s="1810" t="str">
        <f>IF(H4=2,"DÉPENSES","EXPENDITURES")</f>
        <v>EXPENDITURES</v>
      </c>
      <c r="C22" s="1810"/>
      <c r="D22" s="1810"/>
      <c r="E22" s="1810"/>
      <c r="F22" s="1810"/>
      <c r="G22" s="1810"/>
      <c r="P22" s="145"/>
      <c r="S22" s="1212"/>
      <c r="T22" s="1212"/>
      <c r="U22" s="1212"/>
      <c r="V22" s="1212"/>
    </row>
    <row r="23" spans="2:22" s="1" customFormat="1" ht="38.25" customHeight="1" x14ac:dyDescent="0.2">
      <c r="B23" s="1225" t="str">
        <f>IF(H4=2,"Total des dépenses pour des honoraires de professionnels et de consultants","Professional And Consulting Fees")</f>
        <v>Professional And Consulting Fees</v>
      </c>
      <c r="C23" s="1215">
        <v>5120</v>
      </c>
      <c r="D23" s="798" t="s">
        <v>412</v>
      </c>
      <c r="E23" s="1215">
        <v>4860</v>
      </c>
      <c r="F23" s="1217"/>
      <c r="G23" s="1218">
        <f>G73</f>
        <v>0</v>
      </c>
      <c r="P23" s="145"/>
      <c r="S23" s="1212"/>
      <c r="T23" s="1212"/>
      <c r="U23" s="1212"/>
      <c r="V23" s="1212"/>
    </row>
    <row r="24" spans="2:22" s="1" customFormat="1" ht="38.25" customHeight="1" x14ac:dyDescent="0.2">
      <c r="B24" s="1225" t="str">
        <f>IF(H4=2,"Total des dépenses pour les frais de déplacement et d'utilisation de véhicules","Travel and Vehicle expenses")</f>
        <v>Travel and Vehicle expenses</v>
      </c>
      <c r="C24" s="1215">
        <v>5810</v>
      </c>
      <c r="D24" s="798" t="s">
        <v>560</v>
      </c>
      <c r="E24" s="1215">
        <v>4810</v>
      </c>
      <c r="F24" s="1217"/>
      <c r="G24" s="1218">
        <f>G68</f>
        <v>0</v>
      </c>
      <c r="P24" s="145"/>
      <c r="S24" s="1212"/>
      <c r="T24" s="1212"/>
      <c r="U24" s="1212"/>
      <c r="V24" s="1212"/>
    </row>
    <row r="25" spans="2:22" s="1" customFormat="1" ht="38.25" customHeight="1" x14ac:dyDescent="0.2">
      <c r="B25" s="1214"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25" s="1215" t="s">
        <v>561</v>
      </c>
      <c r="D25" s="798" t="s">
        <v>562</v>
      </c>
      <c r="E25" s="1215">
        <v>4920</v>
      </c>
      <c r="F25" s="1217"/>
      <c r="G25" s="1218">
        <f>G67+G69+G70+G71+G72+G74+G75+G79+G80</f>
        <v>0</v>
      </c>
      <c r="P25" s="145"/>
      <c r="S25" s="1212"/>
      <c r="T25" s="1212"/>
      <c r="U25" s="1212"/>
      <c r="V25" s="1212"/>
    </row>
    <row r="26" spans="2:22" s="1" customFormat="1" ht="38.25" customHeight="1" x14ac:dyDescent="0.2">
      <c r="B26" s="1214" t="s">
        <v>563</v>
      </c>
      <c r="C26" s="1215" t="s">
        <v>564</v>
      </c>
      <c r="D26" s="1215" t="s">
        <v>565</v>
      </c>
      <c r="E26" s="1215">
        <v>4950</v>
      </c>
      <c r="F26" s="1217"/>
      <c r="G26" s="1218">
        <f>SUM(G23:G25)</f>
        <v>0</v>
      </c>
      <c r="P26" s="145"/>
      <c r="S26" s="1212"/>
      <c r="T26" s="1212"/>
      <c r="U26" s="1212"/>
      <c r="V26" s="1212"/>
    </row>
    <row r="27" spans="2:22" s="1" customFormat="1" ht="48" customHeight="1" x14ac:dyDescent="0.2">
      <c r="B27" s="1214" t="str">
        <f>IF(H4=2,"Total des dépenses liées aux activités de bienfaisance incluses dans le montant de la ligne 4950","Total expenditures on charitable activities included in Line 4950")</f>
        <v>Total expenditures on charitable activities included in Line 4950</v>
      </c>
      <c r="C27" s="1219" t="s">
        <v>566</v>
      </c>
      <c r="D27" s="1215" t="s">
        <v>567</v>
      </c>
      <c r="E27" s="1215">
        <v>5000</v>
      </c>
      <c r="F27" s="1226">
        <f>F82+F84</f>
        <v>0</v>
      </c>
      <c r="G27" s="1227"/>
      <c r="P27" s="145"/>
      <c r="S27" s="1212"/>
      <c r="T27" s="1212"/>
      <c r="U27" s="1212"/>
      <c r="V27" s="1212"/>
    </row>
    <row r="28" spans="2:22" s="1" customFormat="1" ht="38.25" customHeight="1" x14ac:dyDescent="0.2">
      <c r="B28" s="1214" t="str">
        <f>IF(H4=2,"Total des dépenses liées à la gestion et à l'administration incluses dans le montant de la ligne 4950","Total expenditures on management and administration included in Line 4950")</f>
        <v>Total expenditures on management and administration included in Line 4950</v>
      </c>
      <c r="C28" s="1219" t="s">
        <v>568</v>
      </c>
      <c r="D28" s="1215" t="s">
        <v>569</v>
      </c>
      <c r="E28" s="1215">
        <v>5010</v>
      </c>
      <c r="F28" s="1226">
        <f>F83</f>
        <v>0</v>
      </c>
      <c r="G28" s="1227"/>
      <c r="P28" s="145"/>
      <c r="S28" s="1212"/>
      <c r="T28" s="1212"/>
      <c r="U28" s="1212"/>
      <c r="V28" s="1212"/>
    </row>
    <row r="29" spans="2:22" s="1" customFormat="1" ht="38.25" customHeight="1" x14ac:dyDescent="0.2">
      <c r="B29" s="1214" t="str">
        <f>IF(H4=2,"Total des dons faits à tous les donataires reconnus","Total amount of gifts made to all qualified donees")</f>
        <v>Total amount of gifts made to all qualified donees</v>
      </c>
      <c r="C29" s="1219">
        <v>5140</v>
      </c>
      <c r="D29" s="1215" t="s">
        <v>570</v>
      </c>
      <c r="E29" s="1215">
        <v>5050</v>
      </c>
      <c r="F29" s="1217"/>
      <c r="G29" s="1218">
        <f>G87</f>
        <v>0</v>
      </c>
      <c r="P29" s="145"/>
      <c r="S29" s="1212"/>
      <c r="T29" s="1212"/>
      <c r="U29" s="1212"/>
      <c r="V29" s="1212"/>
    </row>
    <row r="30" spans="2:22" s="1" customFormat="1" ht="38.25" customHeight="1" x14ac:dyDescent="0.2">
      <c r="B30" s="1228" t="str">
        <f>IF(H4=2,"Total des dépenses (Lignes 4950 + 5050)","Total Expenditures (Lines 4950 + 5050)")</f>
        <v>Total Expenditures (Lines 4950 + 5050)</v>
      </c>
      <c r="C30" s="1222" t="s">
        <v>571</v>
      </c>
      <c r="D30" s="1222" t="s">
        <v>572</v>
      </c>
      <c r="E30" s="1222">
        <v>5100</v>
      </c>
      <c r="F30" s="1223"/>
      <c r="G30" s="1224">
        <f>G26+G29</f>
        <v>0</v>
      </c>
      <c r="I30" s="1811" t="str">
        <f>IF(H4=2,"← Devrait correspondre de près aux dépenses totales","← Should closely match total expenditures")</f>
        <v>← Should closely match total expenditures</v>
      </c>
      <c r="J30" s="1811"/>
      <c r="K30" s="1811"/>
      <c r="L30" s="1811"/>
      <c r="M30" s="1811"/>
      <c r="N30" s="1811"/>
      <c r="P30" s="145"/>
      <c r="S30" s="1212"/>
      <c r="T30" s="1212"/>
      <c r="U30" s="1212"/>
      <c r="V30" s="1212"/>
    </row>
    <row r="31" spans="2:22" s="1" customFormat="1" ht="28.5" customHeight="1" x14ac:dyDescent="0.2">
      <c r="B31" s="1213" t="str">
        <f>IF(H4=2,"ANNEXE 6","SCHEDULE 6")</f>
        <v>SCHEDULE 6</v>
      </c>
      <c r="C31" s="1812" t="str">
        <f>IF(G4=2,"Cette annexe est obligatoire si vos revenus dépassent $ 100 000. Ne complétez pas la section D","This schedule is mandatory if revenues are over $ 100 000. Do not complete the Section D")</f>
        <v>This schedule is mandatory if revenues are over $ 100 000. Do not complete the Section D</v>
      </c>
      <c r="D31" s="1812"/>
      <c r="E31" s="1812"/>
      <c r="F31" s="1812"/>
      <c r="G31" s="1812"/>
      <c r="P31" s="145"/>
      <c r="S31" s="1212"/>
      <c r="T31" s="1212"/>
      <c r="U31" s="1212"/>
      <c r="V31" s="1212"/>
    </row>
    <row r="32" spans="2:22" s="1" customFormat="1" ht="36" customHeight="1" x14ac:dyDescent="0.2">
      <c r="B32" s="1813" t="str">
        <f>IF(H4=2,"Actif","Assets")</f>
        <v>Assets</v>
      </c>
      <c r="C32" s="1813"/>
      <c r="D32" s="1813"/>
      <c r="E32" s="1813"/>
      <c r="F32" s="1813"/>
      <c r="G32" s="1813"/>
      <c r="P32" s="145" t="s">
        <v>573</v>
      </c>
    </row>
    <row r="33" spans="2:7" s="1" customFormat="1" ht="38.25" customHeight="1" x14ac:dyDescent="0.2">
      <c r="B33" s="1225" t="str">
        <f>IF(H4=2,"Argent comptant, comptes bancaires et placements à court terme","Cash, Bank Accounts &amp; Short Term Investments")</f>
        <v>Cash, Bank Accounts &amp; Short Term Investments</v>
      </c>
      <c r="C33" s="1219">
        <v>1100</v>
      </c>
      <c r="D33" s="1216" t="s">
        <v>175</v>
      </c>
      <c r="E33" s="1229">
        <v>4100</v>
      </c>
      <c r="F33" s="1230"/>
      <c r="G33" s="603">
        <f>'ACC9 (Page 6) Balance Sheet'!N15</f>
        <v>0</v>
      </c>
    </row>
    <row r="34" spans="2:7" s="1" customFormat="1" ht="38.25" customHeight="1" x14ac:dyDescent="0.2">
      <c r="B34" s="1225" t="str">
        <f>IF(H4=2,"Sommes à recevoir de personnes avec lesquelles l'organisme a un lien de dépendance","Amounts Receivable From Non-Arm's Length Parties")</f>
        <v>Amounts Receivable From Non-Arm's Length Parties</v>
      </c>
      <c r="C34" s="1231"/>
      <c r="D34" s="1216" t="s">
        <v>176</v>
      </c>
      <c r="E34" s="1229">
        <v>4110</v>
      </c>
      <c r="F34" s="1230"/>
      <c r="G34" s="603"/>
    </row>
    <row r="35" spans="2:7" s="1" customFormat="1" ht="36" customHeight="1" x14ac:dyDescent="0.2">
      <c r="B35" s="1225" t="str">
        <f>IF(H4=2,"Sommes à recevoir d'autres sources","Amounts Receivable From All Others")</f>
        <v>Amounts Receivable From All Others</v>
      </c>
      <c r="C35" s="1231"/>
      <c r="D35" s="1216" t="s">
        <v>401</v>
      </c>
      <c r="E35" s="1229">
        <v>4120</v>
      </c>
      <c r="F35" s="1230"/>
      <c r="G35" s="603"/>
    </row>
    <row r="36" spans="2:7" s="1" customFormat="1" ht="38.25" customHeight="1" x14ac:dyDescent="0.2">
      <c r="B36" s="1225" t="str">
        <f>IF(H4=2,"Placements auprès de personnes avec lesquelles l'organisme a un lien de dépendance","Investments in Non-Arm's Length persons")</f>
        <v>Investments in Non-Arm's Length persons</v>
      </c>
      <c r="C36" s="1231"/>
      <c r="D36" s="1216" t="s">
        <v>402</v>
      </c>
      <c r="E36" s="1229">
        <v>4130</v>
      </c>
      <c r="F36" s="1230"/>
      <c r="G36" s="603"/>
    </row>
    <row r="37" spans="2:7" s="1" customFormat="1" ht="36" customHeight="1" x14ac:dyDescent="0.2">
      <c r="B37" s="1225" t="str">
        <f>IF(H4=2,"Placements à long terme","Long-term Investments")</f>
        <v>Long-term Investments</v>
      </c>
      <c r="C37" s="1231">
        <v>1300</v>
      </c>
      <c r="D37" s="1216" t="s">
        <v>405</v>
      </c>
      <c r="E37" s="1229">
        <v>4140</v>
      </c>
      <c r="F37" s="1230"/>
      <c r="G37" s="603">
        <f>'ACC9 (Page 6) Balance Sheet'!N21</f>
        <v>0</v>
      </c>
    </row>
    <row r="38" spans="2:7" s="1" customFormat="1" ht="36" customHeight="1" x14ac:dyDescent="0.2">
      <c r="B38" s="1225" t="str">
        <f>IF(H4=2,"Stocks","Inventories")</f>
        <v>Inventories</v>
      </c>
      <c r="C38" s="1219" t="s">
        <v>574</v>
      </c>
      <c r="D38" s="1216" t="s">
        <v>406</v>
      </c>
      <c r="E38" s="1229">
        <v>4150</v>
      </c>
      <c r="F38" s="1230"/>
      <c r="G38" s="603">
        <f>SUM('ACC9 (Page 6) Balance Sheet'!L25,'ACC9 (Page 6) Balance Sheet'!L28:L36)</f>
        <v>0</v>
      </c>
    </row>
    <row r="39" spans="2:7" s="1" customFormat="1" ht="36" customHeight="1" x14ac:dyDescent="0.2">
      <c r="B39" s="1225" t="str">
        <f>IF(H4=2,"Terrains &amp; Immeubles au Canada","Land and Building in Canada")</f>
        <v>Land and Building in Canada</v>
      </c>
      <c r="C39" s="1231" t="s">
        <v>575</v>
      </c>
      <c r="D39" s="798" t="s">
        <v>407</v>
      </c>
      <c r="E39" s="1229">
        <v>4155</v>
      </c>
      <c r="F39" s="1230"/>
      <c r="G39" s="603">
        <f>SUM('ACC9 (Page 6) Balance Sheet'!L26:L27)</f>
        <v>0</v>
      </c>
    </row>
    <row r="40" spans="2:7" s="1" customFormat="1" ht="36" customHeight="1" x14ac:dyDescent="0.2">
      <c r="B40" s="1225" t="str">
        <f>IF(H4=2,"Autres immobilisations au Canada","Other Capital Assets in Canada")</f>
        <v>Other Capital Assets in Canada</v>
      </c>
      <c r="C40" s="1219"/>
      <c r="D40" s="1216" t="s">
        <v>408</v>
      </c>
      <c r="E40" s="1229">
        <v>4160</v>
      </c>
      <c r="F40" s="1230"/>
      <c r="G40" s="603"/>
    </row>
    <row r="41" spans="2:7" s="1" customFormat="1" ht="36" customHeight="1" x14ac:dyDescent="0.2">
      <c r="B41" s="1225" t="str">
        <f>IF(H4=2,"Autres éléments d'actif","Other Assets")</f>
        <v>Other Assets</v>
      </c>
      <c r="C41" s="1231"/>
      <c r="D41" s="1216" t="s">
        <v>409</v>
      </c>
      <c r="E41" s="1229">
        <v>4170</v>
      </c>
      <c r="F41" s="1230"/>
      <c r="G41" s="603"/>
    </row>
    <row r="42" spans="2:7" s="1" customFormat="1" ht="36" customHeight="1" x14ac:dyDescent="0.2">
      <c r="B42" s="1232" t="str">
        <f>IF(H4=2,"Total de l’actif","Total Assets")</f>
        <v>Total Assets</v>
      </c>
      <c r="C42" s="1233" t="s">
        <v>576</v>
      </c>
      <c r="D42" s="1234" t="s">
        <v>410</v>
      </c>
      <c r="E42" s="1235">
        <v>4200</v>
      </c>
      <c r="F42" s="1236"/>
      <c r="G42" s="1237">
        <f>SUM(G33:G41)</f>
        <v>0</v>
      </c>
    </row>
    <row r="43" spans="2:7" s="1" customFormat="1" ht="36" customHeight="1" x14ac:dyDescent="0.2">
      <c r="B43" s="1813" t="str">
        <f>IF(H4=2,"Passif","Liabilities")</f>
        <v>Liabilities</v>
      </c>
      <c r="C43" s="1813"/>
      <c r="D43" s="1813"/>
      <c r="E43" s="1813"/>
      <c r="F43" s="1813"/>
      <c r="G43" s="1813"/>
    </row>
    <row r="44" spans="2:7" s="1" customFormat="1" ht="38.25" customHeight="1" x14ac:dyDescent="0.2">
      <c r="B44" s="1225" t="str">
        <f>IF(H4=2,"Comptes fournisseurs et charges à payer","Accounts Payable and Accrued Liabilities")</f>
        <v>Accounts Payable and Accrued Liabilities</v>
      </c>
      <c r="C44" s="1231">
        <v>2100</v>
      </c>
      <c r="D44" s="798" t="s">
        <v>411</v>
      </c>
      <c r="E44" s="1238">
        <v>4300</v>
      </c>
      <c r="F44" s="1230"/>
      <c r="G44" s="603">
        <f>'ACC9 (Page 6) Balance Sheet'!N49</f>
        <v>0</v>
      </c>
    </row>
    <row r="45" spans="2:7" s="1" customFormat="1" ht="38.25" customHeight="1" x14ac:dyDescent="0.2">
      <c r="B45" s="1225" t="str">
        <f>IF(H4=2,"Produit comptabilisé d'avance","Deferred Revenues")</f>
        <v>Deferred Revenues</v>
      </c>
      <c r="C45" s="1231"/>
      <c r="D45" s="798" t="s">
        <v>412</v>
      </c>
      <c r="E45" s="1238">
        <v>4310</v>
      </c>
      <c r="F45" s="1230"/>
      <c r="G45" s="603"/>
    </row>
    <row r="46" spans="2:7" s="1" customFormat="1" ht="38.25" customHeight="1" x14ac:dyDescent="0.2">
      <c r="B46" s="1225" t="str">
        <f>IF(H4=2,"Sommes à payer à des personnes avec lesquelles l'organisme a un lien de dépendance","Amounts Owing to Non-Arm's Length persons")</f>
        <v>Amounts Owing to Non-Arm's Length persons</v>
      </c>
      <c r="C46" s="1219"/>
      <c r="D46" s="798" t="s">
        <v>560</v>
      </c>
      <c r="E46" s="1229">
        <v>4320</v>
      </c>
      <c r="F46" s="1239"/>
      <c r="G46" s="1240"/>
    </row>
    <row r="47" spans="2:7" s="16" customFormat="1" ht="38.25" customHeight="1" x14ac:dyDescent="0.2">
      <c r="B47" s="1225" t="str">
        <f>IF(H4=2,"Autres éléments du passif","Other Liabilities")</f>
        <v>Other Liabilities</v>
      </c>
      <c r="C47" s="1231">
        <v>2300</v>
      </c>
      <c r="D47" s="798" t="s">
        <v>562</v>
      </c>
      <c r="E47" s="1238">
        <v>4330</v>
      </c>
      <c r="F47" s="1230"/>
      <c r="G47" s="603">
        <f>'ACC9 (Page 6) Balance Sheet'!N54</f>
        <v>0</v>
      </c>
    </row>
    <row r="48" spans="2:7" s="1" customFormat="1" ht="36" customHeight="1" x14ac:dyDescent="0.2">
      <c r="B48" s="1232" t="str">
        <f>IF(H4=2,"Total du passif","Total Liabilities")</f>
        <v>Total Liabilities</v>
      </c>
      <c r="C48" s="1233" t="s">
        <v>577</v>
      </c>
      <c r="D48" s="1234" t="s">
        <v>565</v>
      </c>
      <c r="E48" s="1235">
        <v>4350</v>
      </c>
      <c r="F48" s="1236"/>
      <c r="G48" s="1237">
        <f>SUM(G44:G47)</f>
        <v>0</v>
      </c>
    </row>
    <row r="49" spans="2:14" s="1" customFormat="1" ht="36" customHeight="1" x14ac:dyDescent="0.2">
      <c r="B49" s="1813" t="str">
        <f>IF(H4=2,"Revenus","Revenue")</f>
        <v>Revenue</v>
      </c>
      <c r="C49" s="1813"/>
      <c r="D49" s="1813"/>
      <c r="E49" s="1813"/>
      <c r="F49" s="1813"/>
      <c r="G49" s="1813"/>
    </row>
    <row r="50" spans="2:14" s="1" customFormat="1" ht="38.25" customHeight="1" x14ac:dyDescent="0.2">
      <c r="B50" s="1225"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50" s="1219" t="s">
        <v>555</v>
      </c>
      <c r="D50" s="798" t="s">
        <v>567</v>
      </c>
      <c r="E50" s="1241">
        <v>4500</v>
      </c>
      <c r="F50" s="1242"/>
      <c r="G50" s="603">
        <f>'ACC9 (Pages 2-3) Revenues'!J14+'Revenue Jrnl'!P516</f>
        <v>0</v>
      </c>
    </row>
    <row r="51" spans="2:14" s="16" customFormat="1" ht="36" customHeight="1" x14ac:dyDescent="0.2">
      <c r="B51" s="1225" t="str">
        <f>IF(H4=2,"Total des montants reçus d'autres organismes de bienfaisance enregistrés","Total Amount Received From Other Registered Charities")</f>
        <v>Total Amount Received From Other Registered Charities</v>
      </c>
      <c r="C51" s="1219" t="s">
        <v>556</v>
      </c>
      <c r="D51" s="798" t="s">
        <v>569</v>
      </c>
      <c r="E51" s="1241">
        <v>4510</v>
      </c>
      <c r="F51" s="1242"/>
      <c r="G51" s="603">
        <f>'ACC9 (Pages 2-3) Revenues'!J8+'ACC9 (Pages 2-3) Revenues'!J9+'ACC9 (Pages 2-3) Revenues'!J10</f>
        <v>0</v>
      </c>
    </row>
    <row r="52" spans="2:14" s="16" customFormat="1" ht="38.25" customHeight="1" x14ac:dyDescent="0.2">
      <c r="B52" s="1225"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52" s="1219" t="s">
        <v>557</v>
      </c>
      <c r="D52" s="798" t="s">
        <v>570</v>
      </c>
      <c r="E52" s="1241">
        <v>4530</v>
      </c>
      <c r="F52" s="1242"/>
      <c r="G52" s="603">
        <f>'ACC9 (Pages 2-3) Revenues'!J11+'ACC9 (Pages 2-3) Revenues'!J12+'ACC9 (Pages 2-3) Revenues'!J13+'ACC9 (Pages 2-3) Revenues'!J15+'ACC9 (Pages 2-3) Revenues'!J16</f>
        <v>0</v>
      </c>
    </row>
    <row r="53" spans="2:14" s="16" customFormat="1" ht="36" customHeight="1" x14ac:dyDescent="0.2">
      <c r="B53" s="1225" t="str">
        <f>IF(H4=2,"Total des revenus provenant du gouvernement fédéral","Total revenue received from federal government")</f>
        <v>Total revenue received from federal government</v>
      </c>
      <c r="C53" s="1219" t="s">
        <v>578</v>
      </c>
      <c r="D53" s="798" t="s">
        <v>572</v>
      </c>
      <c r="E53" s="1229">
        <v>4540</v>
      </c>
      <c r="F53" s="1243"/>
      <c r="G53" s="603">
        <f>SUM('ACC9 (Pages 2-3) Revenues'!J56:J58)</f>
        <v>0</v>
      </c>
    </row>
    <row r="54" spans="2:14" s="16" customFormat="1" ht="36" customHeight="1" x14ac:dyDescent="0.2">
      <c r="B54" s="1225" t="str">
        <f>IF(H4=2,"Total des revenus provenant de gouvernements provinciaux ou territoriaux","Total revenue received from provincial/territorial governments")</f>
        <v>Total revenue received from provincial/territorial governments</v>
      </c>
      <c r="C54" s="1219" t="s">
        <v>579</v>
      </c>
      <c r="D54" s="798" t="s">
        <v>580</v>
      </c>
      <c r="E54" s="1229">
        <v>4550</v>
      </c>
      <c r="F54" s="1243"/>
      <c r="G54" s="603">
        <f>SUM('ACC9 (Pages 2-3) Revenues'!J59:J61)</f>
        <v>0</v>
      </c>
    </row>
    <row r="55" spans="2:14" s="16" customFormat="1" ht="36" customHeight="1" x14ac:dyDescent="0.2">
      <c r="B55" s="1225" t="str">
        <f>IF(H4=2,"Total des revenus provenant de gouvernements municipaux ou régionaux","Total revenue received from municipal/regional governments")</f>
        <v>Total revenue received from municipal/regional governments</v>
      </c>
      <c r="C55" s="1219" t="s">
        <v>581</v>
      </c>
      <c r="D55" s="798" t="s">
        <v>582</v>
      </c>
      <c r="E55" s="1229">
        <v>4560</v>
      </c>
      <c r="F55" s="1243"/>
      <c r="G55" s="603">
        <f>SUM('ACC9 (Pages 2-3) Revenues'!J62:J64)</f>
        <v>0</v>
      </c>
    </row>
    <row r="56" spans="2:14" s="16" customFormat="1" ht="38.25" customHeight="1" x14ac:dyDescent="0.2">
      <c r="B56" s="1225"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56" s="1219"/>
      <c r="D56" s="1244" t="s">
        <v>583</v>
      </c>
      <c r="E56" s="1241">
        <v>4575</v>
      </c>
      <c r="F56" s="1242"/>
      <c r="G56" s="1245"/>
      <c r="I56" s="1814"/>
      <c r="J56" s="1814"/>
      <c r="K56" s="1814"/>
      <c r="L56" s="1814"/>
      <c r="M56" s="1814"/>
      <c r="N56" s="1814"/>
    </row>
    <row r="57" spans="2:14" s="16" customFormat="1" ht="36" customHeight="1" x14ac:dyDescent="0.2">
      <c r="B57" s="1225" t="str">
        <f>IF(H4=2,"Total des revenus d'intérêts et de placement reçus ou réalisés","Total interest and investment income received or earned")</f>
        <v>Total interest and investment income received or earned</v>
      </c>
      <c r="C57" s="1219">
        <v>4650</v>
      </c>
      <c r="D57" s="798" t="s">
        <v>584</v>
      </c>
      <c r="E57" s="1229">
        <v>4580</v>
      </c>
      <c r="F57" s="1243"/>
      <c r="G57" s="603">
        <f>'ACC9 (Pages 2-3) Revenues'!J48</f>
        <v>0</v>
      </c>
    </row>
    <row r="58" spans="2:14" s="16" customFormat="1" ht="36" customHeight="1" x14ac:dyDescent="0.2">
      <c r="B58" s="1225" t="str">
        <f>IF(H4=2,"Produit brut de la disposition de biens","Gross proceeds from disposition of assets")</f>
        <v>Gross proceeds from disposition of assets</v>
      </c>
      <c r="C58" s="1219"/>
      <c r="D58" s="798" t="s">
        <v>585</v>
      </c>
      <c r="E58" s="1229">
        <v>4590</v>
      </c>
      <c r="F58" s="1229"/>
      <c r="G58" s="1239"/>
    </row>
    <row r="59" spans="2:14" s="16" customFormat="1" ht="36" customHeight="1" x14ac:dyDescent="0.2">
      <c r="B59" s="1225" t="str">
        <f>IF(H4=2,"Produit net de la disposition de biens","Net proceeds from disposition of assets")</f>
        <v>Net proceeds from disposition of assets</v>
      </c>
      <c r="C59" s="1219"/>
      <c r="D59" s="798" t="s">
        <v>586</v>
      </c>
      <c r="E59" s="1229">
        <v>4600</v>
      </c>
      <c r="F59" s="1243"/>
      <c r="G59" s="603"/>
    </row>
    <row r="60" spans="2:14" s="16" customFormat="1" ht="36" customHeight="1" x14ac:dyDescent="0.2">
      <c r="B60" s="1225" t="str">
        <f>IF(H4=2,"Revenu brut provenant de location de terrains et d'immeubles","Gross income received from rental of land and/or buildings")</f>
        <v>Gross income received from rental of land and/or buildings</v>
      </c>
      <c r="C60" s="1219"/>
      <c r="D60" s="798" t="s">
        <v>587</v>
      </c>
      <c r="E60" s="1229">
        <v>4610</v>
      </c>
      <c r="F60" s="1243"/>
      <c r="G60" s="603"/>
    </row>
    <row r="61" spans="2:14" s="16" customFormat="1" ht="38.25" customHeight="1" x14ac:dyDescent="0.2">
      <c r="B61" s="1225" t="str">
        <f>IF(H4=2,"Cotisations de membres et droits d'adhésion pour lesquels l'organisme n'a pas délivré de reçus aux fins de l'impôt","Total non tax-receipted revenues received for memberships, dues and association fees")</f>
        <v>Total non tax-receipted revenues received for memberships, dues and association fees</v>
      </c>
      <c r="C61" s="1219"/>
      <c r="D61" s="798" t="s">
        <v>588</v>
      </c>
      <c r="E61" s="1229">
        <v>4620</v>
      </c>
      <c r="F61" s="1243"/>
      <c r="G61" s="603"/>
    </row>
    <row r="62" spans="2:14" s="16" customFormat="1" ht="38.25" customHeight="1" x14ac:dyDescent="0.2">
      <c r="B62" s="1225" t="str">
        <f>IF(H4=2,"Total des montants des collectes de fonds pour lesquels l'organisme n'a pas délivré de reçus aux fins de l'impôt","Total non tax-receipted revenue from fundraising")</f>
        <v>Total non tax-receipted revenue from fundraising</v>
      </c>
      <c r="C62" s="1219" t="s">
        <v>589</v>
      </c>
      <c r="D62" s="798" t="s">
        <v>590</v>
      </c>
      <c r="E62" s="1241">
        <v>4630</v>
      </c>
      <c r="F62" s="1242"/>
      <c r="G62" s="603">
        <f>'ACC9 (Pages 2-3) Revenues'!$K$29+'ACC9 (Pages 2-3) Revenues'!$K$41-'Revenue Jrnl'!P516</f>
        <v>0</v>
      </c>
    </row>
    <row r="63" spans="2:14" s="16" customFormat="1" ht="38.25" customHeight="1" x14ac:dyDescent="0.2">
      <c r="B63" s="1225"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63" s="1219"/>
      <c r="D63" s="798" t="s">
        <v>591</v>
      </c>
      <c r="E63" s="1241">
        <v>4640</v>
      </c>
      <c r="F63" s="1242"/>
      <c r="G63" s="603"/>
    </row>
    <row r="64" spans="2:14" s="16" customFormat="1" ht="36" customHeight="1" x14ac:dyDescent="0.2">
      <c r="B64" s="1225" t="str">
        <f>IF(H4=2,"Tout autre revenu qui n'est pas compris dans les montants ci-dessus","Other revenue not already included in the amounts above")</f>
        <v>Other revenue not already included in the amounts above</v>
      </c>
      <c r="C64" s="1219" t="s">
        <v>592</v>
      </c>
      <c r="D64" s="798" t="s">
        <v>593</v>
      </c>
      <c r="E64" s="1241">
        <v>4650</v>
      </c>
      <c r="F64" s="1242"/>
      <c r="G64" s="603">
        <f>'ACC9 (Pages 2-3) Revenues'!$J$44+'ACC9 (Pages 2-3) Revenues'!$J$45+'ACC9 (Pages 2-3) Revenues'!$J$46+'ACC9 (Pages 2-3) Revenues'!$J$47+'ACC9 (Pages 2-3) Revenues'!$J$49+'ACC9 (Pages 2-3) Revenues'!$J$50+'ACC9 (Pages 2-3) Revenues'!$J$51+'ACC9 (Pages 2-3) Revenues'!$J$52</f>
        <v>0</v>
      </c>
    </row>
    <row r="65" spans="2:19" s="16" customFormat="1" ht="36" customHeight="1" x14ac:dyDescent="0.2">
      <c r="B65" s="1232" t="str">
        <f>IF(H4=2,"Total des revenus","Total Revenue")</f>
        <v>Total Revenue</v>
      </c>
      <c r="C65" s="1233" t="s">
        <v>594</v>
      </c>
      <c r="D65" s="1246" t="s">
        <v>595</v>
      </c>
      <c r="E65" s="1235">
        <v>4700</v>
      </c>
      <c r="F65" s="1247"/>
      <c r="G65" s="1248">
        <f>G50+G51+G52+G53+G54+G55+G56+G57+G59+G60+G61+G62+G63+G64</f>
        <v>0</v>
      </c>
      <c r="I65" s="1811" t="str">
        <f>IF(H4=2,"← Devrait correspondre de près aux revenus totaux","← Should closely match total revenues")</f>
        <v>← Should closely match total revenues</v>
      </c>
      <c r="J65" s="1811"/>
      <c r="K65" s="1811"/>
      <c r="L65" s="1811"/>
      <c r="M65" s="1811"/>
      <c r="N65" s="1811"/>
    </row>
    <row r="66" spans="2:19" s="1" customFormat="1" ht="36" customHeight="1" x14ac:dyDescent="0.2">
      <c r="B66" s="1249" t="str">
        <f>IF(H4=2,"Dépenses","Expenditures")</f>
        <v>Expenditures</v>
      </c>
      <c r="C66" s="1250"/>
      <c r="D66" s="1250"/>
      <c r="E66" s="1250"/>
      <c r="F66" s="1250"/>
      <c r="G66" s="1251"/>
    </row>
    <row r="67" spans="2:19" s="1" customFormat="1" ht="36" customHeight="1" x14ac:dyDescent="0.2">
      <c r="B67" s="1225" t="str">
        <f>IF(H4=2,"Publicité et promotion","Advertising and Promotion")</f>
        <v>Advertising and Promotion</v>
      </c>
      <c r="C67" s="1231">
        <v>5080</v>
      </c>
      <c r="D67" s="1252" t="s">
        <v>596</v>
      </c>
      <c r="E67" s="1238">
        <v>4800</v>
      </c>
      <c r="F67" s="1253"/>
      <c r="G67" s="603">
        <f>'ACC9 (Pages 4-5) Expenses'!J17</f>
        <v>0</v>
      </c>
    </row>
    <row r="68" spans="2:19" s="1" customFormat="1" ht="36" customHeight="1" x14ac:dyDescent="0.2">
      <c r="B68" s="1225" t="str">
        <f>IF(H4=2,"Total des dépenses pour les frais de déplacement et d'utilisation de véhicules","Travel and Vehicle expenses")</f>
        <v>Travel and Vehicle expenses</v>
      </c>
      <c r="C68" s="1219">
        <v>5810</v>
      </c>
      <c r="D68" s="1252" t="s">
        <v>597</v>
      </c>
      <c r="E68" s="1254">
        <v>4810</v>
      </c>
      <c r="F68" s="1255"/>
      <c r="G68" s="603">
        <f>'ACC9 (Pages 4-5) Expenses'!J78</f>
        <v>0</v>
      </c>
    </row>
    <row r="69" spans="2:19" s="16" customFormat="1" ht="36" customHeight="1" x14ac:dyDescent="0.2">
      <c r="B69" s="1225" t="str">
        <f>IF(H4=2,"Intérêts et frais bancaires","Interest and Bank Charges")</f>
        <v>Interest and Bank Charges</v>
      </c>
      <c r="C69" s="1231">
        <v>5110</v>
      </c>
      <c r="D69" s="1252" t="s">
        <v>598</v>
      </c>
      <c r="E69" s="1238">
        <v>4820</v>
      </c>
      <c r="F69" s="1253"/>
      <c r="G69" s="603">
        <f>'ACC9 (Pages 4-5) Expenses'!J20</f>
        <v>0</v>
      </c>
    </row>
    <row r="70" spans="2:19" s="1" customFormat="1" ht="36" customHeight="1" x14ac:dyDescent="0.2">
      <c r="B70" s="1225" t="str">
        <f>IF(H4=2,"Permis et droits d'adhésion","Licenses, Memberships and Dues")</f>
        <v>Licenses, Memberships and Dues</v>
      </c>
      <c r="C70" s="1231" t="s">
        <v>599</v>
      </c>
      <c r="D70" s="1216" t="s">
        <v>600</v>
      </c>
      <c r="E70" s="1238">
        <v>4830</v>
      </c>
      <c r="F70" s="1253"/>
      <c r="G70" s="603">
        <f>'ACC9 (Pages 4-5) Expenses'!J18+'ACC9 (Pages 4-5) Expenses'!J19</f>
        <v>0</v>
      </c>
    </row>
    <row r="71" spans="2:19" s="1" customFormat="1" ht="36" customHeight="1" x14ac:dyDescent="0.2">
      <c r="B71" s="1225" t="str">
        <f>IF(H4=2,"Fournitures et frais de bureau","Office Supplies and Expenses")</f>
        <v>Office Supplies and Expenses</v>
      </c>
      <c r="C71" s="1231" t="s">
        <v>601</v>
      </c>
      <c r="D71" s="798" t="s">
        <v>602</v>
      </c>
      <c r="E71" s="1238">
        <v>4840</v>
      </c>
      <c r="F71" s="1253"/>
      <c r="G71" s="603">
        <f>'ACC9 (Pages 4-5) Expenses'!J10+'ACC9 (Pages 4-5) Expenses'!J11+'ACC9 (Pages 4-5) Expenses'!J16</f>
        <v>0</v>
      </c>
      <c r="S71" s="250"/>
    </row>
    <row r="72" spans="2:19" s="1" customFormat="1" ht="36" customHeight="1" x14ac:dyDescent="0.2">
      <c r="B72" s="1225" t="str">
        <f>IF(H4=2,"Coûts d'occupation","Occupancy Costs")</f>
        <v>Occupancy Costs</v>
      </c>
      <c r="C72" s="1231" t="s">
        <v>603</v>
      </c>
      <c r="D72" s="1216" t="s">
        <v>604</v>
      </c>
      <c r="E72" s="1238">
        <v>4850</v>
      </c>
      <c r="F72" s="1253"/>
      <c r="G72" s="603">
        <f>'ACC9 (Pages 4-5) Expenses'!J12+'ACC9 (Pages 4-5) Expenses'!J13+'ACC9 (Pages 4-5) Expenses'!J14</f>
        <v>0</v>
      </c>
    </row>
    <row r="73" spans="2:19" s="1" customFormat="1" ht="36" customHeight="1" x14ac:dyDescent="0.2">
      <c r="B73" s="1225" t="str">
        <f>IF(H4=2,"Total des dépenses pour des honoraires de professionnels et de consultants","Professional And Consulting Fees")</f>
        <v>Professional And Consulting Fees</v>
      </c>
      <c r="C73" s="1219">
        <v>5120</v>
      </c>
      <c r="D73" s="1216" t="s">
        <v>605</v>
      </c>
      <c r="E73" s="1254">
        <v>4860</v>
      </c>
      <c r="F73" s="1255"/>
      <c r="G73" s="603">
        <f>'ACC9 (Pages 4-5) Expenses'!J21</f>
        <v>0</v>
      </c>
    </row>
    <row r="74" spans="2:19" s="16" customFormat="1" ht="36" customHeight="1" x14ac:dyDescent="0.2">
      <c r="B74" s="1225" t="str">
        <f>IF(H4=2,"Formation du personnel et des bénévoles","Education and Training for Staff and Volunteers")</f>
        <v>Education and Training for Staff and Volunteers</v>
      </c>
      <c r="C74" s="1231">
        <v>5060</v>
      </c>
      <c r="D74" s="1216" t="s">
        <v>606</v>
      </c>
      <c r="E74" s="1238">
        <v>4870</v>
      </c>
      <c r="F74" s="1253"/>
      <c r="G74" s="603">
        <f>'ACC9 (Pages 4-5) Expenses'!J15</f>
        <v>0</v>
      </c>
    </row>
    <row r="75" spans="2:19" s="1" customFormat="1" ht="36" customHeight="1" x14ac:dyDescent="0.2">
      <c r="B75" s="1225" t="str">
        <f>IF(H4=2,"Total des dépenses engagées pour rémunérer les employés","Total expenditure on all compensation")</f>
        <v>Total expenditure on all compensation</v>
      </c>
      <c r="C75" s="1231">
        <v>5130</v>
      </c>
      <c r="D75" s="1216" t="s">
        <v>607</v>
      </c>
      <c r="E75" s="1238">
        <v>4880</v>
      </c>
      <c r="F75" s="1253"/>
      <c r="G75" s="603">
        <f>'ACC9 (Pages 4-5) Expenses'!J22</f>
        <v>0</v>
      </c>
    </row>
    <row r="76" spans="2:19" s="1" customFormat="1" ht="38.25" customHeight="1" x14ac:dyDescent="0.2">
      <c r="B76" s="1225" t="str">
        <f>IF(H4=2,"Juste valeur marchande de tous les dons de biens utilisés dans le cadre des activités de bienfaisance","Fair market value of all donated goods used in charitable activities")</f>
        <v>Fair market value of all donated goods used in charitable activities</v>
      </c>
      <c r="C76" s="1231"/>
      <c r="D76" s="798" t="s">
        <v>608</v>
      </c>
      <c r="E76" s="1238">
        <v>4890</v>
      </c>
      <c r="F76" s="1253"/>
      <c r="G76" s="603"/>
    </row>
    <row r="77" spans="2:19" s="1" customFormat="1" ht="36" customHeight="1" x14ac:dyDescent="0.2">
      <c r="B77" s="1225" t="str">
        <f>IF(H4=2,"Fournitures et biens achetés","Purchased supplies and assets")</f>
        <v>Purchased supplies and assets</v>
      </c>
      <c r="C77" s="1219"/>
      <c r="D77" s="1216" t="s">
        <v>609</v>
      </c>
      <c r="E77" s="1238">
        <v>4891</v>
      </c>
      <c r="F77" s="1253"/>
      <c r="G77" s="603"/>
    </row>
    <row r="78" spans="2:19" s="1" customFormat="1" ht="36" customHeight="1" x14ac:dyDescent="0.2">
      <c r="B78" s="1225" t="str">
        <f>IF(H4=2,"Amortissement des immobilisations","Amortization of Capitalized Assets")</f>
        <v>Amortization of Capitalized Assets</v>
      </c>
      <c r="C78" s="1231"/>
      <c r="D78" s="1216" t="s">
        <v>610</v>
      </c>
      <c r="E78" s="1238">
        <v>4900</v>
      </c>
      <c r="F78" s="1253"/>
      <c r="G78" s="603"/>
    </row>
    <row r="79" spans="2:19" s="1" customFormat="1" ht="38.25" customHeight="1" x14ac:dyDescent="0.2">
      <c r="B79" s="1225" t="str">
        <f>IF(H4=2,"Subventions de recherche et bourses versées dans le cadre des programmes de bienfaisance","Research Grant and Scholarships as Part of Charitable Program")</f>
        <v>Research Grant and Scholarships as Part of Charitable Program</v>
      </c>
      <c r="C79" s="1219">
        <v>5430</v>
      </c>
      <c r="D79" s="798" t="s">
        <v>611</v>
      </c>
      <c r="E79" s="1229">
        <v>4910</v>
      </c>
      <c r="F79" s="1243"/>
      <c r="G79" s="603">
        <f>'ACC9 (Pages 4-5) Expenses'!J44</f>
        <v>0</v>
      </c>
    </row>
    <row r="80" spans="2:19" s="16" customFormat="1" ht="37.5" customHeight="1" x14ac:dyDescent="0.2">
      <c r="B80" s="1225"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80" s="1256" t="s">
        <v>612</v>
      </c>
      <c r="D80" s="798" t="s">
        <v>613</v>
      </c>
      <c r="E80" s="1257">
        <v>4920</v>
      </c>
      <c r="F80" s="1258"/>
      <c r="G80" s="603">
        <f>'ACC9 (Pages 4-5) Expenses'!J24+'ACC9 (Pages 4-5) Expenses'!J25+'ACC9 (Pages 4-5) Expenses'!J26+'ACC9 (Pages 4-5) Expenses'!J27+'ACC9 (Pages 4-5) Expenses'!J28+'ACC9 (Pages 4-5) Expenses'!K51-'ACC9 (Pages 4-5) Expenses'!J44+'ACC9 (Pages 4-5) Expenses'!K63+'ACC9 (Pages 4-5) Expenses'!K75+'ACC9 (Pages 4-5) Expenses'!K86-'ACC9 (Pages 4-5) Expenses'!J78</f>
        <v>0</v>
      </c>
    </row>
    <row r="81" spans="2:14" s="16" customFormat="1" ht="36" customHeight="1" x14ac:dyDescent="0.2">
      <c r="B81" s="1259" t="str">
        <f>IF(H4=2,"Dépenses totales (à l’exception des dons faits aux donataires reconnus)","Total expenditures before gifts to qualified donees")</f>
        <v>Total expenditures before gifts to qualified donees</v>
      </c>
      <c r="C81" s="1260" t="s">
        <v>614</v>
      </c>
      <c r="D81" s="1246" t="s">
        <v>615</v>
      </c>
      <c r="E81" s="1261">
        <v>4950</v>
      </c>
      <c r="F81" s="1262"/>
      <c r="G81" s="1237">
        <f>SUM(G67:G80)</f>
        <v>0</v>
      </c>
    </row>
    <row r="82" spans="2:14" s="16" customFormat="1" ht="39" customHeight="1" x14ac:dyDescent="0.2">
      <c r="B82" s="1225" t="str">
        <f>IF(H4=2,"Total des dépenses liées aux activités de bienfaisance incluses dans le montant de la ligne 4950","Total expenditures on charitable activities included in Line 4950")</f>
        <v>Total expenditures on charitable activities included in Line 4950</v>
      </c>
      <c r="C82" s="1219" t="s">
        <v>616</v>
      </c>
      <c r="D82" s="1244" t="s">
        <v>617</v>
      </c>
      <c r="E82" s="1241">
        <v>5000</v>
      </c>
      <c r="F82" s="603">
        <f>'ACC9 (Pages 4-5) Expenses'!J12+'ACC9 (Pages 4-5) Expenses'!J13+'ACC9 (Pages 4-5) Expenses'!J14+'ACC9 (Pages 4-5) Expenses'!J17+'ACC9 (Pages 4-5) Expenses'!J18+'ACC9 (Pages 4-5) Expenses'!J19+'ACC9 (Pages 4-5) Expenses'!J24+'ACC9 (Pages 4-5) Expenses'!J25+'ACC9 (Pages 4-5) Expenses'!J26+'ACC9 (Pages 4-5) Expenses'!J27+'ACC9 (Pages 4-5) Expenses'!J28+'ACC9 (Pages 4-5) Expenses'!K51+'ACC9 (Pages 4-5) Expenses'!K86-'ACC9 (Pages 4-5) Expenses'!J78</f>
        <v>0</v>
      </c>
      <c r="G82" s="1239"/>
      <c r="M82" s="1263"/>
    </row>
    <row r="83" spans="2:14" s="16" customFormat="1" ht="38.25" customHeight="1" x14ac:dyDescent="0.2">
      <c r="B83" s="1225" t="str">
        <f>IF(H4=2,"Total des dépenses liées à la gestion et à l'administration incluses dans le montant de la ligne 4950","Total expenditures on management and administration included in Line 4950")</f>
        <v>Total expenditures on management and administration included in Line 4950</v>
      </c>
      <c r="C83" s="1219" t="s">
        <v>568</v>
      </c>
      <c r="D83" s="1244" t="s">
        <v>618</v>
      </c>
      <c r="E83" s="1241">
        <v>5010</v>
      </c>
      <c r="F83" s="603">
        <f>'ACC9 (Pages 4-5) Expenses'!J10+'ACC9 (Pages 4-5) Expenses'!J11+'ACC9 (Pages 4-5) Expenses'!J15+'ACC9 (Pages 4-5) Expenses'!J16+'ACC9 (Pages 4-5) Expenses'!J20+'ACC9 (Pages 4-5) Expenses'!J21+'ACC9 (Pages 4-5) Expenses'!J22+'ACC9 (Pages 4-5) Expenses'!J78</f>
        <v>0</v>
      </c>
      <c r="G83" s="1239"/>
    </row>
    <row r="84" spans="2:14" s="16" customFormat="1" ht="38.25" customHeight="1" x14ac:dyDescent="0.2">
      <c r="B84" s="1225" t="str">
        <f>IF(H4=2,"Total des dépenses liées aux activités de collecte de fonds incluses dans le montant de la ligne 4950","Total expenditures on Fundraising included in Line 4950")</f>
        <v>Total expenditures on Fundraising included in Line 4950</v>
      </c>
      <c r="C84" s="1219" t="s">
        <v>619</v>
      </c>
      <c r="D84" s="1244" t="s">
        <v>620</v>
      </c>
      <c r="E84" s="1229">
        <v>5020</v>
      </c>
      <c r="F84" s="603">
        <f>'ACC9 (Pages 4-5) Expenses'!K63+'ACC9 (Pages 4-5) Expenses'!K75</f>
        <v>0</v>
      </c>
      <c r="G84" s="1239"/>
      <c r="L84" s="1263"/>
    </row>
    <row r="85" spans="2:14" s="16" customFormat="1" ht="38.25" customHeight="1" x14ac:dyDescent="0.2">
      <c r="B85" s="1225" t="str">
        <f>IF(H4=2,"Total des dépenses liées aux activités politiques, à l'intérieur ou à l'extérieur 5030 du Canada incluses dans le montant de la ligne 4950","Total expenditures on Political activity included in line 4950")</f>
        <v>Total expenditures on Political activity included in line 4950</v>
      </c>
      <c r="C85" s="1219"/>
      <c r="D85" s="798" t="s">
        <v>621</v>
      </c>
      <c r="E85" s="1229">
        <v>5030</v>
      </c>
      <c r="F85" s="1238"/>
      <c r="G85" s="1239"/>
    </row>
    <row r="86" spans="2:14" s="16" customFormat="1" ht="36" customHeight="1" x14ac:dyDescent="0.2">
      <c r="B86" s="1225" t="str">
        <f>IF(H4=2,"Total des autres dépenses incluses dans le montant de la ligne 4950","Total other expenditures Included in Line 4950")</f>
        <v>Total other expenditures Included in Line 4950</v>
      </c>
      <c r="C86" s="1219"/>
      <c r="D86" s="798" t="s">
        <v>622</v>
      </c>
      <c r="E86" s="1229">
        <v>5040</v>
      </c>
      <c r="F86" s="1238"/>
      <c r="G86" s="1239"/>
    </row>
    <row r="87" spans="2:14" s="16" customFormat="1" ht="36" customHeight="1" x14ac:dyDescent="0.2">
      <c r="B87" s="1225" t="str">
        <f>IF(H4=2,"Total des dons faits à tous les donataires reconnus","Total amount of gifts made to all qualified donees")</f>
        <v>Total amount of gifts made to all qualified donees</v>
      </c>
      <c r="C87" s="1219">
        <v>5140</v>
      </c>
      <c r="D87" s="798" t="s">
        <v>623</v>
      </c>
      <c r="E87" s="1241">
        <v>5050</v>
      </c>
      <c r="F87" s="1242"/>
      <c r="G87" s="603">
        <f>'ACC9 (Pages 4-5) Expenses'!J23</f>
        <v>0</v>
      </c>
      <c r="I87" s="1811" t="str">
        <f>IF(H4=2,"← Si un montant apparait ici, le formulaire T1236 doit être complété","← If an amount appears, the form T1236 must be filled out")</f>
        <v>← If an amount appears, the form T1236 must be filled out</v>
      </c>
      <c r="J87" s="1811"/>
      <c r="K87" s="1811"/>
      <c r="L87" s="1811"/>
      <c r="M87" s="1811"/>
      <c r="N87" s="1811"/>
    </row>
    <row r="88" spans="2:14" s="16" customFormat="1" ht="36" customHeight="1" x14ac:dyDescent="0.2">
      <c r="B88" s="1232" t="str">
        <f>IF(H4=2,"Total des dépenses","Total Expenditures")</f>
        <v>Total Expenditures</v>
      </c>
      <c r="C88" s="1233" t="s">
        <v>624</v>
      </c>
      <c r="D88" s="1246" t="s">
        <v>625</v>
      </c>
      <c r="E88" s="1235">
        <v>5100</v>
      </c>
      <c r="F88" s="1247"/>
      <c r="G88" s="1237">
        <f>G81+G87</f>
        <v>0</v>
      </c>
      <c r="I88" s="1811" t="str">
        <f>IF(H4=2,"← Devrait correspondre de près aux dépenses totales","← Should closely match total expenditures")</f>
        <v>← Should closely match total expenditures</v>
      </c>
      <c r="J88" s="1811"/>
      <c r="K88" s="1811"/>
      <c r="L88" s="1811"/>
      <c r="M88" s="1811"/>
      <c r="N88" s="1811"/>
    </row>
    <row r="89" spans="2:14" s="1" customFormat="1" ht="20.100000000000001" customHeight="1" x14ac:dyDescent="0.2">
      <c r="B89"/>
      <c r="C89" s="1207"/>
      <c r="D89" s="431"/>
      <c r="E89" s="1207"/>
      <c r="F89" s="1207"/>
      <c r="G89" s="1208"/>
    </row>
    <row r="90" spans="2:14" x14ac:dyDescent="0.2">
      <c r="B90" s="1"/>
      <c r="C90" s="1"/>
      <c r="D90" s="1"/>
      <c r="E90" s="1"/>
      <c r="F90" s="1"/>
      <c r="G90" s="1"/>
    </row>
    <row r="93" spans="2:14" x14ac:dyDescent="0.2">
      <c r="B93" s="568"/>
    </row>
    <row r="129" customFormat="1" x14ac:dyDescent="0.2"/>
    <row r="130" customFormat="1" x14ac:dyDescent="0.2"/>
    <row r="131" customFormat="1" x14ac:dyDescent="0.2"/>
    <row r="132" customFormat="1" x14ac:dyDescent="0.2"/>
    <row r="133" customFormat="1" x14ac:dyDescent="0.2"/>
  </sheetData>
  <sheetProtection algorithmName="SHA-512" hashValue="SpywjHXcCf9BUWYwXYKNW74MA+MnzZdQ/IqHiYYeA6su3fYtYQXjAiZWdhjQlrYLBZL3iPuTkqXnpHu9llgnxA==" saltValue="nezYpdDjYwYeC8PUocfyPw==" spinCount="100000" sheet="1" objects="1" scenarios="1" selectLockedCells="1" selectUnlockedCells="1"/>
  <mergeCells count="18">
    <mergeCell ref="I65:N65"/>
    <mergeCell ref="I87:N87"/>
    <mergeCell ref="I88:N88"/>
    <mergeCell ref="C31:G31"/>
    <mergeCell ref="B32:G32"/>
    <mergeCell ref="B43:G43"/>
    <mergeCell ref="B49:G49"/>
    <mergeCell ref="I56:N56"/>
    <mergeCell ref="B10:G10"/>
    <mergeCell ref="B12:G12"/>
    <mergeCell ref="I21:N21"/>
    <mergeCell ref="B22:G22"/>
    <mergeCell ref="I30:N30"/>
    <mergeCell ref="B1:G1"/>
    <mergeCell ref="B2:G2"/>
    <mergeCell ref="B3:G3"/>
    <mergeCell ref="C7:G7"/>
    <mergeCell ref="B8:G8"/>
  </mergeCells>
  <pageMargins left="0.62986111111111098" right="0.196527777777778" top="0.47222222222222199" bottom="0.43263888888888902" header="0.511811023622047" footer="0.23611111111111099"/>
  <pageSetup fitToHeight="0" orientation="portrait" horizontalDpi="300" verticalDpi="300"/>
  <headerFooter>
    <oddFooter>&amp;L&amp;D&amp;R&amp;P/&amp;N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70C0"/>
    <pageSetUpPr fitToPage="1"/>
  </sheetPr>
  <dimension ref="B1:U62"/>
  <sheetViews>
    <sheetView showGridLines="0" showRowColHeaders="0" showZeros="0" zoomScale="85" zoomScaleNormal="85" workbookViewId="0">
      <pane ySplit="6" topLeftCell="A7" activePane="bottomLeft" state="frozen"/>
      <selection pane="bottomLeft" activeCell="H1" sqref="H1"/>
    </sheetView>
  </sheetViews>
  <sheetFormatPr defaultColWidth="11.42578125" defaultRowHeight="12.75" x14ac:dyDescent="0.2"/>
  <cols>
    <col min="1" max="1" width="9.140625" customWidth="1"/>
    <col min="2" max="2" width="88.42578125" customWidth="1"/>
    <col min="3" max="3" width="26.28515625" style="1207" customWidth="1"/>
    <col min="4" max="4" width="4.85546875" style="1207" customWidth="1"/>
    <col min="5" max="5" width="11.28515625" style="1207" customWidth="1"/>
    <col min="6" max="6" width="21.28515625" style="1208" customWidth="1"/>
    <col min="7" max="7" width="1.42578125" customWidth="1"/>
    <col min="8" max="12" width="9.140625" customWidth="1"/>
    <col min="13" max="13" width="23.28515625" customWidth="1"/>
    <col min="14" max="17" width="9.140625" hidden="1" customWidth="1"/>
    <col min="18" max="18" width="12.140625" customWidth="1"/>
    <col min="19" max="21" width="9.140625" customWidth="1"/>
    <col min="22" max="22" width="9.7109375" customWidth="1"/>
    <col min="23" max="32" width="9.140625" customWidth="1"/>
    <col min="33" max="33" width="15.7109375" customWidth="1"/>
    <col min="34" max="258" width="9.140625" customWidth="1"/>
  </cols>
  <sheetData>
    <row r="1" spans="2:21" ht="33.75" customHeight="1" x14ac:dyDescent="0.4">
      <c r="B1" s="1452" t="str">
        <f>IF(G4=2,"Rapport TP-985.22-V - Feuille de travail","TP-985.22-V Report - Worksheet")</f>
        <v>TP-985.22-V Report - Worksheet</v>
      </c>
      <c r="C1" s="1452"/>
      <c r="D1" s="1452"/>
      <c r="E1" s="1452"/>
      <c r="F1" s="1452"/>
    </row>
    <row r="2" spans="2:21" ht="33.75" customHeight="1" x14ac:dyDescent="0.2">
      <c r="B2" s="1569">
        <f>'Data Set up'!B2:I2</f>
        <v>0</v>
      </c>
      <c r="C2" s="1569"/>
      <c r="D2" s="1569"/>
      <c r="E2" s="1569"/>
      <c r="F2" s="1569"/>
    </row>
    <row r="3" spans="2:21" ht="41.25" customHeight="1" x14ac:dyDescent="0.2">
      <c r="B3" s="1808" t="str">
        <f>'Revenue Jrnl'!B3:P3</f>
        <v>For the period from 1 september 2023 to 31 August 2024</v>
      </c>
      <c r="C3" s="1808"/>
      <c r="D3" s="1808"/>
      <c r="E3" s="1808"/>
      <c r="F3" s="1808"/>
      <c r="O3" s="145" t="s">
        <v>626</v>
      </c>
    </row>
    <row r="4" spans="2:21" ht="4.5" customHeight="1" x14ac:dyDescent="0.2">
      <c r="B4" s="145"/>
      <c r="C4" s="145"/>
      <c r="D4" s="145"/>
      <c r="E4" s="206"/>
      <c r="F4" s="145"/>
      <c r="G4" s="855">
        <f>'Data Set up'!K10</f>
        <v>1</v>
      </c>
      <c r="O4" s="145" t="s">
        <v>627</v>
      </c>
    </row>
    <row r="5" spans="2:21" s="1" customFormat="1" ht="8.25" customHeight="1" x14ac:dyDescent="0.2">
      <c r="C5" s="205"/>
      <c r="D5" s="205"/>
      <c r="E5" s="205"/>
      <c r="F5" s="250"/>
      <c r="O5" s="16"/>
    </row>
    <row r="6" spans="2:21" s="1" customFormat="1" ht="28.5" customHeight="1" x14ac:dyDescent="0.2">
      <c r="B6" s="1264" t="s">
        <v>375</v>
      </c>
      <c r="C6" s="1210" t="str">
        <f>IF(G4=2,"ACC-9 
# Ligne", "ACC-9 
Line #")</f>
        <v>ACC-9 
Line #</v>
      </c>
      <c r="D6" s="1210"/>
      <c r="E6" s="1210" t="str">
        <f>IF(G4=2,"TP985
# ligne","TP985
Line #")</f>
        <v>TP985
Line #</v>
      </c>
      <c r="F6" s="1211" t="str">
        <f>IF(G4=2,"Montant","Amount")</f>
        <v>Amount</v>
      </c>
      <c r="O6" s="145" t="s">
        <v>628</v>
      </c>
      <c r="R6" s="1212"/>
      <c r="S6" s="1212"/>
      <c r="T6" s="1212"/>
      <c r="U6" s="1212"/>
    </row>
    <row r="7" spans="2:21" s="1" customFormat="1" ht="36" customHeight="1" x14ac:dyDescent="0.2">
      <c r="B7" s="1813" t="str">
        <f>IF(G4=2,"Dons et autres revenus","Gifts and other revenue")</f>
        <v>Gifts and other revenue</v>
      </c>
      <c r="C7" s="1813"/>
      <c r="D7" s="1813"/>
      <c r="E7" s="1813"/>
      <c r="F7" s="1813"/>
      <c r="O7" s="145" t="s">
        <v>629</v>
      </c>
    </row>
    <row r="8" spans="2:21" s="1" customFormat="1" ht="36" customHeight="1" x14ac:dyDescent="0.2">
      <c r="B8" s="1265" t="str">
        <f>IF(G4=2,"Total des montants admissibles des dons pour lesquels l’organisme a délivré des reçus officiels","Total eligible amount of gifts for which the organization issued official receipts")</f>
        <v>Total eligible amount of gifts for which the organization issued official receipts</v>
      </c>
      <c r="C8" s="1219" t="s">
        <v>555</v>
      </c>
      <c r="D8" s="798" t="s">
        <v>175</v>
      </c>
      <c r="E8" s="1254">
        <v>12</v>
      </c>
      <c r="F8" s="1240">
        <f>'T3010 Worksheet'!G50</f>
        <v>0</v>
      </c>
      <c r="H8" s="561"/>
      <c r="I8" s="561"/>
      <c r="J8" s="561"/>
      <c r="K8" s="561"/>
      <c r="L8" s="561"/>
      <c r="M8" s="561"/>
      <c r="O8" s="145"/>
    </row>
    <row r="9" spans="2:21" s="1" customFormat="1" ht="36" customHeight="1" x14ac:dyDescent="0.2">
      <c r="B9" s="1265" t="str">
        <f>IF(G4=2,"Total des dons reçus d’autres organismes ayant le même statut fiscal","Total gifts received from other organizations with the same tax status")</f>
        <v>Total gifts received from other organizations with the same tax status</v>
      </c>
      <c r="C9" s="1219" t="s">
        <v>556</v>
      </c>
      <c r="D9" s="798" t="s">
        <v>176</v>
      </c>
      <c r="E9" s="1254">
        <v>13</v>
      </c>
      <c r="F9" s="1240">
        <f>'T3010 Worksheet'!G51</f>
        <v>0</v>
      </c>
      <c r="H9" s="1266"/>
      <c r="I9" s="1266"/>
      <c r="J9" s="1266"/>
      <c r="K9" s="1266"/>
      <c r="L9" s="1266"/>
      <c r="M9" s="1266"/>
      <c r="O9" s="145"/>
    </row>
    <row r="10" spans="2:21" s="1" customFormat="1" ht="36" customHeight="1" x14ac:dyDescent="0.2">
      <c r="B10" s="1267" t="str">
        <f>IF(G4=2,"Partie du montant de la ligne 13 qui constitue des dons déterminés","Portion of the amount from line 13 that constitutes specified gifts")</f>
        <v>Portion of the amount from line 13 that constitutes specified gifts</v>
      </c>
      <c r="C10" s="1219"/>
      <c r="D10" s="798" t="s">
        <v>401</v>
      </c>
      <c r="E10" s="1254">
        <v>13.1</v>
      </c>
      <c r="F10" s="1240"/>
      <c r="H10" s="1177"/>
      <c r="I10" s="1177"/>
      <c r="J10" s="1177"/>
      <c r="K10" s="1177"/>
      <c r="L10" s="1177"/>
      <c r="M10" s="1177"/>
      <c r="O10" s="145"/>
    </row>
    <row r="11" spans="2:21" s="1" customFormat="1" ht="36" customHeight="1" x14ac:dyDescent="0.2">
      <c r="B11" s="1265" t="str">
        <f>IF(G4=2,"Autres dons. N’incluez pas les dons provenant d’autres organismes (ligne 13) ni les revenus de sources gouvernementales (ligne 15).","Other gifts for which the organization did not issue official receipts")</f>
        <v>Other gifts for which the organization did not issue official receipts</v>
      </c>
      <c r="C11" s="1219" t="s">
        <v>557</v>
      </c>
      <c r="D11" s="798" t="s">
        <v>402</v>
      </c>
      <c r="E11" s="1254">
        <v>14</v>
      </c>
      <c r="F11" s="1240">
        <f>'T3010 Worksheet'!G52</f>
        <v>0</v>
      </c>
      <c r="H11" s="1177"/>
      <c r="I11" s="1177"/>
      <c r="J11" s="1177"/>
      <c r="K11" s="1177"/>
      <c r="L11" s="1177"/>
      <c r="M11" s="1177"/>
      <c r="O11" s="145"/>
    </row>
    <row r="12" spans="2:21" s="1" customFormat="1" ht="36" customHeight="1" x14ac:dyDescent="0.2">
      <c r="B12" s="1265" t="str">
        <f>IF(G4=2,"Revenus de sources gouvernementales","Revenue from government sources")</f>
        <v>Revenue from government sources</v>
      </c>
      <c r="C12" s="1219"/>
      <c r="D12" s="798" t="s">
        <v>405</v>
      </c>
      <c r="E12" s="781">
        <v>15</v>
      </c>
      <c r="F12" s="1240">
        <f>'T3010 Worksheet'!G16</f>
        <v>0</v>
      </c>
      <c r="H12" s="1177"/>
      <c r="I12" s="1177"/>
      <c r="J12" s="1177"/>
      <c r="K12" s="1177"/>
      <c r="L12" s="1177"/>
      <c r="M12" s="1177"/>
      <c r="O12" s="145"/>
    </row>
    <row r="13" spans="2:21" s="1" customFormat="1" ht="36" customHeight="1" x14ac:dyDescent="0.2">
      <c r="B13" s="1267" t="str">
        <f>IF(G4=2,"du gouvernement fédéral","the federal government")</f>
        <v>the federal government</v>
      </c>
      <c r="C13" s="1219" t="s">
        <v>578</v>
      </c>
      <c r="D13" s="798" t="s">
        <v>406</v>
      </c>
      <c r="E13" s="1254">
        <v>15.1</v>
      </c>
      <c r="F13" s="1240">
        <f>'T3010 Worksheet'!G53</f>
        <v>0</v>
      </c>
      <c r="H13" s="1177"/>
      <c r="I13" s="1177"/>
      <c r="J13" s="1177"/>
      <c r="K13" s="1177"/>
      <c r="L13" s="1177"/>
      <c r="M13" s="1177"/>
      <c r="O13" s="145"/>
    </row>
    <row r="14" spans="2:21" s="1" customFormat="1" ht="36" customHeight="1" x14ac:dyDescent="0.2">
      <c r="B14" s="1267" t="str">
        <f>IF(G4=2,"du gouvernement d’une province","a provincial government")</f>
        <v>a provincial government</v>
      </c>
      <c r="C14" s="1219" t="s">
        <v>579</v>
      </c>
      <c r="D14" s="798" t="s">
        <v>407</v>
      </c>
      <c r="E14" s="1229">
        <v>15.2</v>
      </c>
      <c r="F14" s="1240">
        <f>'T3010 Worksheet'!G54</f>
        <v>0</v>
      </c>
      <c r="I14" s="1268"/>
      <c r="J14" s="1268"/>
      <c r="K14" s="1268"/>
      <c r="L14" s="1268"/>
      <c r="M14" s="1268"/>
      <c r="O14" s="145"/>
    </row>
    <row r="15" spans="2:21" s="1" customFormat="1" ht="36" customHeight="1" x14ac:dyDescent="0.2">
      <c r="B15" s="1267" t="str">
        <f>IF(G4=2,"d’une administration municipale ou régionale","a municipal or regional administration")</f>
        <v>a municipal or regional administration</v>
      </c>
      <c r="C15" s="1219" t="s">
        <v>581</v>
      </c>
      <c r="D15" s="798" t="s">
        <v>408</v>
      </c>
      <c r="E15" s="1229">
        <v>15.3</v>
      </c>
      <c r="F15" s="1240">
        <f>'T3010 Worksheet'!G55</f>
        <v>0</v>
      </c>
      <c r="H15" s="1220"/>
      <c r="I15" s="1220"/>
      <c r="J15" s="1220"/>
      <c r="K15" s="1220"/>
      <c r="L15" s="1220"/>
      <c r="M15" s="1220"/>
      <c r="O15" s="145"/>
    </row>
    <row r="16" spans="2:21" s="1" customFormat="1" ht="36" customHeight="1" x14ac:dyDescent="0.2">
      <c r="B16" s="1265" t="str">
        <f>IF(G4=2,"Revenus de placement (intérêts et dividendes)","Investment income (interest and dividends)")</f>
        <v>Investment income (interest and dividends)</v>
      </c>
      <c r="C16" s="1219">
        <v>4650</v>
      </c>
      <c r="D16" s="798" t="s">
        <v>409</v>
      </c>
      <c r="E16" s="1229">
        <v>17</v>
      </c>
      <c r="F16" s="1240">
        <f>'T3010 Worksheet'!G57</f>
        <v>0</v>
      </c>
      <c r="H16" s="1220"/>
      <c r="I16" s="1220"/>
      <c r="J16" s="1220"/>
      <c r="K16" s="1220"/>
      <c r="L16" s="1220"/>
      <c r="M16" s="1220"/>
      <c r="O16" s="145"/>
    </row>
    <row r="17" spans="2:15" s="1" customFormat="1" ht="36" customHeight="1" x14ac:dyDescent="0.2">
      <c r="B17" s="1265" t="str">
        <f>IF(G4=2,"Revenus de location de terrains et d’immeubles","Rental income from land and buildings")</f>
        <v>Rental income from land and buildings</v>
      </c>
      <c r="C17" s="1219"/>
      <c r="D17" s="798" t="s">
        <v>410</v>
      </c>
      <c r="E17" s="1229">
        <v>18</v>
      </c>
      <c r="F17" s="1240"/>
      <c r="H17" s="1220"/>
      <c r="I17" s="1220"/>
      <c r="J17" s="1220"/>
      <c r="K17" s="1220"/>
      <c r="L17" s="1220"/>
      <c r="M17" s="1220"/>
      <c r="O17" s="145"/>
    </row>
    <row r="18" spans="2:15" s="1" customFormat="1" ht="36" customHeight="1" x14ac:dyDescent="0.2">
      <c r="B18" s="1265" t="str">
        <f>IF(G4=2,"Cotisations des membres et droits d’adhésion, sauf ceux déclarés à la ligne 12","Membership fees or dues for which the organization did not issue official receipts")</f>
        <v>Membership fees or dues for which the organization did not issue official receipts</v>
      </c>
      <c r="C18" s="1219"/>
      <c r="D18" s="798" t="s">
        <v>411</v>
      </c>
      <c r="E18" s="1229">
        <v>19</v>
      </c>
      <c r="F18" s="1240"/>
      <c r="H18" s="1220"/>
      <c r="I18" s="1220"/>
      <c r="J18" s="1220"/>
      <c r="K18" s="1220"/>
      <c r="L18" s="1220"/>
      <c r="M18" s="1220"/>
      <c r="O18" s="145"/>
    </row>
    <row r="19" spans="2:15" s="1" customFormat="1" ht="36" customHeight="1" x14ac:dyDescent="0.2">
      <c r="B19" s="1265" t="str">
        <f>IF(G4=2,"Revenus provenant d’activités de financement, sauf ceux déclarés aux lignes 12, 13 et 14","Revenue from fundraising activities for which the organization did not issue official receipts")</f>
        <v>Revenue from fundraising activities for which the organization did not issue official receipts</v>
      </c>
      <c r="C19" s="1219" t="s">
        <v>558</v>
      </c>
      <c r="D19" s="798" t="s">
        <v>412</v>
      </c>
      <c r="E19" s="1254">
        <v>20</v>
      </c>
      <c r="F19" s="1240">
        <f>'T3010 Worksheet'!G62</f>
        <v>0</v>
      </c>
      <c r="O19" s="145"/>
    </row>
    <row r="20" spans="2:15" s="1" customFormat="1" ht="36" customHeight="1" x14ac:dyDescent="0.2">
      <c r="B20" s="1265" t="str">
        <f>IF(G4=2,"Revenus provenant de la vente courante de produits et services","Income from sales of goods and services")</f>
        <v>Income from sales of goods and services</v>
      </c>
      <c r="C20" s="1219"/>
      <c r="D20" s="798" t="s">
        <v>560</v>
      </c>
      <c r="E20" s="1254">
        <v>21</v>
      </c>
      <c r="F20" s="1240"/>
      <c r="O20" s="145"/>
    </row>
    <row r="21" spans="2:15" s="1" customFormat="1" ht="36" customHeight="1" x14ac:dyDescent="0.2">
      <c r="B21" s="1265" t="str">
        <f>IF(G4=2,"Montant net des gains (ou des pertes) en capital","Net capital gain (or loss) from the disposition of property")</f>
        <v>Net capital gain (or loss) from the disposition of property</v>
      </c>
      <c r="C21" s="1219"/>
      <c r="D21" s="798" t="s">
        <v>562</v>
      </c>
      <c r="E21" s="1254">
        <v>22</v>
      </c>
      <c r="F21" s="1240"/>
      <c r="H21" s="16"/>
      <c r="I21" s="16"/>
      <c r="J21" s="16"/>
      <c r="K21" s="16"/>
      <c r="L21" s="16"/>
      <c r="M21" s="16"/>
      <c r="O21" s="145"/>
    </row>
    <row r="22" spans="2:15" s="1" customFormat="1" ht="36" customHeight="1" x14ac:dyDescent="0.2">
      <c r="B22" s="1265" t="str">
        <f>IF(G4=2,"Total des montants qui n’est pas compris dans les montants mentionnés ci-dessus","Other revenue")</f>
        <v>Other revenue</v>
      </c>
      <c r="C22" s="1219" t="s">
        <v>592</v>
      </c>
      <c r="D22" s="798" t="s">
        <v>565</v>
      </c>
      <c r="E22" s="1254">
        <v>23</v>
      </c>
      <c r="F22" s="1240">
        <f>'T3010 Worksheet'!G64</f>
        <v>0</v>
      </c>
      <c r="O22" s="145"/>
    </row>
    <row r="23" spans="2:15" s="1" customFormat="1" ht="36" customHeight="1" x14ac:dyDescent="0.2">
      <c r="B23" s="1232" t="str">
        <f>IF(G4=2,"Total des revenus","Total Revenue")</f>
        <v>Total Revenue</v>
      </c>
      <c r="C23" s="1260" t="s">
        <v>630</v>
      </c>
      <c r="D23" s="1246" t="s">
        <v>567</v>
      </c>
      <c r="E23" s="1235">
        <v>24</v>
      </c>
      <c r="F23" s="1237">
        <f>SUM(F8,F9,F11,F12,F16:F22)</f>
        <v>0</v>
      </c>
      <c r="H23" s="1811" t="str">
        <f>IF(G4=2,"← Cela devrait correspondre de près aux revenus totaux","← This should closely match total revenues")</f>
        <v>← This should closely match total revenues</v>
      </c>
      <c r="I23" s="1811"/>
      <c r="J23" s="1811"/>
      <c r="K23" s="1811"/>
      <c r="L23" s="1811"/>
      <c r="M23" s="1811"/>
      <c r="O23" s="145"/>
    </row>
    <row r="24" spans="2:15" s="1" customFormat="1" ht="36" customHeight="1" x14ac:dyDescent="0.2">
      <c r="B24" s="1813" t="str">
        <f>IF(G4=2,"Dépenses et dons à des donataires reconnus","Expenditures and gifts to qualified donees")</f>
        <v>Expenditures and gifts to qualified donees</v>
      </c>
      <c r="C24" s="1813"/>
      <c r="D24" s="1813"/>
      <c r="E24" s="1813"/>
      <c r="F24" s="1813"/>
      <c r="O24" s="145"/>
    </row>
    <row r="25" spans="2:15" s="1" customFormat="1" ht="36" customHeight="1" x14ac:dyDescent="0.2">
      <c r="B25" s="1269" t="str">
        <f>IF(G4=2,"Frais de publicité et de promotion","Advertising and promotional costs")</f>
        <v>Advertising and promotional costs</v>
      </c>
      <c r="C25" s="1231">
        <v>5080</v>
      </c>
      <c r="D25" s="798" t="s">
        <v>569</v>
      </c>
      <c r="E25" s="1238">
        <v>25</v>
      </c>
      <c r="F25" s="603">
        <f>'T3010 Worksheet'!G67</f>
        <v>0</v>
      </c>
      <c r="H25" s="16"/>
      <c r="I25" s="16"/>
      <c r="J25" s="16"/>
      <c r="K25" s="16"/>
      <c r="L25" s="16"/>
      <c r="M25" s="16"/>
      <c r="O25" s="145"/>
    </row>
    <row r="26" spans="2:15" s="1" customFormat="1" ht="36" customHeight="1" x14ac:dyDescent="0.2">
      <c r="B26" s="1265" t="str">
        <f>IF(G4=2,"Frais de déplacement et d’utilisation d’un véhicule","Travel and vehicle expenditures")</f>
        <v>Travel and vehicle expenditures</v>
      </c>
      <c r="C26" s="1219">
        <v>5810</v>
      </c>
      <c r="D26" s="798" t="s">
        <v>570</v>
      </c>
      <c r="E26" s="1254">
        <v>26</v>
      </c>
      <c r="F26" s="603">
        <f>'T3010 Worksheet'!G68</f>
        <v>0</v>
      </c>
      <c r="H26" s="16"/>
      <c r="I26" s="16"/>
      <c r="J26" s="16"/>
      <c r="K26" s="16"/>
      <c r="L26" s="16"/>
      <c r="M26" s="16"/>
      <c r="O26" s="145"/>
    </row>
    <row r="27" spans="2:15" s="1" customFormat="1" ht="36" customHeight="1" x14ac:dyDescent="0.2">
      <c r="B27" s="1265" t="str">
        <f>IF(G4=2,"Intérêts et autres frais financiers","Interest and other carrying charges")</f>
        <v>Interest and other carrying charges</v>
      </c>
      <c r="C27" s="1231">
        <v>5110</v>
      </c>
      <c r="D27" s="798" t="s">
        <v>572</v>
      </c>
      <c r="E27" s="1270">
        <v>27</v>
      </c>
      <c r="F27" s="603">
        <f>'T3010 Worksheet'!G69</f>
        <v>0</v>
      </c>
      <c r="H27" s="16"/>
      <c r="I27" s="16"/>
      <c r="J27" s="16"/>
      <c r="K27" s="16"/>
      <c r="L27" s="16"/>
      <c r="M27" s="16"/>
      <c r="O27" s="145"/>
    </row>
    <row r="28" spans="2:15" s="1" customFormat="1" ht="36" customHeight="1" x14ac:dyDescent="0.2">
      <c r="B28" s="1265" t="str">
        <f>IF(G4=2,"Frais de bureau et coût des fournitures","Office expenditures and supplies")</f>
        <v>Office expenditures and supplies</v>
      </c>
      <c r="C28" s="1231" t="s">
        <v>601</v>
      </c>
      <c r="D28" s="798" t="s">
        <v>580</v>
      </c>
      <c r="E28" s="1270">
        <v>28</v>
      </c>
      <c r="F28" s="603">
        <f>'T3010 Worksheet'!G71</f>
        <v>0</v>
      </c>
      <c r="H28" s="16"/>
      <c r="I28" s="16"/>
      <c r="J28" s="16"/>
      <c r="K28" s="16"/>
      <c r="L28" s="16"/>
      <c r="M28" s="16"/>
      <c r="O28" s="145"/>
    </row>
    <row r="29" spans="2:15" s="1" customFormat="1" ht="36" customHeight="1" x14ac:dyDescent="0.2">
      <c r="B29" s="1265" t="str">
        <f>IF(G4=2,"Coûts d'occupation","Occupancy Costs")</f>
        <v>Occupancy Costs</v>
      </c>
      <c r="C29" s="1231" t="s">
        <v>603</v>
      </c>
      <c r="D29" s="798" t="s">
        <v>582</v>
      </c>
      <c r="E29" s="1270">
        <v>29</v>
      </c>
      <c r="F29" s="603">
        <f>'T3010 Worksheet'!G72</f>
        <v>0</v>
      </c>
      <c r="H29" s="16"/>
      <c r="I29" s="16"/>
      <c r="J29" s="16"/>
      <c r="K29" s="16"/>
      <c r="L29" s="16"/>
      <c r="M29" s="16"/>
      <c r="O29" s="145"/>
    </row>
    <row r="30" spans="2:15" s="1" customFormat="1" ht="36" customHeight="1" x14ac:dyDescent="0.2">
      <c r="B30" s="1265" t="str">
        <f>IF(G4=2,"Total des dépenses de l’organisme de bienfaisance pour des honoraires de professionnels ou de consultants","Professional and consulting fees")</f>
        <v>Professional and consulting fees</v>
      </c>
      <c r="C30" s="1219">
        <v>5120</v>
      </c>
      <c r="D30" s="798" t="s">
        <v>583</v>
      </c>
      <c r="E30" s="1254">
        <v>30</v>
      </c>
      <c r="F30" s="603">
        <f>'T3010 Worksheet'!G73</f>
        <v>0</v>
      </c>
      <c r="H30" s="16"/>
      <c r="I30" s="16"/>
      <c r="J30" s="16"/>
      <c r="K30" s="16"/>
      <c r="L30" s="16"/>
      <c r="M30" s="16"/>
      <c r="O30" s="145"/>
    </row>
    <row r="31" spans="2:15" s="1" customFormat="1" ht="36" customHeight="1" x14ac:dyDescent="0.2">
      <c r="B31" s="1265" t="str">
        <f>IF(G4=2,"Frais de formation du personnel et des bénévoles","Training costs (personnel and volunteers)")</f>
        <v>Training costs (personnel and volunteers)</v>
      </c>
      <c r="C31" s="1231">
        <v>5060</v>
      </c>
      <c r="D31" s="798" t="s">
        <v>584</v>
      </c>
      <c r="E31" s="1270">
        <v>31</v>
      </c>
      <c r="F31" s="603">
        <f>'T3010 Worksheet'!G74</f>
        <v>0</v>
      </c>
      <c r="H31" s="16"/>
      <c r="I31" s="16"/>
      <c r="J31" s="16"/>
      <c r="K31" s="16"/>
      <c r="L31" s="16"/>
      <c r="M31" s="16"/>
      <c r="O31" s="145"/>
    </row>
    <row r="32" spans="2:15" s="1" customFormat="1" ht="36" customHeight="1" x14ac:dyDescent="0.2">
      <c r="B32" s="1265" t="str">
        <f>IF(G4=2,"Traitements, salaires, avantages et honoraires","Wages and salaries, benefits and fees")</f>
        <v>Wages and salaries, benefits and fees</v>
      </c>
      <c r="C32" s="1231">
        <v>5130</v>
      </c>
      <c r="D32" s="798" t="s">
        <v>585</v>
      </c>
      <c r="E32" s="1270">
        <v>32</v>
      </c>
      <c r="F32" s="603">
        <f>'T3010 Worksheet'!G75</f>
        <v>0</v>
      </c>
      <c r="H32" s="16"/>
      <c r="I32" s="16"/>
      <c r="J32" s="16"/>
      <c r="K32" s="16"/>
      <c r="L32" s="16"/>
      <c r="M32" s="16"/>
      <c r="O32" s="145"/>
    </row>
    <row r="33" spans="2:16" s="1" customFormat="1" ht="36" customHeight="1" x14ac:dyDescent="0.2">
      <c r="B33" s="1265" t="str">
        <f>IF(G4=2,"Fournitures et biens achetés ou reçus en donation, qui ont été utilisés au cours de l’exercice","Cost of supplies and property purchased")</f>
        <v>Cost of supplies and property purchased</v>
      </c>
      <c r="C33" s="1219"/>
      <c r="D33" s="798" t="s">
        <v>586</v>
      </c>
      <c r="E33" s="1270">
        <v>33</v>
      </c>
      <c r="F33" s="603"/>
      <c r="H33" s="16"/>
      <c r="I33" s="16"/>
      <c r="J33" s="16"/>
      <c r="K33" s="16"/>
      <c r="L33" s="16"/>
      <c r="M33" s="16"/>
      <c r="O33" s="145"/>
    </row>
    <row r="34" spans="2:16" s="1" customFormat="1" ht="36" customHeight="1" x14ac:dyDescent="0.2">
      <c r="B34" s="1265" t="str">
        <f>IF(G4=2,"Subventions de recherche et bourses versées dans le cadre d’activités liées aux objectifs de l’organisme","Research grants, bursaries and scholarships paid as part of the activities related to the organization’s objectives")</f>
        <v>Research grants, bursaries and scholarships paid as part of the activities related to the organization’s objectives</v>
      </c>
      <c r="C34" s="1219">
        <v>5430</v>
      </c>
      <c r="D34" s="798" t="s">
        <v>587</v>
      </c>
      <c r="E34" s="1229">
        <v>35</v>
      </c>
      <c r="F34" s="603">
        <f>'T3010 Worksheet'!G79</f>
        <v>0</v>
      </c>
      <c r="H34"/>
      <c r="I34"/>
      <c r="J34"/>
      <c r="K34"/>
      <c r="L34"/>
      <c r="M34"/>
      <c r="O34" s="145"/>
    </row>
    <row r="35" spans="2:16" s="1" customFormat="1" ht="51" x14ac:dyDescent="0.2">
      <c r="B35" s="1265" t="str">
        <f>IF(G4=2,"Autres dépenses","Other expenditures")</f>
        <v>Other expenditures</v>
      </c>
      <c r="C35" s="1256" t="s">
        <v>631</v>
      </c>
      <c r="D35" s="798" t="s">
        <v>588</v>
      </c>
      <c r="E35" s="1271">
        <v>36</v>
      </c>
      <c r="F35" s="603">
        <f>'T3010 Worksheet'!G70+'T3010 Worksheet'!G80</f>
        <v>0</v>
      </c>
      <c r="H35"/>
      <c r="I35"/>
      <c r="J35"/>
      <c r="K35"/>
      <c r="L35"/>
      <c r="M35"/>
      <c r="O35" s="145"/>
    </row>
    <row r="36" spans="2:16" s="1" customFormat="1" ht="36" customHeight="1" x14ac:dyDescent="0.2">
      <c r="B36" s="1272" t="str">
        <f>IF(G4=2,"Sous-Total","Sub-Total")</f>
        <v>Sub-Total</v>
      </c>
      <c r="C36" s="1260" t="s">
        <v>632</v>
      </c>
      <c r="D36" s="1273" t="s">
        <v>590</v>
      </c>
      <c r="E36" s="1274">
        <v>37</v>
      </c>
      <c r="F36" s="1237">
        <f>SUM(F25:F35)</f>
        <v>0</v>
      </c>
      <c r="H36" s="16"/>
      <c r="I36" s="16"/>
      <c r="J36" s="16"/>
      <c r="K36" s="16"/>
      <c r="L36" s="16"/>
      <c r="M36" s="16"/>
      <c r="O36" s="145"/>
    </row>
    <row r="37" spans="2:16" s="1" customFormat="1" ht="36" customHeight="1" x14ac:dyDescent="0.2">
      <c r="B37" s="1265" t="str">
        <f>IF(G4=2,"Partie du montant de la ligne 37 qui se rapporte à:","Portion of the amount from line 37 that pertains to:")</f>
        <v>Portion of the amount from line 37 that pertains to:</v>
      </c>
      <c r="C37" s="1275"/>
      <c r="D37" s="1244"/>
      <c r="E37" s="1276"/>
      <c r="F37" s="1277"/>
      <c r="H37" s="16"/>
      <c r="I37" s="16"/>
      <c r="J37" s="16"/>
      <c r="K37" s="16"/>
      <c r="L37" s="16"/>
      <c r="M37" s="16"/>
      <c r="O37" s="145"/>
    </row>
    <row r="38" spans="2:16" s="1" customFormat="1" ht="63" customHeight="1" x14ac:dyDescent="0.2">
      <c r="B38" s="1267" t="str">
        <f>IF(G4=2,"aux activités liées aux objectifs de l’organisme","activities related to the organization’s objectives")</f>
        <v>activities related to the organization’s objectives</v>
      </c>
      <c r="C38" s="1219" t="s">
        <v>616</v>
      </c>
      <c r="D38" s="1244" t="s">
        <v>591</v>
      </c>
      <c r="E38" s="1254">
        <v>37.1</v>
      </c>
      <c r="F38" s="603">
        <f>'T3010 Worksheet'!F82</f>
        <v>0</v>
      </c>
      <c r="H38" s="16"/>
      <c r="I38" s="16"/>
      <c r="J38" s="16"/>
      <c r="K38" s="16"/>
      <c r="L38" s="16"/>
      <c r="M38" s="16"/>
      <c r="O38" s="145"/>
    </row>
    <row r="39" spans="2:16" s="1" customFormat="1" ht="36" customHeight="1" x14ac:dyDescent="0.2">
      <c r="B39" s="1267" t="str">
        <f>IF(G4=2,"à la gestion et à l’administration générale","management and general administration")</f>
        <v>management and general administration</v>
      </c>
      <c r="C39" s="1219" t="s">
        <v>568</v>
      </c>
      <c r="D39" s="1244" t="s">
        <v>593</v>
      </c>
      <c r="E39" s="1254">
        <v>37.200000000000003</v>
      </c>
      <c r="F39" s="603">
        <f>'T3010 Worksheet'!F83</f>
        <v>0</v>
      </c>
      <c r="H39" s="1815"/>
      <c r="I39" s="1815"/>
      <c r="J39" s="1815"/>
      <c r="K39" s="1815"/>
      <c r="L39" s="1815"/>
      <c r="M39" s="1815"/>
      <c r="O39" s="145"/>
    </row>
    <row r="40" spans="2:16" s="1" customFormat="1" ht="36" customHeight="1" x14ac:dyDescent="0.2">
      <c r="B40" s="1267" t="str">
        <f>IF(G4=2,"aux activités de financement","fundraising activities")</f>
        <v>fundraising activities</v>
      </c>
      <c r="C40" s="1219" t="s">
        <v>619</v>
      </c>
      <c r="D40" s="1244" t="s">
        <v>595</v>
      </c>
      <c r="E40" s="1254">
        <v>37.299999999999997</v>
      </c>
      <c r="F40" s="603">
        <f>'T3010 Worksheet'!F84</f>
        <v>0</v>
      </c>
      <c r="O40" s="145"/>
    </row>
    <row r="41" spans="2:16" s="1" customFormat="1" ht="36" customHeight="1" x14ac:dyDescent="0.2">
      <c r="B41" s="1267" t="str">
        <f>IF(G4=2,"aux activités politiques","political activities")</f>
        <v>political activities</v>
      </c>
      <c r="C41" s="1219"/>
      <c r="D41" s="798" t="s">
        <v>596</v>
      </c>
      <c r="E41" s="1254">
        <v>37.4</v>
      </c>
      <c r="F41" s="1240"/>
      <c r="O41" s="145"/>
    </row>
    <row r="42" spans="2:16" s="1" customFormat="1" ht="36" customHeight="1" x14ac:dyDescent="0.2">
      <c r="B42" s="1267" t="str">
        <f>IF(G4=2,"aux biens accumulés avec l’autorisation de Revenu Québec","other activities")</f>
        <v>other activities</v>
      </c>
      <c r="C42" s="1219"/>
      <c r="D42" s="798" t="s">
        <v>597</v>
      </c>
      <c r="E42" s="1254">
        <v>37.5</v>
      </c>
      <c r="F42" s="1240"/>
      <c r="O42" s="145"/>
    </row>
    <row r="43" spans="2:16" s="1" customFormat="1" ht="36" customHeight="1" x14ac:dyDescent="0.2">
      <c r="B43" s="1265" t="str">
        <f>IF(G4=2,"Total des dons faits à des donataires reconnus","Total gifts made to qualified donees (see Part 4)")</f>
        <v>Total gifts made to qualified donees (see Part 4)</v>
      </c>
      <c r="C43" s="1219">
        <v>5140</v>
      </c>
      <c r="D43" s="798" t="s">
        <v>598</v>
      </c>
      <c r="E43" s="1254">
        <v>38</v>
      </c>
      <c r="F43" s="1240">
        <f>'T3010 Worksheet'!G87</f>
        <v>0</v>
      </c>
      <c r="H43" s="1811" t="str">
        <f>IF(G4=2,"← Si un montant apparait ici, l'annexe C doit être complété","← If an amount appears, the Schedule C must be filled out")</f>
        <v>← If an amount appears, the Schedule C must be filled out</v>
      </c>
      <c r="I43" s="1811"/>
      <c r="J43" s="1811"/>
      <c r="K43" s="1811"/>
      <c r="L43" s="1811"/>
      <c r="M43" s="1811"/>
      <c r="O43" s="145"/>
    </row>
    <row r="44" spans="2:16" s="1" customFormat="1" ht="47.25" customHeight="1" x14ac:dyDescent="0.2">
      <c r="B44" s="1278" t="str">
        <f>IF(G4=2,"Partie du montant de la ligne 38 qui constitue des dons déterminés (total des montants inscrits aux lignes « Montant des dons déterminés » de l’annexe C","Portion of the amount from line 38 that constitutes designated gifts (total of the amounts entered on the “Amount of designated gifts“ lines in Schedule C).")</f>
        <v>Portion of the amount from line 38 that constitutes designated gifts (total of the amounts entered on the “Amount of designated gifts“ lines in Schedule C).</v>
      </c>
      <c r="C44" s="1219"/>
      <c r="D44" s="798" t="s">
        <v>600</v>
      </c>
      <c r="E44" s="1254">
        <v>38.1</v>
      </c>
      <c r="F44" s="1240"/>
      <c r="H44" s="16"/>
      <c r="I44" s="16"/>
      <c r="J44" s="16"/>
      <c r="K44" s="16"/>
      <c r="L44" s="16"/>
      <c r="M44" s="16"/>
      <c r="O44" s="145"/>
    </row>
    <row r="45" spans="2:16" s="1" customFormat="1" ht="36" customHeight="1" x14ac:dyDescent="0.2">
      <c r="B45" s="1232" t="str">
        <f>IF(G4=2,"Total des dépenses","Total Expenditures")</f>
        <v>Total Expenditures</v>
      </c>
      <c r="C45" s="1233" t="s">
        <v>633</v>
      </c>
      <c r="D45" s="1246" t="s">
        <v>602</v>
      </c>
      <c r="E45" s="1235">
        <v>38</v>
      </c>
      <c r="F45" s="1237">
        <f>SUM(F36,F43)</f>
        <v>0</v>
      </c>
      <c r="H45" s="1811" t="str">
        <f>IF(G4=2,"← Cela devrait correspondre de près aux dépenses totales","← This should closely match total expenditures")</f>
        <v>← This should closely match total expenditures</v>
      </c>
      <c r="I45" s="1811"/>
      <c r="J45" s="1811"/>
      <c r="K45" s="1811"/>
      <c r="L45" s="1811"/>
      <c r="M45" s="1811"/>
      <c r="O45" s="145"/>
    </row>
    <row r="46" spans="2:16" s="1" customFormat="1" ht="36" customHeight="1" x14ac:dyDescent="0.2">
      <c r="B46" s="1249" t="str">
        <f>IF(G4=2,"Actif","Assets")</f>
        <v>Assets</v>
      </c>
      <c r="C46" s="1250"/>
      <c r="D46" s="1250"/>
      <c r="E46" s="1250"/>
      <c r="F46" s="1251"/>
      <c r="H46" s="16"/>
      <c r="I46" s="16"/>
      <c r="J46" s="16"/>
      <c r="K46" s="16"/>
      <c r="L46" s="16"/>
      <c r="M46" s="16"/>
      <c r="O46" s="145"/>
    </row>
    <row r="47" spans="2:16" s="1" customFormat="1" ht="36" customHeight="1" x14ac:dyDescent="0.2">
      <c r="B47" s="1265" t="str">
        <f>IF(G4=2,"Liquidités","Liquid assets")</f>
        <v>Liquid assets</v>
      </c>
      <c r="C47" s="1219">
        <v>1100</v>
      </c>
      <c r="D47" s="1216" t="s">
        <v>604</v>
      </c>
      <c r="E47" s="1229">
        <v>40</v>
      </c>
      <c r="F47" s="603">
        <f>'T3010 Worksheet'!G33</f>
        <v>0</v>
      </c>
      <c r="H47" s="16"/>
      <c r="I47" s="16"/>
      <c r="J47" s="16"/>
      <c r="K47" s="16"/>
      <c r="L47" s="16"/>
      <c r="M47" s="16"/>
    </row>
    <row r="48" spans="2:16" s="1" customFormat="1" ht="75.75" customHeight="1" x14ac:dyDescent="0.2">
      <c r="B48" s="1279" t="str">
        <f>IF(G4=2,O48,P48)</f>
        <v>Amounts receivable from founders, officers, directors, members, shareholders, trustees or any organization not dealing at arm’s length with such persons</v>
      </c>
      <c r="C48" s="1231"/>
      <c r="D48" s="1216" t="s">
        <v>605</v>
      </c>
      <c r="E48" s="1229">
        <v>41</v>
      </c>
      <c r="F48" s="603"/>
      <c r="H48" s="16"/>
      <c r="I48" s="16"/>
      <c r="J48" s="16"/>
      <c r="K48" s="16"/>
      <c r="L48" s="16"/>
      <c r="M48" s="16"/>
      <c r="O48" s="1033" t="s">
        <v>634</v>
      </c>
      <c r="P48" s="1033" t="s">
        <v>635</v>
      </c>
    </row>
    <row r="49" spans="2:16" s="1" customFormat="1" ht="36" customHeight="1" x14ac:dyDescent="0.2">
      <c r="B49" s="1265" t="str">
        <f>IF(G4=2,"Sommes à recevoir d’autres sources","Amounts receivable from other sources")</f>
        <v>Amounts receivable from other sources</v>
      </c>
      <c r="C49" s="1280"/>
      <c r="D49" s="1216" t="s">
        <v>606</v>
      </c>
      <c r="E49" s="1229">
        <v>42</v>
      </c>
      <c r="F49" s="603"/>
      <c r="H49" s="16"/>
      <c r="I49" s="16"/>
      <c r="J49" s="16"/>
      <c r="K49" s="16"/>
      <c r="L49" s="16"/>
      <c r="M49" s="16"/>
    </row>
    <row r="50" spans="2:16" s="1" customFormat="1" ht="36" customHeight="1" x14ac:dyDescent="0.2">
      <c r="B50" s="1265" t="str">
        <f>IF(G4=2,"Placements à long terme","Long-term Investments")</f>
        <v>Long-term Investments</v>
      </c>
      <c r="C50" s="1231">
        <v>1300</v>
      </c>
      <c r="D50" s="1216" t="s">
        <v>607</v>
      </c>
      <c r="E50" s="1229">
        <v>43</v>
      </c>
      <c r="F50" s="603">
        <f>'T3010 Worksheet'!G37</f>
        <v>0</v>
      </c>
    </row>
    <row r="51" spans="2:16" s="1" customFormat="1" ht="36" customHeight="1" x14ac:dyDescent="0.2">
      <c r="B51" s="1265" t="str">
        <f>IF(G4=2,"Stocks servant aux activités liées aux objectifs de l’organisme","Inventory used in activities related to the organization’s objectives")</f>
        <v>Inventory used in activities related to the organization’s objectives</v>
      </c>
      <c r="C51" s="1219" t="s">
        <v>574</v>
      </c>
      <c r="D51" s="798" t="s">
        <v>608</v>
      </c>
      <c r="E51" s="1229">
        <v>44</v>
      </c>
      <c r="F51" s="603">
        <f>'T3010 Worksheet'!G38</f>
        <v>0</v>
      </c>
      <c r="H51" s="16"/>
      <c r="I51" s="16"/>
      <c r="J51" s="16"/>
      <c r="K51" s="16"/>
      <c r="L51" s="16"/>
      <c r="M51" s="16"/>
    </row>
    <row r="52" spans="2:16" s="1" customFormat="1" ht="36" customHeight="1" x14ac:dyDescent="0.2">
      <c r="B52" s="1265" t="str">
        <f>IF(G4=2,"Immobilisations (terrains, bâtiments, véhicules, etc.)","Capital Property (land, building, vehicles, etc.)")</f>
        <v>Capital Property (land, building, vehicles, etc.)</v>
      </c>
      <c r="C52" s="1219" t="s">
        <v>575</v>
      </c>
      <c r="D52" s="798" t="s">
        <v>609</v>
      </c>
      <c r="E52" s="1229">
        <v>45</v>
      </c>
      <c r="F52" s="603">
        <f>'T3010 Worksheet'!G39</f>
        <v>0</v>
      </c>
      <c r="H52" s="16"/>
      <c r="I52" s="16"/>
      <c r="J52" s="16"/>
      <c r="K52" s="16"/>
      <c r="L52" s="16"/>
      <c r="M52" s="16"/>
    </row>
    <row r="53" spans="2:16" s="1" customFormat="1" ht="35.25" customHeight="1" x14ac:dyDescent="0.2">
      <c r="B53" s="1265" t="str">
        <f>IF(G4=2,"Autres éléments d'actif","Other Assets")</f>
        <v>Other Assets</v>
      </c>
      <c r="C53" s="1231"/>
      <c r="D53" s="1244" t="s">
        <v>610</v>
      </c>
      <c r="E53" s="1229">
        <v>46</v>
      </c>
      <c r="F53" s="603"/>
      <c r="H53" s="16"/>
      <c r="I53" s="16"/>
      <c r="J53" s="16"/>
      <c r="K53" s="16"/>
      <c r="L53" s="16"/>
      <c r="M53" s="16"/>
    </row>
    <row r="54" spans="2:16" s="1" customFormat="1" ht="36" customHeight="1" x14ac:dyDescent="0.2">
      <c r="B54" s="1232" t="str">
        <f>IF(G4=2,"Total de l’actif","Total Assets")</f>
        <v>Total Assets</v>
      </c>
      <c r="C54" s="1233" t="s">
        <v>636</v>
      </c>
      <c r="D54" s="1234" t="s">
        <v>611</v>
      </c>
      <c r="E54" s="1235">
        <v>47</v>
      </c>
      <c r="F54" s="1237">
        <f>SUM(F47:F53)</f>
        <v>0</v>
      </c>
      <c r="H54" s="16"/>
      <c r="I54" s="16"/>
      <c r="J54" s="16"/>
      <c r="K54" s="16"/>
      <c r="L54" s="16"/>
      <c r="M54" s="16"/>
    </row>
    <row r="55" spans="2:16" s="1" customFormat="1" ht="36" customHeight="1" x14ac:dyDescent="0.2">
      <c r="B55" s="1249" t="str">
        <f>IF(G4=2,"Passif","Liabilities")</f>
        <v>Liabilities</v>
      </c>
      <c r="C55" s="1250"/>
      <c r="D55" s="1250"/>
      <c r="E55" s="1250"/>
      <c r="F55" s="1251"/>
      <c r="H55" s="16"/>
      <c r="I55" s="16"/>
      <c r="J55" s="16"/>
      <c r="K55" s="1263"/>
      <c r="L55" s="16"/>
      <c r="M55" s="16"/>
    </row>
    <row r="56" spans="2:16" s="1" customFormat="1" ht="36" customHeight="1" x14ac:dyDescent="0.2">
      <c r="B56" s="1265" t="str">
        <f>IF(G4=2,"Comptes fournisseurs et charges à payer","Trade accounts payable and accrued liabilities")</f>
        <v>Trade accounts payable and accrued liabilities</v>
      </c>
      <c r="C56" s="1231">
        <v>2100</v>
      </c>
      <c r="D56" s="798" t="s">
        <v>613</v>
      </c>
      <c r="E56" s="1238">
        <v>50</v>
      </c>
      <c r="F56" s="603">
        <f>'T3010 Worksheet'!G44</f>
        <v>0</v>
      </c>
      <c r="H56" s="16"/>
      <c r="I56" s="16"/>
      <c r="J56" s="16"/>
      <c r="K56" s="16"/>
      <c r="L56" s="16"/>
      <c r="M56" s="16"/>
    </row>
    <row r="57" spans="2:16" s="1" customFormat="1" ht="35.25" customHeight="1" x14ac:dyDescent="0.2">
      <c r="B57" s="1265" t="str">
        <f>IF(G4=2,O57,P57)</f>
        <v>Amounts payable to founders, officers, directors, members, shareholders, trustees or any organization not dealing at arm’s length with such persons</v>
      </c>
      <c r="C57" s="1219"/>
      <c r="D57" s="798" t="s">
        <v>615</v>
      </c>
      <c r="E57" s="1229">
        <v>51</v>
      </c>
      <c r="F57" s="1240"/>
      <c r="H57" s="16"/>
      <c r="I57" s="16"/>
      <c r="J57" s="16"/>
      <c r="K57" s="16"/>
      <c r="L57" s="16"/>
      <c r="M57" s="16"/>
      <c r="O57" s="1" t="s">
        <v>637</v>
      </c>
      <c r="P57" s="1" t="s">
        <v>638</v>
      </c>
    </row>
    <row r="58" spans="2:16" s="1" customFormat="1" ht="36" customHeight="1" x14ac:dyDescent="0.2">
      <c r="B58" s="1265" t="str">
        <f>IF(G4=2,"Autres sommes à payer","Other amounts payable")</f>
        <v>Other amounts payable</v>
      </c>
      <c r="C58" s="1231"/>
      <c r="D58" s="798" t="s">
        <v>617</v>
      </c>
      <c r="E58" s="1238">
        <v>52</v>
      </c>
      <c r="F58" s="603"/>
      <c r="H58" s="16"/>
      <c r="I58" s="16"/>
      <c r="J58" s="16"/>
      <c r="K58" s="16"/>
      <c r="L58" s="16"/>
      <c r="M58" s="16"/>
    </row>
    <row r="59" spans="2:16" s="16" customFormat="1" ht="36" customHeight="1" x14ac:dyDescent="0.2">
      <c r="B59" s="1265" t="str">
        <f>IF(G4=2,"Autres éléments du passif","Other Liabilities")</f>
        <v>Other Liabilities</v>
      </c>
      <c r="C59" s="1231">
        <v>2300</v>
      </c>
      <c r="D59" s="798" t="s">
        <v>618</v>
      </c>
      <c r="E59" s="1238">
        <v>53</v>
      </c>
      <c r="F59" s="603">
        <f>'T3010 Worksheet'!G47</f>
        <v>0</v>
      </c>
    </row>
    <row r="60" spans="2:16" s="1" customFormat="1" ht="36" customHeight="1" x14ac:dyDescent="0.2">
      <c r="B60" s="1232" t="str">
        <f>IF(G4=2,"Total du passif","Total Liabilities")</f>
        <v>Total Liabilities</v>
      </c>
      <c r="C60" s="1233" t="s">
        <v>639</v>
      </c>
      <c r="D60" s="1234" t="s">
        <v>620</v>
      </c>
      <c r="E60" s="1235">
        <v>54</v>
      </c>
      <c r="F60" s="1237">
        <f>SUM(F56-F59)</f>
        <v>0</v>
      </c>
      <c r="H60" s="16"/>
      <c r="I60" s="16"/>
      <c r="J60" s="16"/>
      <c r="K60" s="16"/>
      <c r="L60" s="16"/>
      <c r="M60" s="16"/>
    </row>
    <row r="61" spans="2:16" s="1" customFormat="1" ht="20.100000000000001" customHeight="1" x14ac:dyDescent="0.2">
      <c r="B61"/>
      <c r="C61" s="1207"/>
      <c r="D61" s="431"/>
      <c r="E61" s="1207"/>
      <c r="F61" s="1208"/>
      <c r="H61"/>
      <c r="I61"/>
      <c r="J61"/>
      <c r="K61"/>
      <c r="L61"/>
      <c r="M61"/>
    </row>
    <row r="62" spans="2:16" x14ac:dyDescent="0.2">
      <c r="B62" s="1"/>
      <c r="C62" s="1"/>
      <c r="D62" s="1"/>
      <c r="E62" s="205"/>
      <c r="F62" s="1"/>
    </row>
  </sheetData>
  <sheetProtection algorithmName="SHA-512" hashValue="s4c45zFi5MER2iz7UItyvzB/c1e+95/CllqbbrUU3X4ems8VwCoDZDQ/qZoGV2jbIogeSZkFqhZMAhDT7cnwig==" saltValue="Le4cSk1PY1V/riPj+OvASg==" spinCount="100000" sheet="1" objects="1" scenarios="1" selectLockedCells="1" selectUnlockedCells="1"/>
  <mergeCells count="9">
    <mergeCell ref="B24:F24"/>
    <mergeCell ref="H39:M39"/>
    <mergeCell ref="H43:M43"/>
    <mergeCell ref="H45:M45"/>
    <mergeCell ref="B1:F1"/>
    <mergeCell ref="B2:F2"/>
    <mergeCell ref="B3:F3"/>
    <mergeCell ref="B7:F7"/>
    <mergeCell ref="H23:M23"/>
  </mergeCells>
  <pageMargins left="0.62986111111111098" right="0.196527777777778" top="0.74027777777777803" bottom="0.43263888888888902" header="0.511811023622047" footer="0.23611111111111099"/>
  <pageSetup fitToHeight="0" orientation="portrait" horizontalDpi="300" verticalDpi="300"/>
  <headerFooter>
    <oddFooter>&amp;L&amp;D&amp;R&amp;P/&amp;N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Z132"/>
  <sheetViews>
    <sheetView showGridLines="0" showRowColHeaders="0" showZeros="0" topLeftCell="A84" zoomScale="85" zoomScaleNormal="85" zoomScalePageLayoutView="70" workbookViewId="0">
      <selection activeCell="D125" sqref="D125"/>
    </sheetView>
  </sheetViews>
  <sheetFormatPr defaultColWidth="8.7109375" defaultRowHeight="12.75" x14ac:dyDescent="0.2"/>
  <cols>
    <col min="1" max="1" width="10.28515625" customWidth="1"/>
    <col min="2" max="2" width="27.42578125" customWidth="1"/>
    <col min="3" max="3" width="18.85546875" customWidth="1"/>
    <col min="4" max="4" width="17.5703125" customWidth="1"/>
    <col min="5" max="5" width="18.28515625" customWidth="1"/>
    <col min="6" max="6" width="19.5703125" customWidth="1"/>
    <col min="7" max="7" width="18.5703125" customWidth="1"/>
    <col min="8" max="8" width="1.28515625" customWidth="1"/>
    <col min="9" max="26" width="9.140625" hidden="1" customWidth="1"/>
    <col min="27" max="28" width="9.140625" customWidth="1"/>
    <col min="29" max="29" width="4.42578125" customWidth="1"/>
    <col min="30" max="52" width="9.140625" customWidth="1"/>
  </cols>
  <sheetData>
    <row r="1" spans="2:21" ht="23.25" hidden="1" customHeight="1" x14ac:dyDescent="0.2">
      <c r="L1" s="1281">
        <f>'Data Set up'!K10</f>
        <v>1</v>
      </c>
    </row>
    <row r="2" spans="2:21" ht="18" hidden="1" customHeight="1" x14ac:dyDescent="0.2"/>
    <row r="3" spans="2:21" ht="33.75" customHeight="1" x14ac:dyDescent="0.4">
      <c r="B3" s="1452" t="str">
        <f>IF(L1=2,"Calculs des remises de taxes","Tax Rebate Calculations")</f>
        <v>Tax Rebate Calculations</v>
      </c>
      <c r="C3" s="1452"/>
      <c r="D3" s="1452"/>
      <c r="E3" s="1452"/>
      <c r="F3" s="1452"/>
      <c r="G3" s="1452"/>
    </row>
    <row r="4" spans="2:21" ht="33.75" customHeight="1" x14ac:dyDescent="0.2">
      <c r="B4" s="1569">
        <f>'Data Set up'!B2:I2</f>
        <v>0</v>
      </c>
      <c r="C4" s="1569"/>
      <c r="D4" s="1569"/>
      <c r="E4" s="1569"/>
      <c r="F4" s="1569"/>
      <c r="G4" s="1569"/>
    </row>
    <row r="5" spans="2:21" ht="27.75" customHeight="1" x14ac:dyDescent="0.25">
      <c r="B5" s="1816" t="str">
        <f>'Revenue Jrnl'!B3:P3</f>
        <v>For the period from 1 september 2023 to 31 August 2024</v>
      </c>
      <c r="C5" s="1816"/>
      <c r="D5" s="1816"/>
      <c r="E5" s="1816"/>
      <c r="F5" s="1816"/>
      <c r="G5" s="1816"/>
    </row>
    <row r="6" spans="2:21" ht="7.5" customHeight="1" x14ac:dyDescent="0.3">
      <c r="B6" s="1282"/>
      <c r="C6" s="1282"/>
      <c r="D6" s="1282"/>
      <c r="E6" s="1282"/>
      <c r="F6" s="1282"/>
    </row>
    <row r="7" spans="2:21" ht="77.25" customHeight="1" x14ac:dyDescent="0.2">
      <c r="B7" s="1817" t="str">
        <f>IF(L1=2,U14,U9)</f>
        <v>Non Profit Organizations registered as charities (000000000RR0000) may claim a refund of a portion of the taxes paid during the fiscal year. Rates vary from province to other. In addition, government reimbursements (DND) including taxes must be deducted from the taxe calculations.
The percentages presented below were in effect in 2019. Treasurers must check whether changes have occurred each year.</v>
      </c>
      <c r="C7" s="1817"/>
      <c r="D7" s="1817"/>
      <c r="E7" s="1817"/>
      <c r="F7" s="1817"/>
      <c r="G7" s="1817"/>
      <c r="U7" s="836" t="s">
        <v>640</v>
      </c>
    </row>
    <row r="8" spans="2:21" ht="8.25" customHeight="1" x14ac:dyDescent="0.3">
      <c r="B8" s="1283"/>
      <c r="C8" s="1283"/>
      <c r="D8" s="1283"/>
      <c r="E8" s="1283"/>
      <c r="F8" s="1283"/>
      <c r="G8" s="1284"/>
      <c r="U8" s="836" t="s">
        <v>641</v>
      </c>
    </row>
    <row r="9" spans="2:21" ht="63.75" customHeight="1" x14ac:dyDescent="0.2">
      <c r="B9" s="1817" t="str">
        <f>IF(L1=2,U15,U10)</f>
        <v>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v>
      </c>
      <c r="C9" s="1817"/>
      <c r="D9" s="1817"/>
      <c r="E9" s="1817"/>
      <c r="F9" s="1817"/>
      <c r="G9" s="1817"/>
      <c r="U9" s="145" t="s">
        <v>642</v>
      </c>
    </row>
    <row r="10" spans="2:21" ht="9" customHeight="1" x14ac:dyDescent="0.3">
      <c r="B10" s="1283"/>
      <c r="C10" s="1283"/>
      <c r="D10" s="1283"/>
      <c r="E10" s="1283"/>
      <c r="F10" s="1283"/>
      <c r="G10" s="1284"/>
      <c r="U10" s="145" t="s">
        <v>643</v>
      </c>
    </row>
    <row r="11" spans="2:21" ht="43.5" customHeight="1" x14ac:dyDescent="0.2">
      <c r="B11" s="1817" t="str">
        <f>IF(L1=2,U17,U11)</f>
        <v>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v>
      </c>
      <c r="C11" s="1817"/>
      <c r="D11" s="1817"/>
      <c r="E11" s="1817"/>
      <c r="F11" s="1817"/>
      <c r="G11" s="1817"/>
      <c r="U11" s="145" t="s">
        <v>644</v>
      </c>
    </row>
    <row r="12" spans="2:21" ht="27" customHeight="1" x14ac:dyDescent="0.2">
      <c r="B12" s="1817" t="str">
        <f>IF(L1=2,U7,U8)</f>
        <v>The Rebate Reimbursement may be claimed every 3 months or in a single request at the Year-End.  The frequence of claim of the parent organization must be followed.</v>
      </c>
      <c r="C12" s="1817"/>
      <c r="D12" s="1817"/>
      <c r="E12" s="1817"/>
      <c r="F12" s="1817"/>
      <c r="G12" s="1817"/>
      <c r="U12" s="145"/>
    </row>
    <row r="13" spans="2:21" ht="12.75" customHeight="1" x14ac:dyDescent="0.2">
      <c r="B13" s="1285"/>
      <c r="C13" s="1285"/>
      <c r="D13" s="1285"/>
      <c r="E13" s="1285"/>
      <c r="F13" s="1285"/>
      <c r="G13" s="1285"/>
      <c r="U13" s="145"/>
    </row>
    <row r="14" spans="2:21" ht="18.75" customHeight="1" x14ac:dyDescent="0.2">
      <c r="B14" s="505"/>
      <c r="C14" s="505"/>
      <c r="D14" s="505"/>
      <c r="E14" s="505"/>
      <c r="F14" s="505"/>
      <c r="G14" s="505"/>
      <c r="U14" s="145" t="s">
        <v>645</v>
      </c>
    </row>
    <row r="15" spans="2:21" ht="44.25" customHeight="1" x14ac:dyDescent="0.2">
      <c r="B15" s="1286" t="str">
        <f>IF($L$1=2,IF('Data Set up'!$K$41=6,"1er Trimestre
Juil-Août-Sept","1er Trimestre
 Sept-Oct-Nov"),IF('Data Set up'!$K$41=6,"Quarter 1
Jul-Aug-Sep","Quarter 1
Sep-Oct-Nov"))</f>
        <v>Quarter 1
Sep-Oct-Nov</v>
      </c>
      <c r="C15" s="1287" t="str">
        <f>IF($L$1=2,"Taxes sur les dépenses","Taxes on Expenses")</f>
        <v>Taxes on Expenses</v>
      </c>
      <c r="D15" s="1287" t="str">
        <f>IF($L$1=2,"Taxes remboursées par le Gouv't","Taxes repaid by Gov't")</f>
        <v>Taxes repaid by Gov't</v>
      </c>
      <c r="E15" s="1287" t="str">
        <f>IF($L$1=2,"Taxes nettes payées","Net Taxes Paid")</f>
        <v>Net Taxes Paid</v>
      </c>
      <c r="F15" s="1287" t="str">
        <f>IF($L$1=2,"Taux de la taxe","Tax Rates")</f>
        <v>Tax Rates</v>
      </c>
      <c r="G15" s="1287" t="str">
        <f>IF($L$1=2,"TVH ventilée +TPS+TVP","HST Broken Down+GST+PST")</f>
        <v>HST Broken Down+GST+PST</v>
      </c>
      <c r="U15" s="145" t="s">
        <v>646</v>
      </c>
    </row>
    <row r="16" spans="2:21" ht="4.5" hidden="1" customHeight="1" x14ac:dyDescent="0.2">
      <c r="B16" s="1288"/>
      <c r="C16" s="1289"/>
      <c r="D16" s="1290"/>
      <c r="E16" s="1290"/>
      <c r="F16" s="1290"/>
      <c r="G16" s="1291"/>
      <c r="H16" s="1208"/>
      <c r="I16" s="1208"/>
      <c r="U16" s="1292"/>
    </row>
    <row r="17" spans="2:26" ht="20.100000000000001" customHeight="1" x14ac:dyDescent="0.2">
      <c r="B17" s="1293" t="str">
        <f>IF($L$1=2,"TVH","HST")</f>
        <v>HST</v>
      </c>
      <c r="C17" s="603">
        <f>SUMIF('Expense Jrnl'!$O$16:$O$515,1,'Expense Jrnl'!$K$16:$K$515)</f>
        <v>0</v>
      </c>
      <c r="D17" s="603">
        <f>SUMIF('Revenue Jrnl'!$O$16:$O$140,1,'Revenue Jrnl'!$K$16:$K$140)</f>
        <v>0</v>
      </c>
      <c r="E17" s="603">
        <f>C17-D17</f>
        <v>0</v>
      </c>
      <c r="F17" s="1294">
        <f>LOOKUP($V$21,$R$25:$S$37)+0.05</f>
        <v>0.12000000000000001</v>
      </c>
      <c r="G17" s="1295"/>
      <c r="H17" s="1208"/>
      <c r="I17" s="1208"/>
      <c r="U17" s="145" t="s">
        <v>647</v>
      </c>
    </row>
    <row r="18" spans="2:26" ht="4.5" hidden="1" customHeight="1" x14ac:dyDescent="0.2">
      <c r="B18" s="1296"/>
      <c r="C18" s="1297"/>
      <c r="D18" s="1297"/>
      <c r="E18" s="1297"/>
      <c r="F18" s="1298"/>
      <c r="G18" s="1298"/>
      <c r="H18" s="1208"/>
      <c r="I18" s="1208"/>
    </row>
    <row r="19" spans="2:26" ht="20.100000000000001" customHeight="1" x14ac:dyDescent="0.2">
      <c r="B19" s="1293" t="str">
        <f>IF($L$1=2,"TPS","GST")</f>
        <v>GST</v>
      </c>
      <c r="C19" s="603">
        <f>SUMIF('Expense Jrnl'!$O$16:$O$515,1,'Expense Jrnl'!$L$16:$L$515)</f>
        <v>0</v>
      </c>
      <c r="D19" s="603">
        <f>SUMIF('Revenue Jrnl'!$O$16:$O$140,1,'Revenue Jrnl'!$L$16:$L$140)</f>
        <v>0</v>
      </c>
      <c r="E19" s="603">
        <f>C19-D19</f>
        <v>0</v>
      </c>
      <c r="F19" s="1294">
        <f>$S$39</f>
        <v>0.05</v>
      </c>
      <c r="G19" s="603">
        <f>(E17*F19/F17)+E19</f>
        <v>0</v>
      </c>
      <c r="H19" s="1208"/>
      <c r="I19" s="1208"/>
      <c r="U19" s="144" t="s">
        <v>648</v>
      </c>
      <c r="V19" s="1299">
        <f>'Data Set up'!F51</f>
        <v>0.05</v>
      </c>
      <c r="W19" s="1299"/>
    </row>
    <row r="20" spans="2:26" ht="4.5" hidden="1" customHeight="1" x14ac:dyDescent="0.2">
      <c r="B20" s="1296"/>
      <c r="C20" s="1297"/>
      <c r="D20" s="1297"/>
      <c r="E20" s="1297"/>
      <c r="F20" s="1300"/>
      <c r="G20" s="1301"/>
      <c r="H20" s="1208"/>
      <c r="I20" s="1208"/>
      <c r="U20" s="144" t="s">
        <v>649</v>
      </c>
      <c r="V20" s="1299">
        <f>'Data Set up'!F52</f>
        <v>7.0000000000000007E-2</v>
      </c>
      <c r="W20" s="1299"/>
    </row>
    <row r="21" spans="2:26" ht="20.100000000000001" customHeight="1" x14ac:dyDescent="0.2">
      <c r="B21" s="1293" t="str">
        <f>IF($L$1=2,"TVP / TVQ","PST / QST")</f>
        <v>PST / QST</v>
      </c>
      <c r="C21" s="603">
        <f>SUMIF('Expense Jrnl'!$O$16:$O$515,1,'Expense Jrnl'!$M$16:$M$515)</f>
        <v>0</v>
      </c>
      <c r="D21" s="603">
        <f>SUMIF('Revenue Jrnl'!$O$16:$O$140,1,'Revenue Jrnl'!$M$16:$M$140)</f>
        <v>0</v>
      </c>
      <c r="E21" s="603">
        <f>C21-D21</f>
        <v>0</v>
      </c>
      <c r="F21" s="1294">
        <f>LOOKUP($V$21,$R$25:$S$37)</f>
        <v>7.0000000000000007E-2</v>
      </c>
      <c r="G21" s="603">
        <f>(E17*F21/F17)+E21</f>
        <v>0</v>
      </c>
      <c r="U21" s="144" t="s">
        <v>650</v>
      </c>
      <c r="V21" s="1299" t="str">
        <f>'Data Set up'!F53</f>
        <v>BC</v>
      </c>
      <c r="W21" s="1299"/>
    </row>
    <row r="22" spans="2:26" ht="4.5" hidden="1" customHeight="1" x14ac:dyDescent="0.2">
      <c r="B22" s="1302"/>
      <c r="C22" s="1303"/>
      <c r="D22" s="1303"/>
      <c r="E22" s="1303"/>
      <c r="F22" s="1303"/>
      <c r="G22" s="1304"/>
    </row>
    <row r="23" spans="2:26" ht="9.9499999999999993" customHeight="1" x14ac:dyDescent="0.2"/>
    <row r="24" spans="2:26" ht="21.75" customHeight="1" x14ac:dyDescent="0.2">
      <c r="B24" s="1305" t="str">
        <f>IF($L$1=2,"Taxes","Taxes")</f>
        <v>Taxes</v>
      </c>
      <c r="C24" s="1287" t="str">
        <f>IF($L$1=2,"% de remise","% of Rebate")</f>
        <v>% of Rebate</v>
      </c>
      <c r="D24" s="1287" t="str">
        <f>IF($L$1=2,"Formulaires","Forms")</f>
        <v>Forms</v>
      </c>
      <c r="E24" s="1287" t="str">
        <f>IF($L$1=2,"Ligne","Line")</f>
        <v>Line</v>
      </c>
      <c r="F24" s="1287" t="str">
        <f>IF($L$1=2,"Montant réclamé","Claimed Amount")</f>
        <v>Claimed Amount</v>
      </c>
      <c r="R24" s="1818" t="s">
        <v>651</v>
      </c>
      <c r="S24" s="1818"/>
      <c r="U24" s="1819" t="s">
        <v>652</v>
      </c>
      <c r="V24" s="1819"/>
      <c r="W24" s="144"/>
      <c r="X24" s="205"/>
      <c r="Y24" s="205"/>
      <c r="Z24" s="205"/>
    </row>
    <row r="25" spans="2:26" ht="16.5" hidden="1" customHeight="1" x14ac:dyDescent="0.2">
      <c r="B25" s="1306"/>
      <c r="C25" s="1306"/>
      <c r="D25" s="1306"/>
      <c r="E25" s="1306"/>
      <c r="F25" s="1306"/>
      <c r="R25" s="143" t="s">
        <v>109</v>
      </c>
      <c r="S25" s="1299">
        <f t="shared" ref="S25:S30" si="0">D113</f>
        <v>0</v>
      </c>
      <c r="U25" s="143" t="s">
        <v>109</v>
      </c>
      <c r="V25" s="1299">
        <f t="shared" ref="V25:V30" si="1">D123</f>
        <v>0</v>
      </c>
      <c r="W25" s="143" t="s">
        <v>109</v>
      </c>
      <c r="X25" s="205"/>
      <c r="Y25" s="143" t="s">
        <v>109</v>
      </c>
      <c r="Z25" s="205"/>
    </row>
    <row r="26" spans="2:26" ht="19.5" customHeight="1" x14ac:dyDescent="0.2">
      <c r="B26" s="1293" t="str">
        <f>IF($L$1=2,"Fédéral (TPS)","Federal (GST)")</f>
        <v>Federal (GST)</v>
      </c>
      <c r="C26" s="1307">
        <f>$V$39</f>
        <v>0.5</v>
      </c>
      <c r="D26" s="517" t="str">
        <f>IF($V$21="QC","FPZ-66","GST66")</f>
        <v>GST66</v>
      </c>
      <c r="E26" s="517">
        <f>$X$39</f>
        <v>305</v>
      </c>
      <c r="F26" s="634">
        <f>G19*C26</f>
        <v>0</v>
      </c>
      <c r="R26" s="143" t="s">
        <v>114</v>
      </c>
      <c r="S26" s="1299">
        <f t="shared" si="0"/>
        <v>7.0000000000000007E-2</v>
      </c>
      <c r="U26" s="143" t="s">
        <v>114</v>
      </c>
      <c r="V26" s="1299">
        <f t="shared" si="1"/>
        <v>0.56999999999999995</v>
      </c>
      <c r="W26" s="143" t="s">
        <v>114</v>
      </c>
      <c r="X26" s="144"/>
      <c r="Y26" s="143" t="s">
        <v>114</v>
      </c>
      <c r="Z26" s="144"/>
    </row>
    <row r="27" spans="2:26" ht="21.75" hidden="1" customHeight="1" x14ac:dyDescent="0.2">
      <c r="B27" s="1296"/>
      <c r="C27" s="1308"/>
      <c r="D27" s="1308"/>
      <c r="E27" s="1308"/>
      <c r="F27" s="1309"/>
      <c r="R27" s="143" t="s">
        <v>117</v>
      </c>
      <c r="S27" s="1299">
        <f t="shared" si="0"/>
        <v>0.08</v>
      </c>
      <c r="U27" s="143" t="s">
        <v>117</v>
      </c>
      <c r="V27" s="1299">
        <f t="shared" si="1"/>
        <v>0</v>
      </c>
      <c r="W27" s="143" t="s">
        <v>117</v>
      </c>
      <c r="X27" s="205"/>
      <c r="Y27" s="143" t="s">
        <v>117</v>
      </c>
      <c r="Z27" s="205"/>
    </row>
    <row r="28" spans="2:26" ht="19.5" customHeight="1" x14ac:dyDescent="0.2">
      <c r="B28" s="1293" t="str">
        <f>IF($L$1=2,"Provincial (TVP / TVQ)","Provincial (PST / QST)")</f>
        <v>Provincial (PST / QST)</v>
      </c>
      <c r="C28" s="1307">
        <f>LOOKUP($V$21,$U$25:$V$37)</f>
        <v>0.56999999999999995</v>
      </c>
      <c r="D28" s="517">
        <f>LOOKUP($V$21,$Y$25:$Z$37)</f>
        <v>0</v>
      </c>
      <c r="E28" s="517">
        <f>LOOKUP($V$21,$W$25:$X$37)</f>
        <v>0</v>
      </c>
      <c r="F28" s="634">
        <f>G21*C28</f>
        <v>0</v>
      </c>
      <c r="R28" s="143" t="s">
        <v>121</v>
      </c>
      <c r="S28" s="1299">
        <f t="shared" si="0"/>
        <v>0.1</v>
      </c>
      <c r="U28" s="143" t="s">
        <v>121</v>
      </c>
      <c r="V28" s="1299">
        <f t="shared" si="1"/>
        <v>0.5</v>
      </c>
      <c r="W28" s="143" t="s">
        <v>121</v>
      </c>
      <c r="X28" s="144" t="s">
        <v>653</v>
      </c>
      <c r="Y28" s="143" t="s">
        <v>121</v>
      </c>
      <c r="Z28" s="144" t="s">
        <v>654</v>
      </c>
    </row>
    <row r="29" spans="2:26" ht="15.75" hidden="1" customHeight="1" x14ac:dyDescent="0.2">
      <c r="B29" s="1306"/>
      <c r="C29" s="1306"/>
      <c r="D29" s="1306"/>
      <c r="E29" s="1306"/>
      <c r="F29" s="1310"/>
      <c r="R29" s="143" t="s">
        <v>126</v>
      </c>
      <c r="S29" s="1299">
        <f t="shared" si="0"/>
        <v>0.1</v>
      </c>
      <c r="U29" s="143" t="s">
        <v>126</v>
      </c>
      <c r="V29" s="1299">
        <f t="shared" si="1"/>
        <v>0.5</v>
      </c>
      <c r="W29" s="143" t="s">
        <v>126</v>
      </c>
      <c r="X29" s="144" t="s">
        <v>655</v>
      </c>
      <c r="Y29" s="143" t="s">
        <v>126</v>
      </c>
      <c r="Z29" s="144" t="s">
        <v>654</v>
      </c>
    </row>
    <row r="30" spans="2:26" ht="19.5" customHeight="1" x14ac:dyDescent="0.3">
      <c r="B30" s="1820" t="str">
        <f>IF($L$1=2,"Remise de taxes réclamée","Rebate to be claimed")</f>
        <v>Rebate to be claimed</v>
      </c>
      <c r="C30" s="1820"/>
      <c r="D30" s="1820"/>
      <c r="E30" s="1311" t="str">
        <f>IF(V21="QC","","409")</f>
        <v>409</v>
      </c>
      <c r="F30" s="1312">
        <f>SUM(F26,F28)</f>
        <v>0</v>
      </c>
      <c r="R30" s="143" t="s">
        <v>129</v>
      </c>
      <c r="S30" s="1299">
        <f t="shared" si="0"/>
        <v>0.1</v>
      </c>
      <c r="U30" s="143" t="s">
        <v>129</v>
      </c>
      <c r="V30" s="1299">
        <f t="shared" si="1"/>
        <v>0.5</v>
      </c>
      <c r="W30" s="143" t="s">
        <v>129</v>
      </c>
      <c r="X30" s="144" t="s">
        <v>656</v>
      </c>
      <c r="Y30" s="143" t="s">
        <v>129</v>
      </c>
      <c r="Z30" s="144" t="s">
        <v>654</v>
      </c>
    </row>
    <row r="31" spans="2:26" ht="16.5" hidden="1" customHeight="1" x14ac:dyDescent="0.2">
      <c r="B31" s="1302"/>
      <c r="C31" s="1303"/>
      <c r="D31" s="1304"/>
      <c r="E31" s="1304"/>
      <c r="F31" s="1304"/>
      <c r="R31" s="143" t="s">
        <v>133</v>
      </c>
      <c r="S31" s="1299">
        <f t="shared" ref="S31:S37" si="2">F112</f>
        <v>0</v>
      </c>
      <c r="U31" s="143" t="s">
        <v>133</v>
      </c>
      <c r="V31" s="1299">
        <f t="shared" ref="V31:V37" si="3">F122</f>
        <v>0</v>
      </c>
      <c r="W31" s="143" t="s">
        <v>133</v>
      </c>
      <c r="X31" s="205"/>
      <c r="Y31" s="143" t="s">
        <v>133</v>
      </c>
      <c r="Z31" s="205"/>
    </row>
    <row r="32" spans="2:26" ht="49.5" customHeight="1" x14ac:dyDescent="0.2">
      <c r="R32" s="143" t="s">
        <v>135</v>
      </c>
      <c r="S32" s="1299">
        <f t="shared" si="2"/>
        <v>0</v>
      </c>
      <c r="U32" s="143" t="s">
        <v>135</v>
      </c>
      <c r="V32" s="1299">
        <f t="shared" si="3"/>
        <v>0</v>
      </c>
      <c r="W32" s="143" t="s">
        <v>135</v>
      </c>
      <c r="X32" s="205"/>
      <c r="Y32" s="143" t="s">
        <v>135</v>
      </c>
      <c r="Z32" s="205"/>
    </row>
    <row r="33" spans="2:26" ht="44.25" customHeight="1" x14ac:dyDescent="0.2">
      <c r="B33" s="1313" t="str">
        <f>IF($L$1=2,IF('Data Set up'!$K$41=6,"2e Trimestre
Oct-Nov-Déc","2e Trimestre
 Déc-Jan-Fév"),IF('Data Set up'!$K$41=6,"Quarter 2
Oct-Nov-Dec","Quarter 2
Dec-Jan-Feb"))</f>
        <v>Quarter 2
Dec-Jan-Feb</v>
      </c>
      <c r="C33" s="1314" t="str">
        <f>IF($L$1=2,"Taxes sur les dépenses","Taxes on Expenses")</f>
        <v>Taxes on Expenses</v>
      </c>
      <c r="D33" s="1314" t="str">
        <f>IF($L$1=2,"Taxes remboursées par le Gouv't","Taxes repaid by Gov't")</f>
        <v>Taxes repaid by Gov't</v>
      </c>
      <c r="E33" s="1314" t="str">
        <f>IF($L$1=2,"Taxes nettes payées","Net Taxes Paid")</f>
        <v>Net Taxes Paid</v>
      </c>
      <c r="F33" s="1314" t="str">
        <f>IF($L$1=2,"Taux de la taxe","Tax Rates")</f>
        <v>Tax Rates</v>
      </c>
      <c r="G33" s="1314" t="str">
        <f>IF($L$1=2,"TVH ventilée +TPS+TVP","HST Broken Down+GST+PST")</f>
        <v>HST Broken Down+GST+PST</v>
      </c>
      <c r="R33" s="143" t="s">
        <v>139</v>
      </c>
      <c r="S33" s="1299">
        <f t="shared" si="2"/>
        <v>0.08</v>
      </c>
      <c r="U33" s="143" t="s">
        <v>139</v>
      </c>
      <c r="V33" s="1299">
        <f t="shared" si="3"/>
        <v>0.82</v>
      </c>
      <c r="W33" s="143" t="s">
        <v>139</v>
      </c>
      <c r="X33" s="144" t="s">
        <v>657</v>
      </c>
      <c r="Y33" s="143" t="s">
        <v>139</v>
      </c>
      <c r="Z33" s="144" t="s">
        <v>654</v>
      </c>
    </row>
    <row r="34" spans="2:26" ht="16.5" hidden="1" customHeight="1" x14ac:dyDescent="0.2">
      <c r="B34" s="1306"/>
      <c r="C34" s="1306"/>
      <c r="D34" s="1315"/>
      <c r="E34" s="1315"/>
      <c r="F34" s="1315"/>
      <c r="G34" s="1315"/>
      <c r="R34" s="143" t="s">
        <v>142</v>
      </c>
      <c r="S34" s="1299">
        <f t="shared" si="2"/>
        <v>0.1</v>
      </c>
      <c r="U34" s="143" t="s">
        <v>142</v>
      </c>
      <c r="V34" s="1299">
        <f t="shared" si="3"/>
        <v>0.35</v>
      </c>
      <c r="W34" s="143" t="s">
        <v>142</v>
      </c>
      <c r="X34" s="144" t="s">
        <v>658</v>
      </c>
      <c r="Y34" s="143" t="s">
        <v>142</v>
      </c>
      <c r="Z34" s="144" t="s">
        <v>654</v>
      </c>
    </row>
    <row r="35" spans="2:26" ht="19.5" customHeight="1" x14ac:dyDescent="0.2">
      <c r="B35" s="1293" t="str">
        <f>IF($L$1=2,"TVH","HST")</f>
        <v>HST</v>
      </c>
      <c r="C35" s="603">
        <f>SUMIF('Expense Jrnl'!$O$16:$O$515,2,'Expense Jrnl'!$K$16:$K$515)</f>
        <v>0</v>
      </c>
      <c r="D35" s="603">
        <f>SUMIF('Revenue Jrnl'!$O$16:$O$140,2,'Revenue Jrnl'!$K$16:$K$140)</f>
        <v>0</v>
      </c>
      <c r="E35" s="603">
        <f>C35-D35</f>
        <v>0</v>
      </c>
      <c r="F35" s="1294">
        <f>LOOKUP($V$21,$R$25:$S$37)+0.05</f>
        <v>0.12000000000000001</v>
      </c>
      <c r="G35" s="1295"/>
      <c r="R35" s="143" t="s">
        <v>148</v>
      </c>
      <c r="S35" s="1316">
        <f t="shared" si="2"/>
        <v>9.9750000000000005E-2</v>
      </c>
      <c r="U35" s="143" t="s">
        <v>148</v>
      </c>
      <c r="V35" s="1299">
        <f t="shared" si="3"/>
        <v>0.5</v>
      </c>
      <c r="W35" s="143" t="s">
        <v>148</v>
      </c>
      <c r="X35" s="205"/>
      <c r="Y35" s="143" t="s">
        <v>148</v>
      </c>
      <c r="Z35" s="144" t="s">
        <v>659</v>
      </c>
    </row>
    <row r="36" spans="2:26" ht="19.5" hidden="1" customHeight="1" x14ac:dyDescent="0.2">
      <c r="B36" s="1296"/>
      <c r="C36" s="1298"/>
      <c r="D36" s="1298"/>
      <c r="E36" s="1298"/>
      <c r="F36" s="1298"/>
      <c r="G36" s="1298"/>
      <c r="R36" s="143" t="s">
        <v>151</v>
      </c>
      <c r="S36" s="1299">
        <f t="shared" si="2"/>
        <v>0.06</v>
      </c>
      <c r="U36" s="143" t="s">
        <v>151</v>
      </c>
      <c r="V36" s="1299">
        <f t="shared" si="3"/>
        <v>0</v>
      </c>
      <c r="W36" s="143" t="s">
        <v>151</v>
      </c>
      <c r="X36" s="205"/>
      <c r="Y36" s="143" t="s">
        <v>151</v>
      </c>
      <c r="Z36" s="205"/>
    </row>
    <row r="37" spans="2:26" ht="19.5" customHeight="1" x14ac:dyDescent="0.2">
      <c r="B37" s="1293" t="str">
        <f>IF($L$1=2,"TPS","GST")</f>
        <v>GST</v>
      </c>
      <c r="C37" s="603">
        <f>SUMIF('Expense Jrnl'!$O$16:$O$515,2,'Expense Jrnl'!$L$16:$L$515)</f>
        <v>0</v>
      </c>
      <c r="D37" s="603">
        <f>SUMIF('Revenue Jrnl'!$O$16:$O$140,2,'Revenue Jrnl'!$L$16:$L$140)</f>
        <v>0</v>
      </c>
      <c r="E37" s="603">
        <f>C37-D37</f>
        <v>0</v>
      </c>
      <c r="F37" s="1294">
        <f>$S$39</f>
        <v>0.05</v>
      </c>
      <c r="G37" s="603">
        <f>(E35*F37/F35)+E37</f>
        <v>0</v>
      </c>
      <c r="R37" s="143" t="s">
        <v>155</v>
      </c>
      <c r="S37" s="1299">
        <f t="shared" si="2"/>
        <v>0</v>
      </c>
      <c r="U37" s="143" t="s">
        <v>155</v>
      </c>
      <c r="V37" s="1299">
        <f t="shared" si="3"/>
        <v>0</v>
      </c>
      <c r="W37" s="143" t="s">
        <v>155</v>
      </c>
      <c r="X37" s="205"/>
      <c r="Y37" s="143" t="s">
        <v>155</v>
      </c>
      <c r="Z37" s="205"/>
    </row>
    <row r="38" spans="2:26" ht="4.5" hidden="1" customHeight="1" x14ac:dyDescent="0.2">
      <c r="B38" s="1296"/>
      <c r="C38" s="1298"/>
      <c r="D38" s="1298"/>
      <c r="E38" s="1298"/>
      <c r="F38" s="1300"/>
      <c r="G38" s="1301"/>
      <c r="R38" s="143"/>
      <c r="S38" s="1299"/>
      <c r="U38" s="143"/>
      <c r="V38" s="1299"/>
      <c r="W38" s="143"/>
      <c r="X38" s="205"/>
      <c r="Y38" s="143"/>
      <c r="Z38" s="205"/>
    </row>
    <row r="39" spans="2:26" ht="19.5" customHeight="1" x14ac:dyDescent="0.2">
      <c r="B39" s="1293" t="str">
        <f>IF($L$1=2,"TVP / TVQ","PST / QST")</f>
        <v>PST / QST</v>
      </c>
      <c r="C39" s="603">
        <f>SUMIF('Expense Jrnl'!$O$16:$O$515,2,'Expense Jrnl'!$M$16:$M$515)</f>
        <v>0</v>
      </c>
      <c r="D39" s="603">
        <f>SUMIF('Revenue Jrnl'!$O$16:$O$140,2,'Revenue Jrnl'!$M$16:$M$140)</f>
        <v>0</v>
      </c>
      <c r="E39" s="603">
        <f>C39-D39</f>
        <v>0</v>
      </c>
      <c r="F39" s="1294">
        <f>LOOKUP($V$21,$R$25:$S$37)</f>
        <v>7.0000000000000007E-2</v>
      </c>
      <c r="G39" s="603">
        <f>(E35*F39/F35)+E39</f>
        <v>0</v>
      </c>
      <c r="R39" s="143" t="s">
        <v>660</v>
      </c>
      <c r="S39" s="1299">
        <f>D112</f>
        <v>0.05</v>
      </c>
      <c r="U39" s="143" t="s">
        <v>660</v>
      </c>
      <c r="V39" s="1299">
        <f>D122</f>
        <v>0.5</v>
      </c>
      <c r="W39" s="1317" t="s">
        <v>660</v>
      </c>
      <c r="X39" s="205">
        <v>305</v>
      </c>
      <c r="Y39" s="143" t="s">
        <v>660</v>
      </c>
      <c r="Z39" s="205"/>
    </row>
    <row r="40" spans="2:26" ht="14.25" hidden="1" customHeight="1" x14ac:dyDescent="0.2">
      <c r="B40" s="1302"/>
      <c r="C40" s="1303"/>
      <c r="D40" s="1303"/>
      <c r="E40" s="1303"/>
      <c r="F40" s="1303"/>
      <c r="G40" s="1304"/>
    </row>
    <row r="41" spans="2:26" ht="16.5" customHeight="1" x14ac:dyDescent="0.2"/>
    <row r="42" spans="2:26" ht="21.75" customHeight="1" x14ac:dyDescent="0.2">
      <c r="B42" s="1318" t="str">
        <f>IF($L$1=2,"Taxes","Taxes")</f>
        <v>Taxes</v>
      </c>
      <c r="C42" s="1314" t="str">
        <f>IF($L$1=2,"% de remise","% of Rebate")</f>
        <v>% of Rebate</v>
      </c>
      <c r="D42" s="1314" t="str">
        <f>IF($L$1=2,"Formulaires","Forms")</f>
        <v>Forms</v>
      </c>
      <c r="E42" s="1314" t="str">
        <f>IF($L$1=2,"Ligne","Line")</f>
        <v>Line</v>
      </c>
      <c r="F42" s="1314" t="str">
        <f>IF($L$1=2,"Montant réclamé","Claimed Amount")</f>
        <v>Claimed Amount</v>
      </c>
      <c r="U42" s="154" t="s">
        <v>661</v>
      </c>
    </row>
    <row r="43" spans="2:26" ht="4.5" hidden="1" customHeight="1" x14ac:dyDescent="0.2">
      <c r="B43" s="1306"/>
      <c r="C43" s="1306"/>
      <c r="D43" s="1306"/>
      <c r="E43" s="1306"/>
      <c r="F43" s="1306"/>
      <c r="U43" s="1292"/>
    </row>
    <row r="44" spans="2:26" ht="19.5" customHeight="1" x14ac:dyDescent="0.2">
      <c r="B44" s="1293" t="str">
        <f>IF($L$1=2,"Fédéral (TPS)","Federal (GST)")</f>
        <v>Federal (GST)</v>
      </c>
      <c r="C44" s="1307">
        <f>$V$39</f>
        <v>0.5</v>
      </c>
      <c r="D44" s="517" t="str">
        <f>IF($V$21="QC","FPZ-66","GST66")</f>
        <v>GST66</v>
      </c>
      <c r="E44" s="517">
        <f>$X$39</f>
        <v>305</v>
      </c>
      <c r="F44" s="634">
        <f>G37*C44</f>
        <v>0</v>
      </c>
      <c r="U44" s="836" t="s">
        <v>662</v>
      </c>
    </row>
    <row r="45" spans="2:26" ht="4.5" hidden="1" customHeight="1" x14ac:dyDescent="0.2">
      <c r="B45" s="1296"/>
      <c r="C45" s="1308"/>
      <c r="D45" s="1308"/>
      <c r="E45" s="1308"/>
      <c r="F45" s="1319"/>
    </row>
    <row r="46" spans="2:26" ht="19.5" customHeight="1" x14ac:dyDescent="0.2">
      <c r="B46" s="1293" t="str">
        <f>IF($L$1=2,"Provincial (TVP / TVQ)","Provincial (PST / QST)")</f>
        <v>Provincial (PST / QST)</v>
      </c>
      <c r="C46" s="1307">
        <f>LOOKUP($V$21,$U$25:$V$37)</f>
        <v>0.56999999999999995</v>
      </c>
      <c r="D46" s="517">
        <f>LOOKUP($V$21,$Y$25:$Z$37)</f>
        <v>0</v>
      </c>
      <c r="E46" s="517">
        <f>LOOKUP($V$21,$W$25:$X$37)</f>
        <v>0</v>
      </c>
      <c r="F46" s="634">
        <f>G39*C46</f>
        <v>0</v>
      </c>
    </row>
    <row r="47" spans="2:26" ht="4.5" hidden="1" customHeight="1" x14ac:dyDescent="0.2">
      <c r="B47" s="1306"/>
      <c r="C47" s="1306"/>
      <c r="D47" s="1306"/>
      <c r="E47" s="1306"/>
      <c r="F47" s="1306"/>
    </row>
    <row r="48" spans="2:26" ht="19.5" customHeight="1" x14ac:dyDescent="0.3">
      <c r="B48" s="1820" t="str">
        <f>IF($L$1=2,"Remise de taxes réclamée","Rebate to be claimed")</f>
        <v>Rebate to be claimed</v>
      </c>
      <c r="C48" s="1820"/>
      <c r="D48" s="1820"/>
      <c r="E48" s="1311" t="str">
        <f>IF(V40="QC","","409")</f>
        <v>409</v>
      </c>
      <c r="F48" s="1312">
        <f>SUM(F44,F46)</f>
        <v>0</v>
      </c>
    </row>
    <row r="49" spans="1:7" ht="4.5" hidden="1" customHeight="1" x14ac:dyDescent="0.2">
      <c r="B49" s="1302"/>
      <c r="C49" s="1303"/>
      <c r="D49" s="1304"/>
      <c r="E49" s="1304"/>
      <c r="F49" s="1304"/>
    </row>
    <row r="50" spans="1:7" s="1320" customFormat="1" ht="50.25" customHeight="1" x14ac:dyDescent="0.35"/>
    <row r="51" spans="1:7" ht="46.5" customHeight="1" x14ac:dyDescent="0.2">
      <c r="B51" s="1321" t="str">
        <f>IF($L$1=2,IF('Data Set up'!$K$41=6,"3e Trimestre
Jan-Fév-Mar","3e Trimestre
 Mar-Avr-Mai"),IF('Data Set up'!$K$41=6,"Quarter 3
Jan-Feb-Mar","Quarter 3
Mar-Apr-May"))</f>
        <v>Quarter 3
Mar-Apr-May</v>
      </c>
      <c r="C51" s="1322" t="str">
        <f>IF($L$1=2,"Taxes sur les dépenses","Taxes on Expenses")</f>
        <v>Taxes on Expenses</v>
      </c>
      <c r="D51" s="1322" t="str">
        <f>IF($L$1=2,"Taxes remboursées par le Gouv't","Taxes repaid by Gov't")</f>
        <v>Taxes repaid by Gov't</v>
      </c>
      <c r="E51" s="1322" t="str">
        <f>IF($L$1=2,"Taxes nettes payées","Net Taxes Paid")</f>
        <v>Net Taxes Paid</v>
      </c>
      <c r="F51" s="1322" t="str">
        <f>IF($L$1=2,"Taux de la taxe","Tax Rates")</f>
        <v>Tax Rates</v>
      </c>
      <c r="G51" s="1322" t="str">
        <f>IF($L$1=2,"TVH ventilée +TPS+TVP","HST Broken Down+GST+PST")</f>
        <v>HST Broken Down+GST+PST</v>
      </c>
    </row>
    <row r="52" spans="1:7" ht="4.5" hidden="1" customHeight="1" x14ac:dyDescent="0.2">
      <c r="B52" s="1306"/>
      <c r="C52" s="1306"/>
      <c r="D52" s="1315"/>
      <c r="E52" s="1315"/>
      <c r="F52" s="1315"/>
      <c r="G52" s="1315"/>
    </row>
    <row r="53" spans="1:7" ht="19.5" customHeight="1" x14ac:dyDescent="0.2">
      <c r="B53" s="1293" t="str">
        <f>IF($L$1=2,"TVH","HST")</f>
        <v>HST</v>
      </c>
      <c r="C53" s="603">
        <f>SUMIF('Expense Jrnl'!$O$16:$O$515,3,'Expense Jrnl'!$K$16:$K$515)</f>
        <v>0</v>
      </c>
      <c r="D53" s="603">
        <f>SUMIF('Revenue Jrnl'!$O$16:$O$140,3,'Revenue Jrnl'!$K$16:$K$140)</f>
        <v>0</v>
      </c>
      <c r="E53" s="603">
        <f>C53-D53</f>
        <v>0</v>
      </c>
      <c r="F53" s="1294">
        <f>LOOKUP($V$21,$R$25:$S$37)+0.05</f>
        <v>0.12000000000000001</v>
      </c>
      <c r="G53" s="1295"/>
    </row>
    <row r="54" spans="1:7" ht="4.5" hidden="1" customHeight="1" x14ac:dyDescent="0.2">
      <c r="B54" s="1296"/>
      <c r="C54" s="1298"/>
      <c r="D54" s="1298"/>
      <c r="E54" s="1298"/>
      <c r="F54" s="1298"/>
      <c r="G54" s="1298"/>
    </row>
    <row r="55" spans="1:7" ht="19.5" customHeight="1" x14ac:dyDescent="0.2">
      <c r="B55" s="1293" t="str">
        <f>IF($L$1=2,"TPS","GST")</f>
        <v>GST</v>
      </c>
      <c r="C55" s="603">
        <f>SUMIF('Expense Jrnl'!$O$16:$O$515,3,'Expense Jrnl'!$L$16:$L$515)</f>
        <v>0</v>
      </c>
      <c r="D55" s="603">
        <f>SUMIF('Revenue Jrnl'!$O$16:$O$140,3,'Revenue Jrnl'!$L$16:$L$140)</f>
        <v>0</v>
      </c>
      <c r="E55" s="603">
        <f>C55-D55</f>
        <v>0</v>
      </c>
      <c r="F55" s="1294">
        <f>$S$39</f>
        <v>0.05</v>
      </c>
      <c r="G55" s="603">
        <f>(E53*F55/F53)+E55</f>
        <v>0</v>
      </c>
    </row>
    <row r="56" spans="1:7" ht="4.5" hidden="1" customHeight="1" x14ac:dyDescent="0.2">
      <c r="B56" s="1296"/>
      <c r="C56" s="1298"/>
      <c r="D56" s="1298"/>
      <c r="E56" s="1298"/>
      <c r="F56" s="1300"/>
      <c r="G56" s="1301"/>
    </row>
    <row r="57" spans="1:7" ht="19.5" customHeight="1" x14ac:dyDescent="0.2">
      <c r="B57" s="1293" t="str">
        <f>IF($L$1=2,"TVP / TVQ","PST / QST")</f>
        <v>PST / QST</v>
      </c>
      <c r="C57" s="603">
        <f>SUMIF('Expense Jrnl'!$O$16:$O$515,3,'Expense Jrnl'!$M$16:$M$515)</f>
        <v>0</v>
      </c>
      <c r="D57" s="603">
        <f>SUMIF('Revenue Jrnl'!$O$16:$O$140,3,'Revenue Jrnl'!$M$16:$M$140)</f>
        <v>0</v>
      </c>
      <c r="E57" s="603">
        <f>C57-D57</f>
        <v>0</v>
      </c>
      <c r="F57" s="1294">
        <f>LOOKUP($V$21,$R$25:$S$37)</f>
        <v>7.0000000000000007E-2</v>
      </c>
      <c r="G57" s="603">
        <f>(E53*F57/F53)+E57</f>
        <v>0</v>
      </c>
    </row>
    <row r="58" spans="1:7" ht="4.5" hidden="1" customHeight="1" x14ac:dyDescent="0.2">
      <c r="B58" s="1302"/>
      <c r="C58" s="1303"/>
      <c r="D58" s="1303"/>
      <c r="E58" s="1303"/>
      <c r="F58" s="1303"/>
      <c r="G58" s="1304"/>
    </row>
    <row r="59" spans="1:7" ht="4.5" customHeight="1" x14ac:dyDescent="0.2"/>
    <row r="60" spans="1:7" ht="21.75" customHeight="1" x14ac:dyDescent="0.2">
      <c r="B60" s="1323" t="str">
        <f>IF($L$1=2,"Taxes","Taxes")</f>
        <v>Taxes</v>
      </c>
      <c r="C60" s="1322" t="str">
        <f>IF($L$1=2,"% de remise","% of Rebate")</f>
        <v>% of Rebate</v>
      </c>
      <c r="D60" s="1322" t="str">
        <f>IF($L$1=2,"Formulaires","Forms")</f>
        <v>Forms</v>
      </c>
      <c r="E60" s="1322" t="str">
        <f>IF($L$1=2,"Ligne","Line")</f>
        <v>Line</v>
      </c>
      <c r="F60" s="1322" t="str">
        <f>IF($L$1=2,"Montant réclamé","Claimed Amount")</f>
        <v>Claimed Amount</v>
      </c>
    </row>
    <row r="61" spans="1:7" ht="4.5" hidden="1" customHeight="1" x14ac:dyDescent="0.2">
      <c r="B61" s="1306"/>
      <c r="C61" s="1306"/>
      <c r="D61" s="1306"/>
      <c r="E61" s="1306"/>
      <c r="F61" s="1306"/>
    </row>
    <row r="62" spans="1:7" ht="19.5" customHeight="1" x14ac:dyDescent="0.2">
      <c r="B62" s="1293" t="str">
        <f>IF($L$1=2,"Fédéral (TPS)","Federal (GST)")</f>
        <v>Federal (GST)</v>
      </c>
      <c r="C62" s="1307">
        <f>$V$39</f>
        <v>0.5</v>
      </c>
      <c r="D62" s="517" t="str">
        <f>IF($V$21="QC","FPZ-66","GST66")</f>
        <v>GST66</v>
      </c>
      <c r="E62" s="517">
        <f>$X$39</f>
        <v>305</v>
      </c>
      <c r="F62" s="634">
        <f>G55*C62</f>
        <v>0</v>
      </c>
    </row>
    <row r="63" spans="1:7" ht="4.5" hidden="1" customHeight="1" x14ac:dyDescent="0.2">
      <c r="A63" t="s">
        <v>663</v>
      </c>
      <c r="B63" s="1296"/>
      <c r="C63" s="1308"/>
      <c r="D63" s="1308"/>
      <c r="E63" s="1308"/>
      <c r="F63" s="1319"/>
    </row>
    <row r="64" spans="1:7" ht="19.5" customHeight="1" x14ac:dyDescent="0.2">
      <c r="B64" s="1293" t="str">
        <f>IF($L$1=2,"Provincial (TVP / TVQ)","Provincial (PST / QST)")</f>
        <v>Provincial (PST / QST)</v>
      </c>
      <c r="C64" s="1307">
        <f>LOOKUP($V$21,$U$25:$V$37)</f>
        <v>0.56999999999999995</v>
      </c>
      <c r="D64" s="517">
        <f>LOOKUP($V$21,$Y$25:$Z$37)</f>
        <v>0</v>
      </c>
      <c r="E64" s="517">
        <f>LOOKUP($V$21,$W$25:$X$37)</f>
        <v>0</v>
      </c>
      <c r="F64" s="634">
        <f>G57*C64</f>
        <v>0</v>
      </c>
    </row>
    <row r="65" spans="1:7" ht="4.5" hidden="1" customHeight="1" x14ac:dyDescent="0.2">
      <c r="B65" s="1306"/>
      <c r="C65" s="1306"/>
      <c r="D65" s="1306"/>
      <c r="E65" s="1306"/>
      <c r="F65" s="1306"/>
    </row>
    <row r="66" spans="1:7" ht="19.5" customHeight="1" x14ac:dyDescent="0.3">
      <c r="B66" s="1820" t="str">
        <f>IF($L$1=2,"Remise de taxes réclamée","Rebate to be claimed")</f>
        <v>Rebate to be claimed</v>
      </c>
      <c r="C66" s="1820"/>
      <c r="D66" s="1820"/>
      <c r="E66" s="1311" t="str">
        <f>IF(V58="QC","","409")</f>
        <v>409</v>
      </c>
      <c r="F66" s="1312">
        <f>SUM(F62,F64)</f>
        <v>0</v>
      </c>
    </row>
    <row r="67" spans="1:7" ht="4.5" hidden="1" customHeight="1" x14ac:dyDescent="0.2">
      <c r="A67" t="s">
        <v>663</v>
      </c>
      <c r="B67" s="1302"/>
      <c r="C67" s="1303"/>
      <c r="D67" s="1304"/>
      <c r="E67" s="1304"/>
      <c r="F67" s="1304"/>
    </row>
    <row r="68" spans="1:7" ht="50.25" customHeight="1" x14ac:dyDescent="0.2"/>
    <row r="69" spans="1:7" ht="46.5" customHeight="1" x14ac:dyDescent="0.2">
      <c r="B69" s="1324" t="str">
        <f>IF($L$1=2,IF('Data Set up'!$K$41=6,"4e Trimestre
Avr-Mai-Juin","4e Trimestre
 Juin-Juil-Août"),IF('Data Set up'!$K$41=6,"Quarter 4
Apr-May-Jun","Quarter 4
Jun-Jul-Aug"))</f>
        <v>Quarter 4
Jun-Jul-Aug</v>
      </c>
      <c r="C69" s="1325" t="str">
        <f>IF($L$1=2,"Taxes sur les dépenses","Taxes on Expenses")</f>
        <v>Taxes on Expenses</v>
      </c>
      <c r="D69" s="1325" t="str">
        <f>IF($L$1=2,"Taxes remboursées par le Gouv't","Taxes repaid by Gov't")</f>
        <v>Taxes repaid by Gov't</v>
      </c>
      <c r="E69" s="1325" t="str">
        <f>IF($L$1=2,"Taxes nettes payées","Net Taxes Paid")</f>
        <v>Net Taxes Paid</v>
      </c>
      <c r="F69" s="1325" t="str">
        <f>IF($L$1=2,"Taux de la taxe","Tax Rates")</f>
        <v>Tax Rates</v>
      </c>
      <c r="G69" s="1325" t="str">
        <f>IF($L$1=2,"TVH ventilée +TPS+TVP","HST Broken Down+GST+PST")</f>
        <v>HST Broken Down+GST+PST</v>
      </c>
    </row>
    <row r="70" spans="1:7" ht="4.5" hidden="1" customHeight="1" x14ac:dyDescent="0.2">
      <c r="B70" s="1306"/>
      <c r="C70" s="1306"/>
      <c r="D70" s="1315"/>
      <c r="E70" s="1315"/>
      <c r="F70" s="1315"/>
      <c r="G70" s="1315"/>
    </row>
    <row r="71" spans="1:7" ht="19.5" customHeight="1" x14ac:dyDescent="0.2">
      <c r="B71" s="1293" t="str">
        <f>IF($L$1=2,"TVH","HST")</f>
        <v>HST</v>
      </c>
      <c r="C71" s="603">
        <f>SUMIF('Expense Jrnl'!$O$16:$O$515,4,'Expense Jrnl'!$K$16:$K$515)</f>
        <v>0</v>
      </c>
      <c r="D71" s="603">
        <f>SUMIF('Revenue Jrnl'!$O$16:$O$140,4,'Revenue Jrnl'!$K$16:$K$140)</f>
        <v>0</v>
      </c>
      <c r="E71" s="603">
        <f>C71-D71</f>
        <v>0</v>
      </c>
      <c r="F71" s="1294">
        <f>LOOKUP($V$21,$R$25:$S$37)+0.05</f>
        <v>0.12000000000000001</v>
      </c>
      <c r="G71" s="1295"/>
    </row>
    <row r="72" spans="1:7" ht="4.5" hidden="1" customHeight="1" x14ac:dyDescent="0.2">
      <c r="B72" s="1296"/>
      <c r="C72" s="1298"/>
      <c r="D72" s="1298"/>
      <c r="E72" s="1298"/>
      <c r="F72" s="1298"/>
      <c r="G72" s="1298"/>
    </row>
    <row r="73" spans="1:7" ht="19.5" customHeight="1" x14ac:dyDescent="0.2">
      <c r="B73" s="1293" t="str">
        <f>IF($L$1=2,"TPS","GST")</f>
        <v>GST</v>
      </c>
      <c r="C73" s="603">
        <f>SUMIF('Expense Jrnl'!$O$16:$O$515,4,'Expense Jrnl'!$L$16:$L$515)</f>
        <v>0</v>
      </c>
      <c r="D73" s="603">
        <f>SUMIF('Revenue Jrnl'!$O$16:$O$140,4,'Revenue Jrnl'!$L$16:$L$140)</f>
        <v>0</v>
      </c>
      <c r="E73" s="603">
        <f>C73-D73</f>
        <v>0</v>
      </c>
      <c r="F73" s="1294">
        <f>$S$39</f>
        <v>0.05</v>
      </c>
      <c r="G73" s="603">
        <f>(E71*F73/F71)+E73</f>
        <v>0</v>
      </c>
    </row>
    <row r="74" spans="1:7" ht="4.5" hidden="1" customHeight="1" x14ac:dyDescent="0.2">
      <c r="B74" s="1296"/>
      <c r="C74" s="1298"/>
      <c r="D74" s="1298"/>
      <c r="E74" s="1298"/>
      <c r="F74" s="1300"/>
      <c r="G74" s="1301"/>
    </row>
    <row r="75" spans="1:7" ht="19.5" customHeight="1" x14ac:dyDescent="0.2">
      <c r="B75" s="1293" t="str">
        <f>IF($L$1=2,"TVP / TVQ","PST / QST")</f>
        <v>PST / QST</v>
      </c>
      <c r="C75" s="603">
        <f>SUMIF('Expense Jrnl'!$O$16:$O$515,4,'Expense Jrnl'!$M$16:$M$515)</f>
        <v>0</v>
      </c>
      <c r="D75" s="603">
        <f>SUMIF('Revenue Jrnl'!$O$16:$O$140,4,'Revenue Jrnl'!$M$16:$M$140)</f>
        <v>0</v>
      </c>
      <c r="E75" s="603">
        <f>C75-D75</f>
        <v>0</v>
      </c>
      <c r="F75" s="1294">
        <f>LOOKUP($V$21,$R$25:$S$37)</f>
        <v>7.0000000000000007E-2</v>
      </c>
      <c r="G75" s="603">
        <f>(E71*F75/F71)+E75</f>
        <v>0</v>
      </c>
    </row>
    <row r="76" spans="1:7" ht="4.5" hidden="1" customHeight="1" x14ac:dyDescent="0.2">
      <c r="B76" s="1302"/>
      <c r="C76" s="1303"/>
      <c r="D76" s="1303"/>
      <c r="E76" s="1303"/>
      <c r="F76" s="1303"/>
      <c r="G76" s="1304"/>
    </row>
    <row r="77" spans="1:7" ht="4.5" customHeight="1" x14ac:dyDescent="0.2"/>
    <row r="78" spans="1:7" ht="21.75" customHeight="1" x14ac:dyDescent="0.2">
      <c r="B78" s="1326" t="str">
        <f>IF($L$1=2,"Taxes","Taxes")</f>
        <v>Taxes</v>
      </c>
      <c r="C78" s="1325" t="str">
        <f>IF($L$1=2,"% de remise","% of Rebate")</f>
        <v>% of Rebate</v>
      </c>
      <c r="D78" s="1325" t="str">
        <f>IF($L$1=2,"Formulaires","Forms")</f>
        <v>Forms</v>
      </c>
      <c r="E78" s="1325" t="str">
        <f>IF($L$1=2,"Ligne","Line")</f>
        <v>Line</v>
      </c>
      <c r="F78" s="1325" t="str">
        <f>IF($L$1=2,"Montant réclamé","Claimed Amount")</f>
        <v>Claimed Amount</v>
      </c>
    </row>
    <row r="79" spans="1:7" ht="4.5" hidden="1" customHeight="1" x14ac:dyDescent="0.2">
      <c r="B79" s="1306"/>
      <c r="C79" s="1306"/>
      <c r="D79" s="1306"/>
      <c r="E79" s="1306"/>
      <c r="F79" s="1306"/>
    </row>
    <row r="80" spans="1:7" ht="19.5" customHeight="1" x14ac:dyDescent="0.2">
      <c r="B80" s="1293" t="str">
        <f>IF($L$1=2,"Fédéral (TPS)","Federal (GST)")</f>
        <v>Federal (GST)</v>
      </c>
      <c r="C80" s="1307">
        <f>$V$39</f>
        <v>0.5</v>
      </c>
      <c r="D80" s="517" t="str">
        <f>IF($V$21="QC","FPZ-66","GST66")</f>
        <v>GST66</v>
      </c>
      <c r="E80" s="517">
        <f>$X$39</f>
        <v>305</v>
      </c>
      <c r="F80" s="634">
        <f>G73*C80</f>
        <v>0</v>
      </c>
    </row>
    <row r="81" spans="2:7" ht="4.5" hidden="1" customHeight="1" x14ac:dyDescent="0.2">
      <c r="B81" s="1296"/>
      <c r="C81" s="1308"/>
      <c r="D81" s="1308"/>
      <c r="E81" s="1308"/>
      <c r="F81" s="1319"/>
    </row>
    <row r="82" spans="2:7" ht="19.5" customHeight="1" x14ac:dyDescent="0.2">
      <c r="B82" s="1293" t="str">
        <f>IF($L$1=2,"Provincial (TVP / TVQ)","Provincial (PST / QST)")</f>
        <v>Provincial (PST / QST)</v>
      </c>
      <c r="C82" s="1307">
        <f>LOOKUP($V$21,$U$25:$V$37)</f>
        <v>0.56999999999999995</v>
      </c>
      <c r="D82" s="517">
        <f>LOOKUP($V$21,$Y$25:$Z$37)</f>
        <v>0</v>
      </c>
      <c r="E82" s="517">
        <f>LOOKUP($V$21,$W$25:$X$37)</f>
        <v>0</v>
      </c>
      <c r="F82" s="634">
        <f>G75*C82</f>
        <v>0</v>
      </c>
    </row>
    <row r="83" spans="2:7" ht="4.5" hidden="1" customHeight="1" x14ac:dyDescent="0.2">
      <c r="B83" s="1306"/>
      <c r="C83" s="1306"/>
      <c r="D83" s="1306"/>
      <c r="E83" s="1306"/>
      <c r="F83" s="1306"/>
    </row>
    <row r="84" spans="2:7" ht="19.5" customHeight="1" x14ac:dyDescent="0.3">
      <c r="B84" s="1820" t="str">
        <f>IF($L$1=2,"Remise de taxes réclamée","Rebate to be claimed")</f>
        <v>Rebate to be claimed</v>
      </c>
      <c r="C84" s="1820"/>
      <c r="D84" s="1820"/>
      <c r="E84" s="1311" t="str">
        <f>IF(V76="QC","","409")</f>
        <v>409</v>
      </c>
      <c r="F84" s="1312">
        <f>SUM(F80,F82)</f>
        <v>0</v>
      </c>
    </row>
    <row r="85" spans="2:7" ht="4.5" hidden="1" customHeight="1" x14ac:dyDescent="0.2">
      <c r="B85" s="1302"/>
      <c r="C85" s="1303"/>
      <c r="D85" s="1304"/>
      <c r="E85" s="1304"/>
      <c r="F85" s="1304"/>
    </row>
    <row r="86" spans="2:7" ht="50.25" customHeight="1" x14ac:dyDescent="0.2"/>
    <row r="87" spans="2:7" ht="46.5" customHeight="1" x14ac:dyDescent="0.2">
      <c r="B87" s="1327" t="str">
        <f>IF(L1=2,"Total pour l'année","Total for the year")</f>
        <v>Total for the year</v>
      </c>
      <c r="C87" s="1328" t="str">
        <f>IF($L$1=2,"Taxes sur les dépenses","Taxes on Expenses")</f>
        <v>Taxes on Expenses</v>
      </c>
      <c r="D87" s="1328" t="str">
        <f>IF($L$1=2,"Taxes remboursées par le Gouv't","Taxes repaid by Gov't")</f>
        <v>Taxes repaid by Gov't</v>
      </c>
      <c r="E87" s="1328" t="str">
        <f>IF($L$1=2,"Taxes nettes payées","Net Taxes Paid")</f>
        <v>Net Taxes Paid</v>
      </c>
      <c r="F87" s="1328" t="str">
        <f>IF($L$1=2,"Taux de la taxe","Tax Rates")</f>
        <v>Tax Rates</v>
      </c>
      <c r="G87" s="1328" t="str">
        <f>IF($L$1=2,"TVH ventilée +TPS+TVP","HST Broken Down+GST+PST")</f>
        <v>HST Broken Down+GST+PST</v>
      </c>
    </row>
    <row r="88" spans="2:7" ht="4.5" hidden="1" customHeight="1" x14ac:dyDescent="0.2">
      <c r="B88" s="1306"/>
      <c r="C88" s="1306"/>
      <c r="D88" s="1315"/>
      <c r="E88" s="1315"/>
      <c r="F88" s="1315"/>
      <c r="G88" s="1315"/>
    </row>
    <row r="89" spans="2:7" ht="19.5" customHeight="1" x14ac:dyDescent="0.2">
      <c r="B89" s="1293" t="str">
        <f>IF($L$1=2,"TVH","HST")</f>
        <v>HST</v>
      </c>
      <c r="C89" s="603">
        <f>'Expense Jrnl'!K516</f>
        <v>0</v>
      </c>
      <c r="D89" s="603">
        <f>'Revenue Jrnl'!$K$516</f>
        <v>0</v>
      </c>
      <c r="E89" s="603">
        <f>C89-D89</f>
        <v>0</v>
      </c>
      <c r="F89" s="1294">
        <f>LOOKUP($V$21,$R$25:$S$37)+0.05</f>
        <v>0.12000000000000001</v>
      </c>
      <c r="G89" s="1295"/>
    </row>
    <row r="90" spans="2:7" ht="4.5" hidden="1" customHeight="1" x14ac:dyDescent="0.2">
      <c r="B90" s="1296"/>
      <c r="C90" s="1298"/>
      <c r="D90" s="1298"/>
      <c r="E90" s="1298"/>
      <c r="F90" s="1298"/>
      <c r="G90" s="1298"/>
    </row>
    <row r="91" spans="2:7" ht="19.5" customHeight="1" x14ac:dyDescent="0.2">
      <c r="B91" s="1293" t="str">
        <f>IF($L$1=2,"TPS","GST")</f>
        <v>GST</v>
      </c>
      <c r="C91" s="603">
        <f>'Expense Jrnl'!$L$516</f>
        <v>0</v>
      </c>
      <c r="D91" s="603">
        <f>'Revenue Jrnl'!$L$516</f>
        <v>0</v>
      </c>
      <c r="E91" s="603">
        <f>C91-D91</f>
        <v>0</v>
      </c>
      <c r="F91" s="1294">
        <f>$S$39</f>
        <v>0.05</v>
      </c>
      <c r="G91" s="603">
        <f>(E89*F91/F89)+E91</f>
        <v>0</v>
      </c>
    </row>
    <row r="92" spans="2:7" ht="4.5" hidden="1" customHeight="1" x14ac:dyDescent="0.2">
      <c r="B92" s="1296"/>
      <c r="C92" s="1298"/>
      <c r="D92" s="1298"/>
      <c r="E92" s="1298"/>
      <c r="F92" s="1300"/>
      <c r="G92" s="1301"/>
    </row>
    <row r="93" spans="2:7" ht="19.5" customHeight="1" x14ac:dyDescent="0.2">
      <c r="B93" s="1293" t="str">
        <f>IF($L$1=2,"TVP / TVQ","PST / QST")</f>
        <v>PST / QST</v>
      </c>
      <c r="C93" s="603">
        <f>'Expense Jrnl'!$M$516</f>
        <v>0</v>
      </c>
      <c r="D93" s="603">
        <f>'Revenue Jrnl'!$M$516</f>
        <v>0</v>
      </c>
      <c r="E93" s="603">
        <f>C93-D93</f>
        <v>0</v>
      </c>
      <c r="F93" s="1294">
        <f>LOOKUP($V$21,$R$25:$S$37)</f>
        <v>7.0000000000000007E-2</v>
      </c>
      <c r="G93" s="603">
        <f>(E89*F93/F89)+E93</f>
        <v>0</v>
      </c>
    </row>
    <row r="94" spans="2:7" ht="4.5" hidden="1" customHeight="1" x14ac:dyDescent="0.2">
      <c r="B94" s="1302"/>
      <c r="C94" s="1303"/>
      <c r="D94" s="1303"/>
      <c r="E94" s="1303"/>
      <c r="F94" s="1303"/>
      <c r="G94" s="1304"/>
    </row>
    <row r="95" spans="2:7" ht="4.5" customHeight="1" x14ac:dyDescent="0.2">
      <c r="G95" s="1208"/>
    </row>
    <row r="96" spans="2:7" ht="21.75" customHeight="1" x14ac:dyDescent="0.2">
      <c r="B96" s="1329" t="str">
        <f>IF($L$1=2,"Taxes","Taxes")</f>
        <v>Taxes</v>
      </c>
      <c r="C96" s="1328" t="str">
        <f>IF($L$1=2,"% de remise","% of Rebate")</f>
        <v>% of Rebate</v>
      </c>
      <c r="D96" s="1328" t="str">
        <f>IF($L$1=2,"Formulaires","Forms")</f>
        <v>Forms</v>
      </c>
      <c r="E96" s="1328" t="str">
        <f>IF($L$1=2,"Ligne","Line")</f>
        <v>Line</v>
      </c>
      <c r="F96" s="1328" t="str">
        <f>IF($L$1=2,"Montant réclamé","Claimed Amount")</f>
        <v>Claimed Amount</v>
      </c>
    </row>
    <row r="97" spans="2:10" ht="4.5" hidden="1" customHeight="1" x14ac:dyDescent="0.2">
      <c r="B97" s="1306"/>
      <c r="C97" s="1306"/>
      <c r="D97" s="1306"/>
      <c r="E97" s="1306"/>
      <c r="F97" s="1306"/>
    </row>
    <row r="98" spans="2:10" ht="19.5" customHeight="1" x14ac:dyDescent="0.2">
      <c r="B98" s="1293" t="str">
        <f>IF($L$1=2,"Fédéral (TPS)","Federal (GST)")</f>
        <v>Federal (GST)</v>
      </c>
      <c r="C98" s="1307">
        <f>$V$39</f>
        <v>0.5</v>
      </c>
      <c r="D98" s="517" t="str">
        <f>IF($V$21="QC","FPZ-66","GST66")</f>
        <v>GST66</v>
      </c>
      <c r="E98" s="517">
        <f>$X$39</f>
        <v>305</v>
      </c>
      <c r="F98" s="634">
        <f>G91*C98</f>
        <v>0</v>
      </c>
    </row>
    <row r="99" spans="2:10" ht="4.5" hidden="1" customHeight="1" x14ac:dyDescent="0.2">
      <c r="B99" s="1296"/>
      <c r="C99" s="1308"/>
      <c r="D99" s="1308"/>
      <c r="E99" s="1308"/>
      <c r="F99" s="1319"/>
    </row>
    <row r="100" spans="2:10" ht="19.5" customHeight="1" x14ac:dyDescent="0.2">
      <c r="B100" s="1293" t="str">
        <f>IF($L$1=2,"Provincial (TVP / TVQ)","Provincial (PST / QST)")</f>
        <v>Provincial (PST / QST)</v>
      </c>
      <c r="C100" s="1307">
        <f>LOOKUP($V$21,$U$25:$V$37)</f>
        <v>0.56999999999999995</v>
      </c>
      <c r="D100" s="517">
        <f>LOOKUP($V$21,$Y$25:$Z$37)</f>
        <v>0</v>
      </c>
      <c r="E100" s="517">
        <f>LOOKUP($V$21,$W$25:$X$37)</f>
        <v>0</v>
      </c>
      <c r="F100" s="634">
        <f>G93*C100</f>
        <v>0</v>
      </c>
    </row>
    <row r="101" spans="2:10" ht="4.5" hidden="1" customHeight="1" x14ac:dyDescent="0.2">
      <c r="B101" s="1306"/>
      <c r="C101" s="1306"/>
      <c r="D101" s="1306"/>
      <c r="E101" s="1306"/>
      <c r="F101" s="1306"/>
    </row>
    <row r="102" spans="2:10" ht="19.5" customHeight="1" x14ac:dyDescent="0.3">
      <c r="B102" s="1820" t="str">
        <f>IF($L$1=2,"Remise de taxes totale réclamée","Total Rebate to be claimed")</f>
        <v>Total Rebate to be claimed</v>
      </c>
      <c r="C102" s="1820"/>
      <c r="D102" s="1820"/>
      <c r="E102" s="1311" t="str">
        <f>IF(V94="QC","","409")</f>
        <v>409</v>
      </c>
      <c r="F102" s="1312">
        <f>SUM(F98,F100)</f>
        <v>0</v>
      </c>
      <c r="J102" s="1208">
        <f>F30+F48+F66+F84</f>
        <v>0</v>
      </c>
    </row>
    <row r="103" spans="2:10" ht="4.5" hidden="1" customHeight="1" x14ac:dyDescent="0.2">
      <c r="B103" s="1302"/>
      <c r="C103" s="1303"/>
      <c r="D103" s="1304"/>
      <c r="E103" s="1304"/>
      <c r="F103" s="1304"/>
    </row>
    <row r="104" spans="2:10" ht="4.5" customHeight="1" x14ac:dyDescent="0.2"/>
    <row r="105" spans="2:10" ht="1.5" customHeight="1" x14ac:dyDescent="0.2"/>
    <row r="106" spans="2:10" ht="15.75" x14ac:dyDescent="0.2">
      <c r="B106" s="23" t="str">
        <f>IF(L1=2,"TVH =","HST =")</f>
        <v>HST =</v>
      </c>
      <c r="C106" s="1821" t="str">
        <f>IF(L1=2,"Taxe de vente harmonisée","Harmonized Sale Tax")</f>
        <v>Harmonized Sale Tax</v>
      </c>
      <c r="D106" s="1821"/>
      <c r="E106" s="1821"/>
      <c r="F106" s="1821"/>
      <c r="J106" s="1825">
        <f>J102-F102</f>
        <v>0</v>
      </c>
    </row>
    <row r="107" spans="2:10" ht="15.75" x14ac:dyDescent="0.2">
      <c r="B107" s="23" t="str">
        <f>IF(L1=2,"TPS =","GST =")</f>
        <v>GST =</v>
      </c>
      <c r="C107" s="1821" t="str">
        <f>IF(L1=2,"Taxe sur les produits et services","Goods and Service Tax")</f>
        <v>Goods and Service Tax</v>
      </c>
      <c r="D107" s="1821"/>
      <c r="E107" s="1821"/>
      <c r="F107" s="1821"/>
      <c r="J107" s="1825"/>
    </row>
    <row r="108" spans="2:10" ht="15.75" x14ac:dyDescent="0.2">
      <c r="B108" s="23" t="str">
        <f>IF(L1=2,"TVP / TVQ =","PST / QST =")</f>
        <v>PST / QST =</v>
      </c>
      <c r="C108" s="1821" t="str">
        <f>IF(L1=2,"Taxe de vente provinciale / Taxe de vente du Québec","Provincial Sale Tax / Quebec Sale Tax")</f>
        <v>Provincial Sale Tax / Quebec Sale Tax</v>
      </c>
      <c r="D108" s="1821"/>
      <c r="E108" s="1821"/>
      <c r="F108" s="1821"/>
    </row>
    <row r="109" spans="2:10" ht="15.75" x14ac:dyDescent="0.2">
      <c r="B109" s="23" t="str">
        <f>IF(L1=2,"ARC =","CRA =")</f>
        <v>CRA =</v>
      </c>
      <c r="C109" s="1821" t="str">
        <f>IF(L1=2,"Agence du revenu du Canada","Canada Revenue Agency")</f>
        <v>Canada Revenue Agency</v>
      </c>
      <c r="D109" s="1821"/>
      <c r="E109" s="1821"/>
      <c r="F109" s="1821"/>
    </row>
    <row r="111" spans="2:10" ht="15.75" x14ac:dyDescent="0.2">
      <c r="C111" s="1823" t="str">
        <f>IF(L1=2,"Taux de TPS et de TVP par province","GST and PST Rate by Province")</f>
        <v>GST and PST Rate by Province</v>
      </c>
      <c r="D111" s="1823"/>
      <c r="E111" s="1823"/>
      <c r="F111" s="1823"/>
    </row>
    <row r="112" spans="2:10" x14ac:dyDescent="0.2">
      <c r="C112" s="1330" t="s">
        <v>660</v>
      </c>
      <c r="D112" s="1331">
        <v>0.05</v>
      </c>
      <c r="E112" s="1332" t="s">
        <v>133</v>
      </c>
      <c r="F112" s="1333">
        <v>0</v>
      </c>
    </row>
    <row r="113" spans="3:6" x14ac:dyDescent="0.2">
      <c r="C113" s="1334" t="s">
        <v>109</v>
      </c>
      <c r="D113" s="1335">
        <v>0</v>
      </c>
      <c r="E113" s="1336" t="s">
        <v>135</v>
      </c>
      <c r="F113" s="1337">
        <v>0</v>
      </c>
    </row>
    <row r="114" spans="3:6" x14ac:dyDescent="0.2">
      <c r="C114" s="1334" t="s">
        <v>114</v>
      </c>
      <c r="D114" s="1335">
        <v>7.0000000000000007E-2</v>
      </c>
      <c r="E114" s="1336" t="s">
        <v>139</v>
      </c>
      <c r="F114" s="1338">
        <v>0.08</v>
      </c>
    </row>
    <row r="115" spans="3:6" x14ac:dyDescent="0.2">
      <c r="C115" s="1334" t="s">
        <v>117</v>
      </c>
      <c r="D115" s="1335">
        <v>0.08</v>
      </c>
      <c r="E115" s="1336" t="s">
        <v>142</v>
      </c>
      <c r="F115" s="1338">
        <v>0.1</v>
      </c>
    </row>
    <row r="116" spans="3:6" x14ac:dyDescent="0.2">
      <c r="C116" s="1334" t="s">
        <v>121</v>
      </c>
      <c r="D116" s="1335">
        <v>0.1</v>
      </c>
      <c r="E116" s="1336" t="s">
        <v>148</v>
      </c>
      <c r="F116" s="1339">
        <v>9.9750000000000005E-2</v>
      </c>
    </row>
    <row r="117" spans="3:6" x14ac:dyDescent="0.2">
      <c r="C117" s="1334" t="s">
        <v>126</v>
      </c>
      <c r="D117" s="1335">
        <v>0.1</v>
      </c>
      <c r="E117" s="1336" t="s">
        <v>151</v>
      </c>
      <c r="F117" s="1338">
        <v>0.06</v>
      </c>
    </row>
    <row r="118" spans="3:6" x14ac:dyDescent="0.2">
      <c r="C118" s="1340" t="s">
        <v>129</v>
      </c>
      <c r="D118" s="1341">
        <v>0.1</v>
      </c>
      <c r="E118" s="1342" t="s">
        <v>155</v>
      </c>
      <c r="F118" s="1343">
        <v>0</v>
      </c>
    </row>
    <row r="119" spans="3:6" ht="26.25" customHeight="1" x14ac:dyDescent="0.2">
      <c r="C119" s="1822" t="str">
        <f>IF(L1=2,U42,U44)</f>
        <v>The Rebate and Tax Level are extracted from the different Website of each province. It is strongly recommended that these informations be verified with the government.</v>
      </c>
      <c r="D119" s="1822"/>
      <c r="E119" s="1822"/>
      <c r="F119" s="1822"/>
    </row>
    <row r="120" spans="3:6" ht="25.5" customHeight="1" x14ac:dyDescent="0.2">
      <c r="C120" s="1822"/>
      <c r="D120" s="1822"/>
      <c r="E120" s="1822"/>
      <c r="F120" s="1822"/>
    </row>
    <row r="121" spans="3:6" ht="15.75" x14ac:dyDescent="0.2">
      <c r="C121" s="1823" t="str">
        <f>IF(L1=2,"% de remise de taxe fédéral et provincial","% of Provincial and Federal Tax Rebate")</f>
        <v>% of Provincial and Federal Tax Rebate</v>
      </c>
      <c r="D121" s="1823"/>
      <c r="E121" s="1823"/>
      <c r="F121" s="1823"/>
    </row>
    <row r="122" spans="3:6" x14ac:dyDescent="0.2">
      <c r="C122" s="1330" t="s">
        <v>660</v>
      </c>
      <c r="D122" s="1331">
        <v>0.5</v>
      </c>
      <c r="E122" s="1332" t="s">
        <v>133</v>
      </c>
      <c r="F122" s="1333">
        <v>0</v>
      </c>
    </row>
    <row r="123" spans="3:6" x14ac:dyDescent="0.2">
      <c r="C123" s="1334" t="s">
        <v>109</v>
      </c>
      <c r="D123" s="1335">
        <v>0</v>
      </c>
      <c r="E123" s="1336" t="s">
        <v>135</v>
      </c>
      <c r="F123" s="1337">
        <v>0</v>
      </c>
    </row>
    <row r="124" spans="3:6" x14ac:dyDescent="0.2">
      <c r="C124" s="1334" t="s">
        <v>114</v>
      </c>
      <c r="D124" s="1335">
        <v>0.56999999999999995</v>
      </c>
      <c r="E124" s="1336" t="s">
        <v>139</v>
      </c>
      <c r="F124" s="1338">
        <v>0.82</v>
      </c>
    </row>
    <row r="125" spans="3:6" x14ac:dyDescent="0.2">
      <c r="C125" s="1334" t="s">
        <v>117</v>
      </c>
      <c r="D125" s="1335">
        <v>0</v>
      </c>
      <c r="E125" s="1336" t="s">
        <v>142</v>
      </c>
      <c r="F125" s="1338">
        <v>0.35</v>
      </c>
    </row>
    <row r="126" spans="3:6" x14ac:dyDescent="0.2">
      <c r="C126" s="1334" t="s">
        <v>121</v>
      </c>
      <c r="D126" s="1335">
        <v>0.5</v>
      </c>
      <c r="E126" s="1336" t="s">
        <v>148</v>
      </c>
      <c r="F126" s="1338">
        <v>0.5</v>
      </c>
    </row>
    <row r="127" spans="3:6" x14ac:dyDescent="0.2">
      <c r="C127" s="1334" t="s">
        <v>126</v>
      </c>
      <c r="D127" s="1335">
        <v>0.5</v>
      </c>
      <c r="E127" s="1336" t="s">
        <v>151</v>
      </c>
      <c r="F127" s="1338">
        <v>0</v>
      </c>
    </row>
    <row r="128" spans="3:6" x14ac:dyDescent="0.2">
      <c r="C128" s="1340" t="s">
        <v>129</v>
      </c>
      <c r="D128" s="1341">
        <v>0.5</v>
      </c>
      <c r="E128" s="1342" t="s">
        <v>155</v>
      </c>
      <c r="F128" s="1343">
        <v>0</v>
      </c>
    </row>
    <row r="131" spans="7:7" x14ac:dyDescent="0.2">
      <c r="G131" s="1824"/>
    </row>
    <row r="132" spans="7:7" x14ac:dyDescent="0.2">
      <c r="G132" s="1824"/>
    </row>
  </sheetData>
  <sheetProtection algorithmName="SHA-512" hashValue="QJzR64EaRMtYLGMuwtlDUfUcN/ck7hYxY9qc5e5WqJVKfYYEsakgIKFVUzIXyoUmm3UKHgkCQkGjFKtzfyCX0w==" saltValue="PxCoG3oKort4bm33YZqt5A==" spinCount="100000" sheet="1" objects="1" scenarios="1" selectLockedCells="1"/>
  <mergeCells count="23">
    <mergeCell ref="C119:F120"/>
    <mergeCell ref="C121:F121"/>
    <mergeCell ref="G131:G132"/>
    <mergeCell ref="J106:J107"/>
    <mergeCell ref="C107:F107"/>
    <mergeCell ref="C108:F108"/>
    <mergeCell ref="C109:F109"/>
    <mergeCell ref="C111:F111"/>
    <mergeCell ref="B48:D48"/>
    <mergeCell ref="B66:D66"/>
    <mergeCell ref="B84:D84"/>
    <mergeCell ref="B102:D102"/>
    <mergeCell ref="C106:F106"/>
    <mergeCell ref="B11:G11"/>
    <mergeCell ref="B12:G12"/>
    <mergeCell ref="R24:S24"/>
    <mergeCell ref="U24:V24"/>
    <mergeCell ref="B30:D30"/>
    <mergeCell ref="B3:G3"/>
    <mergeCell ref="B4:G4"/>
    <mergeCell ref="B5:G5"/>
    <mergeCell ref="B7:G7"/>
    <mergeCell ref="B9:G9"/>
  </mergeCells>
  <conditionalFormatting sqref="D28:E28">
    <cfRule type="cellIs" dxfId="16" priority="2" operator="equal">
      <formula>0</formula>
    </cfRule>
  </conditionalFormatting>
  <conditionalFormatting sqref="D46:E46">
    <cfRule type="cellIs" dxfId="15" priority="3" operator="equal">
      <formula>0</formula>
    </cfRule>
  </conditionalFormatting>
  <conditionalFormatting sqref="D64:E64">
    <cfRule type="cellIs" dxfId="14" priority="4" operator="equal">
      <formula>0</formula>
    </cfRule>
  </conditionalFormatting>
  <conditionalFormatting sqref="D82:E82">
    <cfRule type="cellIs" dxfId="13" priority="5" operator="equal">
      <formula>0</formula>
    </cfRule>
  </conditionalFormatting>
  <conditionalFormatting sqref="D100:E100">
    <cfRule type="cellIs" dxfId="12" priority="6" operator="equal">
      <formula>0</formula>
    </cfRule>
  </conditionalFormatting>
  <printOptions horizontalCentered="1"/>
  <pageMargins left="0.55138888888888904" right="0.15763888888888899" top="0.55138888888888904" bottom="0.15763888888888899" header="0.511811023622047" footer="0.15763888888888899"/>
  <pageSetup fitToHeight="0" orientation="portrait" horizontalDpi="300" verticalDpi="300"/>
  <headerFooter>
    <oddFooter>&amp;L&amp;D&amp;R&amp;P/&amp;N</oddFooter>
  </headerFooter>
  <rowBreaks count="2" manualBreakCount="2">
    <brk id="49" max="16383" man="1"/>
    <brk id="10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1:AMJ556"/>
  <sheetViews>
    <sheetView showGridLines="0" showZeros="0" zoomScale="85" zoomScaleNormal="85" workbookViewId="0">
      <pane xSplit="10" ySplit="15" topLeftCell="K16" activePane="bottomRight" state="frozen"/>
      <selection pane="topRight" activeCell="K1" sqref="K1"/>
      <selection pane="bottomLeft" activeCell="A471" sqref="A471"/>
      <selection pane="bottomRight" activeCell="BB8" sqref="BB8"/>
    </sheetView>
  </sheetViews>
  <sheetFormatPr defaultColWidth="11.42578125" defaultRowHeight="12.75" x14ac:dyDescent="0.2"/>
  <cols>
    <col min="1" max="1" width="3.7109375" style="142" customWidth="1"/>
    <col min="2" max="2" width="4.140625" style="143" customWidth="1"/>
    <col min="3" max="3" width="7" style="80" customWidth="1"/>
    <col min="4" max="4" width="14.140625" style="80" customWidth="1"/>
    <col min="5" max="5" width="12.140625" style="144" customWidth="1"/>
    <col min="6" max="6" width="48.7109375" style="80" customWidth="1"/>
    <col min="7" max="7" width="17.7109375" style="80" customWidth="1"/>
    <col min="8" max="8" width="21.140625" style="80" customWidth="1"/>
    <col min="9" max="9" width="6.5703125" style="145" hidden="1" customWidth="1"/>
    <col min="10" max="10" width="17.140625" style="145" customWidth="1"/>
    <col min="11" max="12" width="12.140625" style="145" customWidth="1"/>
    <col min="13" max="13" width="12.140625" style="80" customWidth="1"/>
    <col min="14" max="14" width="9.5703125" style="80" hidden="1" customWidth="1"/>
    <col min="15" max="15" width="12.140625" style="80" hidden="1" customWidth="1"/>
    <col min="16" max="16" width="12.140625" style="80" customWidth="1"/>
    <col min="17" max="17" width="13" style="80" customWidth="1"/>
    <col min="18" max="66" width="13.7109375" style="80" customWidth="1"/>
    <col min="67" max="67" width="11.85546875" style="80" hidden="1" customWidth="1"/>
    <col min="68" max="68" width="9.28515625" style="1" customWidth="1"/>
    <col min="69" max="69" width="9.140625" style="1" customWidth="1"/>
    <col min="70" max="70" width="8.7109375" style="1" hidden="1" customWidth="1"/>
    <col min="71" max="71" width="8.5703125" style="1" hidden="1" customWidth="1"/>
    <col min="72" max="72" width="9.140625" style="1" customWidth="1"/>
    <col min="73" max="73" width="9.140625" style="1" hidden="1" customWidth="1"/>
    <col min="74" max="275" width="9.140625" style="1" customWidth="1"/>
    <col min="276" max="1024" width="11.42578125" style="1"/>
  </cols>
  <sheetData>
    <row r="1" spans="1:73" ht="33.75" customHeight="1" x14ac:dyDescent="0.4">
      <c r="B1" s="1452" t="str">
        <f>IF(C4=2, "Journal des revenus","Revenues Journal")</f>
        <v>Revenues Journal</v>
      </c>
      <c r="C1" s="1452"/>
      <c r="D1" s="1452"/>
      <c r="E1" s="1452"/>
      <c r="F1" s="1452"/>
      <c r="G1" s="1452"/>
      <c r="H1" s="1452"/>
      <c r="I1" s="1452"/>
      <c r="J1" s="1452"/>
      <c r="K1" s="146"/>
      <c r="L1" s="146"/>
      <c r="M1" s="146"/>
      <c r="N1" s="146"/>
      <c r="O1" s="146"/>
      <c r="P1" s="146"/>
      <c r="Q1" s="146">
        <v>1</v>
      </c>
      <c r="T1" s="147">
        <v>1</v>
      </c>
      <c r="BE1" s="1495" t="str">
        <f>IF($C$4=2,"Ces 2 comptes seront reportés dans l'onglet SUIVI RECLAM. MDN","These 2 accounts will be posted in tab DND CLAIM TRACKER.")</f>
        <v>These 2 accounts will be posted in tab DND CLAIM TRACKER.</v>
      </c>
      <c r="BF1" s="1495"/>
      <c r="BU1" s="80"/>
    </row>
    <row r="2" spans="1:73" ht="33.75" customHeight="1" x14ac:dyDescent="0.2">
      <c r="B2" s="1453">
        <f>'Data Set up'!B2:I2</f>
        <v>0</v>
      </c>
      <c r="C2" s="1453"/>
      <c r="D2" s="1453"/>
      <c r="E2" s="1453"/>
      <c r="F2" s="1453"/>
      <c r="G2" s="1453"/>
      <c r="H2" s="1453"/>
      <c r="I2" s="1453"/>
      <c r="J2" s="1453"/>
      <c r="K2" s="135"/>
      <c r="L2" s="135"/>
      <c r="M2" s="135"/>
      <c r="N2" s="135"/>
      <c r="O2" s="135"/>
      <c r="P2" s="135"/>
      <c r="Q2" s="135"/>
      <c r="R2" s="148"/>
      <c r="S2" s="148"/>
      <c r="T2" s="148"/>
      <c r="U2" s="148"/>
      <c r="V2" s="148"/>
      <c r="W2" s="148"/>
      <c r="AD2" s="1496"/>
      <c r="AE2" s="1496"/>
      <c r="AF2" s="1496"/>
      <c r="AG2" s="1496"/>
      <c r="AH2" s="1496"/>
      <c r="AI2" s="1496"/>
      <c r="AJ2" s="1496"/>
      <c r="AK2" s="1496"/>
      <c r="AL2" s="1496"/>
      <c r="AM2" s="1496"/>
      <c r="AN2" s="1496"/>
      <c r="AO2" s="1496"/>
      <c r="AP2" s="1496"/>
      <c r="AQ2" s="1496"/>
      <c r="AR2" s="1496"/>
      <c r="AS2" s="1496"/>
      <c r="AT2" s="1496"/>
      <c r="AU2" s="1496"/>
      <c r="BE2" s="1495"/>
      <c r="BF2" s="1495"/>
      <c r="BO2" s="145" t="s">
        <v>178</v>
      </c>
      <c r="BS2" s="145" t="s">
        <v>178</v>
      </c>
      <c r="BU2" s="80"/>
    </row>
    <row r="3" spans="1:73" ht="43.5" customHeight="1" x14ac:dyDescent="0.2">
      <c r="B3" s="1497" t="str">
        <f>IF(C4=2,"pour la période du "&amp;'Data Set up'!K8&amp;" au "&amp;'Data Set up'!K12,"For the period from "&amp;'Data Set up'!K9&amp;" to "&amp;'Data Set up'!K12)</f>
        <v>For the period from 1 september 2023 to 31 August 2024</v>
      </c>
      <c r="C3" s="1497"/>
      <c r="D3" s="1497"/>
      <c r="E3" s="1497"/>
      <c r="F3" s="1497"/>
      <c r="G3" s="1497"/>
      <c r="H3" s="1497"/>
      <c r="I3" s="1497"/>
      <c r="J3" s="1497"/>
      <c r="K3" s="149"/>
      <c r="L3" s="149"/>
      <c r="M3" s="149"/>
      <c r="N3" s="149"/>
      <c r="O3" s="149"/>
      <c r="P3" s="149"/>
      <c r="Q3" s="149"/>
      <c r="R3" s="150"/>
      <c r="S3" s="150"/>
      <c r="T3" s="150"/>
      <c r="U3" s="150"/>
      <c r="V3" s="150"/>
      <c r="W3" s="150"/>
      <c r="X3" s="150"/>
      <c r="Y3" s="150"/>
      <c r="Z3" s="150"/>
      <c r="AA3" s="150"/>
      <c r="AB3" s="150"/>
      <c r="AC3" s="150"/>
      <c r="AD3" s="1496"/>
      <c r="AE3" s="1496"/>
      <c r="AF3" s="1496"/>
      <c r="AG3" s="1496"/>
      <c r="AH3" s="1496"/>
      <c r="AI3" s="1496"/>
      <c r="AJ3" s="1496"/>
      <c r="AK3" s="1496"/>
      <c r="AL3" s="1496"/>
      <c r="AM3" s="1496"/>
      <c r="AN3" s="1496"/>
      <c r="AO3" s="1496"/>
      <c r="AP3" s="1496"/>
      <c r="AQ3" s="1496"/>
      <c r="AR3" s="1496"/>
      <c r="AS3" s="1496"/>
      <c r="AT3" s="1496"/>
      <c r="AU3" s="1496"/>
      <c r="BE3" s="1498" t="str">
        <f>IF($C$4=2,"Source fédérale seulement","Federal source only")</f>
        <v>Federal source only</v>
      </c>
      <c r="BF3" s="1498"/>
      <c r="BG3" s="1498"/>
      <c r="BH3" s="1498" t="str">
        <f>IF($C$4=2,"Source provinciale/Terr. seulement","Provincial/Terr. source only")</f>
        <v>Provincial/Terr. source only</v>
      </c>
      <c r="BI3" s="1498"/>
      <c r="BJ3" s="1498"/>
      <c r="BK3" s="1498" t="str">
        <f>IF($C$4=2,"Source municipale/Régional seulement","Municipal/Regional source only")</f>
        <v>Municipal/Regional source only</v>
      </c>
      <c r="BL3" s="1498"/>
      <c r="BM3" s="1498"/>
      <c r="BO3" s="145" t="s">
        <v>179</v>
      </c>
      <c r="BR3" s="80"/>
      <c r="BS3" s="145" t="s">
        <v>179</v>
      </c>
      <c r="BU3" s="80"/>
    </row>
    <row r="4" spans="1:73" ht="18" customHeight="1" x14ac:dyDescent="0.2">
      <c r="B4" s="151">
        <f>'ACC9 (Page 6) Balance Sheet'!Q54</f>
        <v>0</v>
      </c>
      <c r="C4" s="152">
        <f>'Data Set up'!K10</f>
        <v>1</v>
      </c>
      <c r="D4" s="152"/>
      <c r="E4" s="153"/>
      <c r="F4" s="1499" t="str">
        <f>IF($C$4=2,"Ajoutez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500"/>
      <c r="H4" s="154"/>
      <c r="I4" s="154"/>
      <c r="J4" s="154"/>
      <c r="K4" s="154"/>
      <c r="L4" s="155"/>
      <c r="M4" s="155"/>
      <c r="N4" s="155"/>
      <c r="O4" s="155"/>
      <c r="P4" s="155"/>
      <c r="Q4" s="1501">
        <v>4000</v>
      </c>
      <c r="R4" s="1501"/>
      <c r="S4" s="1501"/>
      <c r="T4" s="1501"/>
      <c r="U4" s="1501"/>
      <c r="V4" s="1501"/>
      <c r="W4" s="1501"/>
      <c r="X4" s="1501"/>
      <c r="Y4" s="1501"/>
      <c r="Z4" s="1501"/>
      <c r="AA4" s="1501"/>
      <c r="AB4" s="1501"/>
      <c r="AC4" s="1501"/>
      <c r="AD4" s="1501">
        <v>4200</v>
      </c>
      <c r="AE4" s="1501"/>
      <c r="AF4" s="1501"/>
      <c r="AG4" s="1501"/>
      <c r="AH4" s="1501"/>
      <c r="AI4" s="1501"/>
      <c r="AJ4" s="1501"/>
      <c r="AK4" s="1501"/>
      <c r="AL4" s="1501"/>
      <c r="AM4" s="1501">
        <v>4400</v>
      </c>
      <c r="AN4" s="1501"/>
      <c r="AO4" s="1501"/>
      <c r="AP4" s="1501"/>
      <c r="AQ4" s="1501"/>
      <c r="AR4" s="1501"/>
      <c r="AS4" s="1501"/>
      <c r="AT4" s="1501"/>
      <c r="AU4" s="1501"/>
      <c r="AV4" s="1501">
        <v>4600</v>
      </c>
      <c r="AW4" s="1501"/>
      <c r="AX4" s="1501"/>
      <c r="AY4" s="1501"/>
      <c r="AZ4" s="1501"/>
      <c r="BA4" s="1501"/>
      <c r="BB4" s="1501"/>
      <c r="BC4" s="1501"/>
      <c r="BD4" s="1501"/>
      <c r="BE4" s="1501">
        <v>4800</v>
      </c>
      <c r="BF4" s="1501"/>
      <c r="BG4" s="1501"/>
      <c r="BH4" s="1501"/>
      <c r="BI4" s="1501"/>
      <c r="BJ4" s="1501"/>
      <c r="BK4" s="1501"/>
      <c r="BL4" s="1501"/>
      <c r="BM4" s="1501"/>
      <c r="BN4" s="1"/>
      <c r="BO4" s="1"/>
      <c r="BR4" s="80"/>
      <c r="BU4" s="80"/>
    </row>
    <row r="5" spans="1:73" ht="36.75" customHeight="1" x14ac:dyDescent="0.2">
      <c r="C5" s="156"/>
      <c r="D5" s="156"/>
      <c r="E5" s="157"/>
      <c r="F5" s="1499"/>
      <c r="G5" s="1500"/>
      <c r="H5" s="154"/>
      <c r="I5" s="154"/>
      <c r="J5" s="154"/>
      <c r="K5" s="154"/>
      <c r="L5" s="155"/>
      <c r="M5" s="155"/>
      <c r="N5" s="155"/>
      <c r="O5" s="155"/>
      <c r="P5" s="155"/>
      <c r="Q5" s="1502" t="str">
        <f>IF(C4=2,"Dons, Subventions, Octrois et autres","Donations, Grants &amp; Other")</f>
        <v>Donations, Grants &amp; Other</v>
      </c>
      <c r="R5" s="1502"/>
      <c r="S5" s="1502"/>
      <c r="T5" s="1502"/>
      <c r="U5" s="1502"/>
      <c r="V5" s="1502"/>
      <c r="W5" s="1502"/>
      <c r="X5" s="1502"/>
      <c r="Y5" s="1502"/>
      <c r="Z5" s="1502"/>
      <c r="AA5" s="1502"/>
      <c r="AB5" s="1502"/>
      <c r="AC5" s="1502"/>
      <c r="AD5" s="1502" t="str">
        <f>IF(C4=2,"Levée de fonds - Jeux d'argent &amp; loteries","Gaming &amp; Lotteries Fundraising")</f>
        <v>Gaming &amp; Lotteries Fundraising</v>
      </c>
      <c r="AE5" s="1502"/>
      <c r="AF5" s="1502"/>
      <c r="AG5" s="1502"/>
      <c r="AH5" s="1502"/>
      <c r="AI5" s="1502"/>
      <c r="AJ5" s="1502"/>
      <c r="AK5" s="1502"/>
      <c r="AL5" s="1502"/>
      <c r="AM5" s="1502" t="str">
        <f>IF(C4=2,"Autres levées de fonds","Other Fundraising")</f>
        <v>Other Fundraising</v>
      </c>
      <c r="AN5" s="1502"/>
      <c r="AO5" s="1502"/>
      <c r="AP5" s="1502"/>
      <c r="AQ5" s="1502"/>
      <c r="AR5" s="1502"/>
      <c r="AS5" s="1502"/>
      <c r="AT5" s="1502"/>
      <c r="AU5" s="1502"/>
      <c r="AV5" s="1502" t="str">
        <f>IF(C4=2,"Recettes diverses (Autres que gouv)","Misc Revenues (Other than Gov't)")</f>
        <v>Misc Revenues (Other than Gov't)</v>
      </c>
      <c r="AW5" s="1502"/>
      <c r="AX5" s="1502"/>
      <c r="AY5" s="1502"/>
      <c r="AZ5" s="1502"/>
      <c r="BA5" s="1502"/>
      <c r="BB5" s="1502"/>
      <c r="BC5" s="1502"/>
      <c r="BD5" s="1502"/>
      <c r="BE5" s="1502" t="str">
        <f>IF(C4=2,"Subventions et allocations (Gouv)","Funding &amp; Recoveries (Gov't)")</f>
        <v>Funding &amp; Recoveries (Gov't)</v>
      </c>
      <c r="BF5" s="1502"/>
      <c r="BG5" s="1502"/>
      <c r="BH5" s="1502"/>
      <c r="BI5" s="1502"/>
      <c r="BJ5" s="1502"/>
      <c r="BK5" s="1502"/>
      <c r="BL5" s="1502"/>
      <c r="BM5" s="1502"/>
      <c r="BO5" s="1"/>
      <c r="BR5" s="80"/>
      <c r="BU5" s="80"/>
    </row>
    <row r="6" spans="1:73" ht="18.75" customHeight="1" x14ac:dyDescent="0.2">
      <c r="B6" s="158" t="s">
        <v>180</v>
      </c>
      <c r="C6" s="156"/>
      <c r="D6" s="156"/>
      <c r="E6" s="157"/>
      <c r="F6" s="1499"/>
      <c r="G6" s="1500"/>
      <c r="H6" s="154"/>
      <c r="I6" s="154"/>
      <c r="J6" s="154"/>
      <c r="K6" s="1503" t="str">
        <f>IF(C4=2,"Si des taxes sont remboursées par le gouv't, inscrivez-les ici.","If taxes are reimbursed by Gov't, enter them here.")</f>
        <v>If taxes are reimbursed by Gov't, enter them here.</v>
      </c>
      <c r="L6" s="1503"/>
      <c r="M6" s="1503"/>
      <c r="N6" s="155"/>
      <c r="O6" s="155"/>
      <c r="P6" s="155"/>
      <c r="Q6" s="159">
        <v>4010</v>
      </c>
      <c r="R6" s="160">
        <v>4020</v>
      </c>
      <c r="S6" s="160">
        <v>4030</v>
      </c>
      <c r="T6" s="1436">
        <v>4030.1</v>
      </c>
      <c r="U6" s="1436">
        <v>4030.2</v>
      </c>
      <c r="V6" s="1436">
        <v>4030.3</v>
      </c>
      <c r="W6" s="1436">
        <v>4030.4</v>
      </c>
      <c r="X6" s="160">
        <v>4040</v>
      </c>
      <c r="Y6" s="160">
        <v>4050</v>
      </c>
      <c r="Z6" s="160">
        <v>4060</v>
      </c>
      <c r="AA6" s="160">
        <v>4070</v>
      </c>
      <c r="AB6" s="1437">
        <v>4080</v>
      </c>
      <c r="AC6" s="1437">
        <v>4090</v>
      </c>
      <c r="AD6" s="1438">
        <v>4210</v>
      </c>
      <c r="AE6" s="1436">
        <v>4220</v>
      </c>
      <c r="AF6" s="1436">
        <v>4230</v>
      </c>
      <c r="AG6" s="1436">
        <v>4240</v>
      </c>
      <c r="AH6" s="1436">
        <v>4250</v>
      </c>
      <c r="AI6" s="1437">
        <v>4260</v>
      </c>
      <c r="AJ6" s="1437">
        <v>4270</v>
      </c>
      <c r="AK6" s="1436">
        <v>4280</v>
      </c>
      <c r="AL6" s="1436">
        <v>4290</v>
      </c>
      <c r="AM6" s="1438">
        <v>4410</v>
      </c>
      <c r="AN6" s="1436">
        <v>4420</v>
      </c>
      <c r="AO6" s="1436">
        <v>4430</v>
      </c>
      <c r="AP6" s="1436">
        <v>4440</v>
      </c>
      <c r="AQ6" s="1439">
        <v>4450</v>
      </c>
      <c r="AR6" s="1439">
        <v>4460</v>
      </c>
      <c r="AS6" s="1439">
        <v>4470</v>
      </c>
      <c r="AT6" s="1439">
        <v>4480</v>
      </c>
      <c r="AU6" s="1440">
        <v>4490</v>
      </c>
      <c r="AV6" s="162">
        <v>4610</v>
      </c>
      <c r="AW6" s="160">
        <v>4620</v>
      </c>
      <c r="AX6" s="160">
        <v>4630</v>
      </c>
      <c r="AY6" s="160">
        <v>4640</v>
      </c>
      <c r="AZ6" s="160">
        <v>4650</v>
      </c>
      <c r="BA6" s="1436">
        <v>4660</v>
      </c>
      <c r="BB6" s="1436">
        <v>4670</v>
      </c>
      <c r="BC6" s="1437">
        <v>4680</v>
      </c>
      <c r="BD6" s="1437">
        <v>4690</v>
      </c>
      <c r="BE6" s="163">
        <v>4810</v>
      </c>
      <c r="BF6" s="164">
        <v>4820</v>
      </c>
      <c r="BG6" s="165">
        <v>4830</v>
      </c>
      <c r="BH6" s="166">
        <v>4840</v>
      </c>
      <c r="BI6" s="1441">
        <v>4850</v>
      </c>
      <c r="BJ6" s="165">
        <v>4860</v>
      </c>
      <c r="BK6" s="166">
        <v>4870</v>
      </c>
      <c r="BL6" s="1441">
        <v>4880</v>
      </c>
      <c r="BM6" s="1442">
        <v>4890</v>
      </c>
      <c r="BN6" s="167"/>
      <c r="BO6" s="1"/>
      <c r="BR6" s="80"/>
      <c r="BT6" s="147"/>
      <c r="BU6" s="80"/>
    </row>
    <row r="7" spans="1:73" ht="18" customHeight="1" x14ac:dyDescent="0.2">
      <c r="C7" s="156"/>
      <c r="D7" s="156"/>
      <c r="E7" s="168"/>
      <c r="F7" s="1499"/>
      <c r="G7" s="1500"/>
      <c r="H7" s="154"/>
      <c r="I7" s="154"/>
      <c r="J7" s="154"/>
      <c r="K7" s="1503"/>
      <c r="L7" s="1503"/>
      <c r="M7" s="1503"/>
      <c r="N7" s="155"/>
      <c r="O7" s="155"/>
      <c r="P7" s="155"/>
      <c r="Q7" s="169" t="s">
        <v>181</v>
      </c>
      <c r="R7" s="170" t="s">
        <v>182</v>
      </c>
      <c r="S7" s="170" t="s">
        <v>183</v>
      </c>
      <c r="T7" s="170"/>
      <c r="U7" s="170"/>
      <c r="V7" s="170"/>
      <c r="W7" s="170"/>
      <c r="X7" s="170" t="s">
        <v>184</v>
      </c>
      <c r="Y7" s="170" t="s">
        <v>185</v>
      </c>
      <c r="Z7" s="170" t="s">
        <v>186</v>
      </c>
      <c r="AA7" s="170" t="s">
        <v>187</v>
      </c>
      <c r="AB7" s="171" t="s">
        <v>188</v>
      </c>
      <c r="AC7" s="171" t="s">
        <v>189</v>
      </c>
      <c r="AD7" s="172" t="s">
        <v>190</v>
      </c>
      <c r="AE7" s="170" t="s">
        <v>191</v>
      </c>
      <c r="AF7" s="170" t="s">
        <v>192</v>
      </c>
      <c r="AG7" s="170" t="s">
        <v>193</v>
      </c>
      <c r="AH7" s="170" t="s">
        <v>194</v>
      </c>
      <c r="AI7" s="170" t="s">
        <v>195</v>
      </c>
      <c r="AJ7" s="171" t="s">
        <v>196</v>
      </c>
      <c r="AK7" s="171" t="s">
        <v>197</v>
      </c>
      <c r="AL7" s="171" t="s">
        <v>198</v>
      </c>
      <c r="AM7" s="172" t="s">
        <v>199</v>
      </c>
      <c r="AN7" s="170" t="s">
        <v>200</v>
      </c>
      <c r="AO7" s="170" t="s">
        <v>201</v>
      </c>
      <c r="AP7" s="170" t="s">
        <v>202</v>
      </c>
      <c r="AQ7" s="170" t="s">
        <v>203</v>
      </c>
      <c r="AR7" s="170" t="s">
        <v>204</v>
      </c>
      <c r="AS7" s="170" t="s">
        <v>205</v>
      </c>
      <c r="AT7" s="170" t="s">
        <v>206</v>
      </c>
      <c r="AU7" s="173" t="s">
        <v>207</v>
      </c>
      <c r="AV7" s="172" t="s">
        <v>208</v>
      </c>
      <c r="AW7" s="170" t="s">
        <v>209</v>
      </c>
      <c r="AX7" s="170" t="s">
        <v>210</v>
      </c>
      <c r="AY7" s="170" t="s">
        <v>211</v>
      </c>
      <c r="AZ7" s="170" t="s">
        <v>212</v>
      </c>
      <c r="BA7" s="170" t="s">
        <v>213</v>
      </c>
      <c r="BB7" s="170" t="s">
        <v>214</v>
      </c>
      <c r="BC7" s="171" t="s">
        <v>215</v>
      </c>
      <c r="BD7" s="171" t="s">
        <v>216</v>
      </c>
      <c r="BE7" s="172" t="s">
        <v>217</v>
      </c>
      <c r="BF7" s="170" t="s">
        <v>218</v>
      </c>
      <c r="BG7" s="174" t="s">
        <v>219</v>
      </c>
      <c r="BH7" s="175" t="s">
        <v>220</v>
      </c>
      <c r="BI7" s="170" t="s">
        <v>221</v>
      </c>
      <c r="BJ7" s="174" t="s">
        <v>222</v>
      </c>
      <c r="BK7" s="175" t="s">
        <v>223</v>
      </c>
      <c r="BL7" s="170" t="s">
        <v>224</v>
      </c>
      <c r="BM7" s="173" t="s">
        <v>225</v>
      </c>
      <c r="BN7" s="167"/>
      <c r="BO7" s="1"/>
      <c r="BR7" s="80"/>
      <c r="BT7" s="147"/>
      <c r="BU7" s="80"/>
    </row>
    <row r="8" spans="1:73" ht="72.75" customHeight="1" x14ac:dyDescent="0.2">
      <c r="B8" s="176" t="str">
        <f>IF(C4=2,"Réconcilié","Reconciled")</f>
        <v>Reconciled</v>
      </c>
      <c r="C8" s="177" t="str">
        <f>IF(C4=2,"Type Transaction","Transactions Type")</f>
        <v>Transactions Type</v>
      </c>
      <c r="D8" s="178" t="str">
        <f>IF(C4=2,"# de réf","Ref #")</f>
        <v>Ref #</v>
      </c>
      <c r="E8" s="179" t="str">
        <f>IF(C4=2,"Date
(jj/mm/aaaa)","Date
(dd/mm/yyyy)")</f>
        <v>Date
(dd/mm/yyyy)</v>
      </c>
      <c r="F8" s="180" t="str">
        <f>IF(C4=2,"Détails","Details")</f>
        <v>Details</v>
      </c>
      <c r="G8" s="181" t="str">
        <f>IF(C4=2,"Montant des
encaissements","Amount of
cash-in")</f>
        <v>Amount of
cash-in</v>
      </c>
      <c r="H8" s="182" t="str">
        <f>IF(C4=2,"Compte","Account")</f>
        <v>Account</v>
      </c>
      <c r="I8" s="183" t="str">
        <f>IF(C4=2,"No. Compte","Account #")</f>
        <v>Account #</v>
      </c>
      <c r="J8" s="184" t="str">
        <f>IF(C4=2,"PREUVE DE RÉPARTITION dans les catégories - Doit être 0$","PROOF OF CATEGORY ALLOCATION - must be $0")</f>
        <v>PROOF OF CATEGORY ALLOCATION - must be $0</v>
      </c>
      <c r="K8" s="185" t="str">
        <f>IF(C4=2,"TVH Remboursées par Gouv't","HST Reimbursed by Gov't")</f>
        <v>HST Reimbursed by Gov't</v>
      </c>
      <c r="L8" s="186" t="str">
        <f>IF(C4=2,"TPS Remboursées par Gouv't","GST Reimbursed by Gov't")</f>
        <v>GST Reimbursed by Gov't</v>
      </c>
      <c r="M8" s="186" t="str">
        <f>IF(C4=2,"TVP/TVQ Remboursées par Gouv't","PST/QST Reimbursed by Gov't")</f>
        <v>PST/QST Reimbursed by Gov't</v>
      </c>
      <c r="N8" s="187"/>
      <c r="O8" s="188" t="str">
        <f>IF(C4=2,"Remboursement par trimestre","Quarters Rebate")</f>
        <v>Quarters Rebate</v>
      </c>
      <c r="P8" s="186" t="str">
        <f>IF(C4=2,"Montant des reçus d'impôt émis (non inclus dans le compte 4070)","Issued Tax Receipt Amount (not included in account 4070)")</f>
        <v>Issued Tax Receipt Amount (not included in account 4070)</v>
      </c>
      <c r="Q8" s="189" t="str">
        <f>IF(C4=2,"Répondant(s) officiel(s)","From Official Sponsor(s)")</f>
        <v>From Official Sponsor(s)</v>
      </c>
      <c r="R8" s="190" t="str">
        <f>IF(C4=2,"Organismes de Vétérans, autres que Répondants, et leurs Auxiliaires","From Non-Sponsor Veterans Organizations &amp; their Auxiliaries")</f>
        <v>From Non-Sponsor Veterans Organizations &amp; their Auxiliaries</v>
      </c>
      <c r="S8" s="191" t="str">
        <f>IF(C4=2,"Autres Clubs sociaux/de services (Bienfaisance)","From Other Service Clubs (Charities)")</f>
        <v>From Other Service Clubs (Charities)</v>
      </c>
      <c r="T8" s="192" t="s">
        <v>43</v>
      </c>
      <c r="U8" s="192" t="s">
        <v>43</v>
      </c>
      <c r="V8" s="192" t="s">
        <v>43</v>
      </c>
      <c r="W8" s="192" t="s">
        <v>43</v>
      </c>
      <c r="X8" s="190" t="str">
        <f>IF(C4=2,"Subventions spécifiques (autre que du MDN)","Specific Purpose Non-DND Grants")</f>
        <v>Specific Purpose Non-DND Grants</v>
      </c>
      <c r="Y8" s="190" t="str">
        <f>IF(C4=2,"Octrois, Legs, et autres","Bequests and Such")</f>
        <v>Bequests and Such</v>
      </c>
      <c r="Z8" s="193" t="str">
        <f>IF(C4=2,"Autres Dons - sans reçus officiels d'impôt sur le revenu","Other Non-Tax Receipted Donations")</f>
        <v>Other Non-Tax Receipted Donations</v>
      </c>
      <c r="AA8" s="190" t="str">
        <f>IF(C4=2,"Autres Dons avec reçus officiels","Other Tax Receipted Donations")</f>
        <v>Other Tax Receipted Donations</v>
      </c>
      <c r="AB8" s="194" t="s">
        <v>43</v>
      </c>
      <c r="AC8" s="194" t="s">
        <v>43</v>
      </c>
      <c r="AD8" s="195" t="s">
        <v>714</v>
      </c>
      <c r="AE8" s="194" t="s">
        <v>715</v>
      </c>
      <c r="AF8" s="194" t="s">
        <v>43</v>
      </c>
      <c r="AG8" s="194" t="s">
        <v>43</v>
      </c>
      <c r="AH8" s="194" t="s">
        <v>43</v>
      </c>
      <c r="AI8" s="194" t="s">
        <v>43</v>
      </c>
      <c r="AJ8" s="194" t="s">
        <v>43</v>
      </c>
      <c r="AK8" s="194" t="s">
        <v>43</v>
      </c>
      <c r="AL8" s="194" t="s">
        <v>43</v>
      </c>
      <c r="AM8" s="194" t="s">
        <v>726</v>
      </c>
      <c r="AN8" s="194" t="s">
        <v>727</v>
      </c>
      <c r="AO8" s="194" t="s">
        <v>728</v>
      </c>
      <c r="AP8" s="194" t="s">
        <v>255</v>
      </c>
      <c r="AQ8" s="194" t="s">
        <v>43</v>
      </c>
      <c r="AR8" s="194" t="s">
        <v>43</v>
      </c>
      <c r="AS8" s="194" t="s">
        <v>43</v>
      </c>
      <c r="AT8" s="194" t="s">
        <v>43</v>
      </c>
      <c r="AU8" s="196" t="s">
        <v>43</v>
      </c>
      <c r="AV8" s="197" t="str">
        <f>IF(B4=2,"Contributions des cadets pour activités","Money Collected for Activities")</f>
        <v>Money Collected for Activities</v>
      </c>
      <c r="AW8" s="190" t="str">
        <f>IF(B4=2,"Ristournes","Refunds")</f>
        <v>Refunds</v>
      </c>
      <c r="AX8" s="190" t="str">
        <f>IF(B4=2,"Cantines - Ventes","Canteen Proceeds")</f>
        <v>Canteen Proceeds</v>
      </c>
      <c r="AY8" s="190" t="str">
        <f>IF(B4=2,"Vente art. Logo","Sale of Sqn Logo Items")</f>
        <v>Sale of Sqn Logo Items</v>
      </c>
      <c r="AZ8" s="190" t="str">
        <f>IF(B4=2,"Intérêts/Revenus bancaires/Investissements","Bank &amp; Investments Interest/Income")</f>
        <v>Bank &amp; Investments Interest/Income</v>
      </c>
      <c r="BA8" s="194" t="s">
        <v>718</v>
      </c>
      <c r="BB8" s="194" t="s">
        <v>716</v>
      </c>
      <c r="BC8" s="194" t="s">
        <v>717</v>
      </c>
      <c r="BD8" s="194" t="s">
        <v>43</v>
      </c>
      <c r="BE8" s="197" t="s">
        <v>226</v>
      </c>
      <c r="BF8" s="190" t="s">
        <v>227</v>
      </c>
      <c r="BG8" s="198" t="s">
        <v>228</v>
      </c>
      <c r="BH8" s="199" t="str">
        <f>IF(C4=2,"subventions gouvernementales - Provincial;","Governmental Grants - Provincial")</f>
        <v>Governmental Grants - Provincial</v>
      </c>
      <c r="BI8" s="194" t="s">
        <v>43</v>
      </c>
      <c r="BJ8" s="198" t="s">
        <v>229</v>
      </c>
      <c r="BK8" s="199" t="str">
        <f>IF(C4=2,"subventions gouvernementales - Régional/
Municipal;","Governmental Grants - Regional/
Municipal")</f>
        <v>Governmental Grants - Regional/
Municipal</v>
      </c>
      <c r="BL8" s="194" t="s">
        <v>43</v>
      </c>
      <c r="BM8" s="194" t="s">
        <v>43</v>
      </c>
      <c r="BN8" s="200" t="str">
        <f>IF(C4=2,"Transferts de compte à compte ou ajustements.","Transfers between accounts or Adjustments.")</f>
        <v>Transfers between accounts or Adjustments.</v>
      </c>
      <c r="BO8" s="201"/>
      <c r="BR8" s="80"/>
      <c r="BU8" s="80"/>
    </row>
    <row r="9" spans="1:73" hidden="1" x14ac:dyDescent="0.2">
      <c r="E9" s="1"/>
      <c r="F9" s="1"/>
      <c r="G9" s="1"/>
      <c r="H9" s="1"/>
      <c r="I9" s="1"/>
      <c r="J9" s="80"/>
      <c r="K9" s="147"/>
      <c r="O9" s="80">
        <f>E23</f>
        <v>0</v>
      </c>
      <c r="S9" s="144" t="s">
        <v>105</v>
      </c>
      <c r="T9" s="4" t="s">
        <v>230</v>
      </c>
      <c r="U9" s="4" t="s">
        <v>231</v>
      </c>
      <c r="V9" s="4" t="s">
        <v>232</v>
      </c>
      <c r="W9" s="4"/>
      <c r="AA9" s="144"/>
      <c r="AB9" s="5"/>
      <c r="AC9" s="4"/>
      <c r="AD9" s="4" t="s">
        <v>233</v>
      </c>
      <c r="AE9" s="4" t="s">
        <v>234</v>
      </c>
      <c r="AF9" s="4" t="s">
        <v>235</v>
      </c>
      <c r="AG9" s="4" t="s">
        <v>236</v>
      </c>
      <c r="AH9" s="5" t="s">
        <v>237</v>
      </c>
      <c r="AI9" s="5"/>
      <c r="AJ9" s="4"/>
      <c r="AK9" s="4"/>
      <c r="AL9" s="4"/>
      <c r="AM9" s="79" t="s">
        <v>238</v>
      </c>
      <c r="AN9" s="79" t="s">
        <v>239</v>
      </c>
      <c r="AO9" s="79"/>
      <c r="AP9" s="79"/>
      <c r="AQ9" s="79"/>
      <c r="AR9" s="79" t="s">
        <v>240</v>
      </c>
      <c r="AS9" s="79" t="s">
        <v>241</v>
      </c>
      <c r="AT9" s="5"/>
      <c r="AU9" s="4"/>
      <c r="AY9" s="5" t="s">
        <v>105</v>
      </c>
      <c r="AZ9" s="4"/>
      <c r="BA9" s="4"/>
      <c r="BB9" s="5"/>
      <c r="BC9" s="5" t="s">
        <v>242</v>
      </c>
      <c r="BD9" s="5" t="s">
        <v>242</v>
      </c>
      <c r="BE9" s="79" t="s">
        <v>243</v>
      </c>
      <c r="BF9" s="79" t="s">
        <v>244</v>
      </c>
      <c r="BG9" s="202"/>
      <c r="BH9" s="203"/>
      <c r="BI9" s="5"/>
      <c r="BJ9" s="202"/>
      <c r="BK9" s="204"/>
      <c r="BL9" s="79"/>
      <c r="BM9" s="79"/>
      <c r="BN9" s="1"/>
      <c r="BU9" s="80"/>
    </row>
    <row r="10" spans="1:73" s="205" customFormat="1" ht="15.75" hidden="1" x14ac:dyDescent="0.2">
      <c r="A10" s="142"/>
      <c r="B10" s="143"/>
      <c r="C10" s="144"/>
      <c r="D10" s="144"/>
      <c r="I10" s="206"/>
      <c r="J10" s="144"/>
      <c r="K10" s="207"/>
      <c r="L10" s="206"/>
      <c r="M10" s="144"/>
      <c r="N10" s="144"/>
      <c r="O10" s="80">
        <f>E24</f>
        <v>0</v>
      </c>
      <c r="P10" s="80"/>
      <c r="Q10" s="144"/>
      <c r="R10" s="144"/>
      <c r="S10" s="144" t="s">
        <v>106</v>
      </c>
      <c r="T10" s="5" t="s">
        <v>245</v>
      </c>
      <c r="U10" s="5" t="s">
        <v>246</v>
      </c>
      <c r="V10" s="5" t="s">
        <v>247</v>
      </c>
      <c r="W10" s="5"/>
      <c r="X10" s="144"/>
      <c r="Y10" s="144"/>
      <c r="Z10" s="144"/>
      <c r="AA10" s="144"/>
      <c r="AB10" s="5"/>
      <c r="AC10" s="5"/>
      <c r="AD10" s="5" t="s">
        <v>248</v>
      </c>
      <c r="AE10" s="5" t="s">
        <v>249</v>
      </c>
      <c r="AF10" s="5" t="s">
        <v>250</v>
      </c>
      <c r="AG10" s="5" t="s">
        <v>251</v>
      </c>
      <c r="AH10" s="5" t="s">
        <v>252</v>
      </c>
      <c r="AI10" s="5"/>
      <c r="AJ10" s="5"/>
      <c r="AK10" s="5"/>
      <c r="AL10" s="5"/>
      <c r="AM10" s="79" t="s">
        <v>238</v>
      </c>
      <c r="AN10" s="79" t="s">
        <v>253</v>
      </c>
      <c r="AO10" s="79"/>
      <c r="AP10" s="79"/>
      <c r="AQ10" s="79"/>
      <c r="AR10" s="79" t="s">
        <v>254</v>
      </c>
      <c r="AS10" s="79" t="s">
        <v>255</v>
      </c>
      <c r="AT10" s="5"/>
      <c r="AU10" s="5"/>
      <c r="AV10" s="144"/>
      <c r="AW10" s="144"/>
      <c r="AX10" s="144"/>
      <c r="AY10" s="5" t="s">
        <v>106</v>
      </c>
      <c r="AZ10" s="5"/>
      <c r="BA10" s="3"/>
      <c r="BB10" s="5"/>
      <c r="BC10" s="5" t="s">
        <v>256</v>
      </c>
      <c r="BD10" s="5" t="s">
        <v>256</v>
      </c>
      <c r="BE10" s="79" t="s">
        <v>226</v>
      </c>
      <c r="BF10" s="79" t="s">
        <v>227</v>
      </c>
      <c r="BG10" s="202"/>
      <c r="BH10" s="203"/>
      <c r="BI10" s="5"/>
      <c r="BJ10" s="202"/>
      <c r="BK10" s="204"/>
      <c r="BL10" s="79"/>
      <c r="BM10" s="79"/>
      <c r="BO10" s="144"/>
      <c r="BU10" s="144"/>
    </row>
    <row r="11" spans="1:73" s="205" customFormat="1" ht="15.75" hidden="1" x14ac:dyDescent="0.2">
      <c r="A11" s="142"/>
      <c r="B11" s="143"/>
      <c r="C11" s="144"/>
      <c r="D11" s="144"/>
      <c r="I11" s="206"/>
      <c r="J11" s="144"/>
      <c r="K11" s="207"/>
      <c r="L11" s="206"/>
      <c r="M11" s="144"/>
      <c r="N11" s="144"/>
      <c r="O11" s="80">
        <f>E23</f>
        <v>0</v>
      </c>
      <c r="P11" s="80"/>
      <c r="Q11" s="144"/>
      <c r="R11" s="144"/>
      <c r="S11" s="144" t="s">
        <v>4</v>
      </c>
      <c r="T11" s="5" t="s">
        <v>42</v>
      </c>
      <c r="U11" s="5" t="s">
        <v>42</v>
      </c>
      <c r="V11" s="5" t="s">
        <v>42</v>
      </c>
      <c r="W11" s="5" t="s">
        <v>42</v>
      </c>
      <c r="X11" s="144"/>
      <c r="Y11" s="144"/>
      <c r="Z11" s="144"/>
      <c r="AA11" s="144" t="s">
        <v>4</v>
      </c>
      <c r="AB11" s="5" t="s">
        <v>42</v>
      </c>
      <c r="AC11" s="5" t="s">
        <v>42</v>
      </c>
      <c r="AD11" s="5" t="s">
        <v>42</v>
      </c>
      <c r="AE11" s="5" t="s">
        <v>42</v>
      </c>
      <c r="AF11" s="5" t="s">
        <v>42</v>
      </c>
      <c r="AG11" s="5" t="s">
        <v>42</v>
      </c>
      <c r="AH11" s="5" t="s">
        <v>42</v>
      </c>
      <c r="AI11" s="5" t="s">
        <v>42</v>
      </c>
      <c r="AJ11" s="5" t="s">
        <v>42</v>
      </c>
      <c r="AK11" s="5" t="s">
        <v>42</v>
      </c>
      <c r="AL11" s="5" t="s">
        <v>42</v>
      </c>
      <c r="AM11" s="5"/>
      <c r="AN11" s="5"/>
      <c r="AO11" s="5" t="s">
        <v>42</v>
      </c>
      <c r="AP11" s="5" t="s">
        <v>42</v>
      </c>
      <c r="AQ11" s="5" t="s">
        <v>42</v>
      </c>
      <c r="AR11" s="5" t="s">
        <v>42</v>
      </c>
      <c r="AS11" s="5" t="s">
        <v>42</v>
      </c>
      <c r="AT11" s="5" t="s">
        <v>42</v>
      </c>
      <c r="AU11" s="5" t="s">
        <v>42</v>
      </c>
      <c r="AV11" s="144"/>
      <c r="AW11" s="144"/>
      <c r="AX11" s="144"/>
      <c r="AY11" s="5" t="s">
        <v>4</v>
      </c>
      <c r="AZ11" s="5"/>
      <c r="BA11" s="5"/>
      <c r="BB11" s="5" t="s">
        <v>42</v>
      </c>
      <c r="BC11" s="5" t="s">
        <v>42</v>
      </c>
      <c r="BD11" s="5" t="s">
        <v>42</v>
      </c>
      <c r="BE11" s="79" t="s">
        <v>42</v>
      </c>
      <c r="BF11" s="79" t="s">
        <v>42</v>
      </c>
      <c r="BG11" s="202"/>
      <c r="BH11" s="203" t="s">
        <v>4</v>
      </c>
      <c r="BI11" s="79" t="s">
        <v>42</v>
      </c>
      <c r="BJ11" s="202" t="s">
        <v>42</v>
      </c>
      <c r="BK11" s="204" t="s">
        <v>42</v>
      </c>
      <c r="BL11" s="79" t="s">
        <v>42</v>
      </c>
      <c r="BM11" s="79" t="s">
        <v>42</v>
      </c>
      <c r="BO11" s="144"/>
      <c r="BU11" s="144"/>
    </row>
    <row r="12" spans="1:73" s="205" customFormat="1" ht="15.75" hidden="1" x14ac:dyDescent="0.2">
      <c r="A12" s="142"/>
      <c r="B12" s="143"/>
      <c r="C12" s="144"/>
      <c r="D12" s="144"/>
      <c r="E12" s="1504"/>
      <c r="F12" s="1504"/>
      <c r="G12" s="208"/>
      <c r="H12" s="209"/>
      <c r="I12" s="206"/>
      <c r="J12" s="144"/>
      <c r="K12" s="207"/>
      <c r="L12" s="206"/>
      <c r="M12" s="144"/>
      <c r="N12" s="144"/>
      <c r="O12" s="80">
        <f>E24</f>
        <v>0</v>
      </c>
      <c r="P12" s="80"/>
      <c r="Q12" s="144"/>
      <c r="R12" s="144"/>
      <c r="S12" s="144" t="s">
        <v>5</v>
      </c>
      <c r="T12" s="5" t="s">
        <v>43</v>
      </c>
      <c r="U12" s="5" t="s">
        <v>43</v>
      </c>
      <c r="V12" s="5" t="s">
        <v>43</v>
      </c>
      <c r="W12" s="5" t="s">
        <v>43</v>
      </c>
      <c r="X12" s="144"/>
      <c r="Y12" s="144"/>
      <c r="Z12" s="144"/>
      <c r="AA12" s="144" t="s">
        <v>5</v>
      </c>
      <c r="AB12" s="5" t="s">
        <v>43</v>
      </c>
      <c r="AC12" s="5" t="s">
        <v>43</v>
      </c>
      <c r="AD12" s="5" t="s">
        <v>43</v>
      </c>
      <c r="AE12" s="5" t="s">
        <v>43</v>
      </c>
      <c r="AF12" s="5" t="s">
        <v>43</v>
      </c>
      <c r="AG12" s="5" t="s">
        <v>43</v>
      </c>
      <c r="AH12" s="5" t="s">
        <v>43</v>
      </c>
      <c r="AI12" s="5" t="s">
        <v>43</v>
      </c>
      <c r="AJ12" s="5" t="s">
        <v>43</v>
      </c>
      <c r="AK12" s="5" t="s">
        <v>43</v>
      </c>
      <c r="AL12" s="5" t="s">
        <v>43</v>
      </c>
      <c r="AM12" s="5"/>
      <c r="AN12" s="5"/>
      <c r="AO12" s="5" t="s">
        <v>43</v>
      </c>
      <c r="AP12" s="5" t="s">
        <v>43</v>
      </c>
      <c r="AQ12" s="5" t="s">
        <v>43</v>
      </c>
      <c r="AR12" s="5" t="s">
        <v>43</v>
      </c>
      <c r="AS12" s="5" t="s">
        <v>43</v>
      </c>
      <c r="AT12" s="5" t="s">
        <v>43</v>
      </c>
      <c r="AU12" s="5" t="s">
        <v>43</v>
      </c>
      <c r="AV12" s="144"/>
      <c r="AW12" s="144"/>
      <c r="AX12" s="144"/>
      <c r="AY12" s="5" t="s">
        <v>5</v>
      </c>
      <c r="AZ12" s="5"/>
      <c r="BA12" s="5"/>
      <c r="BB12" s="5" t="s">
        <v>43</v>
      </c>
      <c r="BC12" s="5" t="s">
        <v>43</v>
      </c>
      <c r="BD12" s="5" t="s">
        <v>43</v>
      </c>
      <c r="BE12" s="79" t="s">
        <v>43</v>
      </c>
      <c r="BF12" s="79" t="s">
        <v>43</v>
      </c>
      <c r="BG12" s="202"/>
      <c r="BH12" s="203" t="s">
        <v>5</v>
      </c>
      <c r="BI12" s="79" t="s">
        <v>43</v>
      </c>
      <c r="BJ12" s="202" t="s">
        <v>43</v>
      </c>
      <c r="BK12" s="204" t="s">
        <v>43</v>
      </c>
      <c r="BL12" s="79" t="s">
        <v>43</v>
      </c>
      <c r="BM12" s="79" t="s">
        <v>43</v>
      </c>
      <c r="BO12" s="144"/>
      <c r="BU12" s="144"/>
    </row>
    <row r="13" spans="1:73" ht="15.75" hidden="1" x14ac:dyDescent="0.2">
      <c r="E13" s="1504"/>
      <c r="F13" s="1504"/>
      <c r="G13" s="208"/>
      <c r="H13" s="209"/>
      <c r="J13" s="80"/>
      <c r="K13" s="207"/>
      <c r="O13" s="80">
        <f>E25</f>
        <v>0</v>
      </c>
      <c r="S13" s="80" t="s">
        <v>257</v>
      </c>
      <c r="T13" s="4" t="s">
        <v>258</v>
      </c>
      <c r="U13" s="4"/>
      <c r="V13" s="4"/>
      <c r="W13" s="4"/>
      <c r="AB13" s="4"/>
      <c r="AC13" s="4"/>
      <c r="AD13" s="4"/>
      <c r="AE13" s="4"/>
      <c r="AF13" s="4"/>
      <c r="AG13" s="4"/>
      <c r="AH13" s="4"/>
      <c r="AI13" s="4"/>
      <c r="AJ13" s="4"/>
      <c r="AK13" s="4"/>
      <c r="AL13" s="4"/>
      <c r="AM13" s="4"/>
      <c r="AN13" s="4"/>
      <c r="AO13" s="4"/>
      <c r="AP13" s="4"/>
      <c r="AQ13" s="4"/>
      <c r="AR13" s="4"/>
      <c r="AS13" s="4"/>
      <c r="AT13" s="4"/>
      <c r="AU13" s="4"/>
      <c r="AY13" s="4"/>
      <c r="AZ13" s="4"/>
      <c r="BA13" s="4"/>
      <c r="BB13" s="4"/>
      <c r="BC13" s="4"/>
      <c r="BD13" s="4"/>
      <c r="BE13" s="79" t="s">
        <v>259</v>
      </c>
      <c r="BF13" s="4" t="s">
        <v>260</v>
      </c>
      <c r="BG13" s="210"/>
      <c r="BH13" s="211"/>
      <c r="BI13" s="4"/>
      <c r="BJ13" s="212"/>
      <c r="BK13" s="213"/>
      <c r="BL13" s="4"/>
      <c r="BM13" s="4"/>
      <c r="BN13" s="1"/>
      <c r="BU13" s="80"/>
    </row>
    <row r="14" spans="1:73" ht="25.5" hidden="1" x14ac:dyDescent="0.2">
      <c r="E14" s="1504"/>
      <c r="F14" s="1504"/>
      <c r="G14" s="208"/>
      <c r="H14" s="209"/>
      <c r="J14" s="80"/>
      <c r="K14" s="207"/>
      <c r="O14" s="80">
        <f>E26</f>
        <v>0</v>
      </c>
      <c r="P14" s="80" t="s">
        <v>261</v>
      </c>
      <c r="Q14" s="145"/>
      <c r="R14" s="145"/>
      <c r="S14" s="145"/>
      <c r="T14" s="8" t="s">
        <v>262</v>
      </c>
      <c r="U14" s="8"/>
      <c r="V14" s="8"/>
      <c r="W14" s="8"/>
      <c r="X14" s="145"/>
      <c r="Y14" s="145"/>
      <c r="Z14" s="145"/>
      <c r="AA14" s="145"/>
      <c r="AB14" s="8"/>
      <c r="AC14" s="8"/>
      <c r="AD14" s="8"/>
      <c r="AE14" s="8"/>
      <c r="AF14" s="8"/>
      <c r="AG14" s="8"/>
      <c r="AH14" s="8"/>
      <c r="AI14" s="8"/>
      <c r="AJ14" s="8"/>
      <c r="AK14" s="8"/>
      <c r="AL14" s="8"/>
      <c r="AM14" s="8"/>
      <c r="AN14" s="8"/>
      <c r="AO14" s="8"/>
      <c r="AP14" s="8"/>
      <c r="AQ14" s="8"/>
      <c r="AR14" s="8"/>
      <c r="AS14" s="8"/>
      <c r="AT14" s="8"/>
      <c r="AU14" s="8"/>
      <c r="AV14" s="145"/>
      <c r="AW14" s="145"/>
      <c r="AX14" s="145"/>
      <c r="AY14" s="145"/>
      <c r="AZ14" s="145"/>
      <c r="BA14" s="145"/>
      <c r="BB14" s="8"/>
      <c r="BC14" s="8"/>
      <c r="BD14" s="8"/>
      <c r="BE14" s="100" t="s">
        <v>263</v>
      </c>
      <c r="BF14" s="8" t="s">
        <v>264</v>
      </c>
      <c r="BG14" s="214"/>
      <c r="BH14" s="215"/>
      <c r="BI14" s="8"/>
      <c r="BJ14" s="216"/>
      <c r="BK14" s="217"/>
      <c r="BL14" s="8"/>
      <c r="BM14" s="8"/>
      <c r="BN14" s="1"/>
      <c r="BU14" s="80"/>
    </row>
    <row r="15" spans="1:73" s="205" customFormat="1" ht="15.75" hidden="1" x14ac:dyDescent="0.2">
      <c r="A15" s="142"/>
      <c r="B15" s="143"/>
      <c r="C15" s="144"/>
      <c r="D15" s="144"/>
      <c r="E15" s="47"/>
      <c r="F15" s="47"/>
      <c r="G15" s="218"/>
      <c r="H15" s="219"/>
      <c r="I15" s="206"/>
      <c r="J15" s="144"/>
      <c r="K15" s="220"/>
      <c r="L15" s="206"/>
      <c r="M15" s="144"/>
      <c r="N15" s="144"/>
      <c r="O15" s="144"/>
      <c r="P15" s="144"/>
      <c r="Q15" s="144">
        <v>0</v>
      </c>
      <c r="R15" s="144">
        <v>0</v>
      </c>
      <c r="S15" s="144">
        <v>0</v>
      </c>
      <c r="T15" s="5">
        <f>IF(AND(T$9="",T$10="",T$516=0),1,0)</f>
        <v>0</v>
      </c>
      <c r="U15" s="5">
        <f>IF(AND(U$9="",U$10="",U$516=0),1,0)</f>
        <v>0</v>
      </c>
      <c r="V15" s="5">
        <f>IF(AND(V$9="",V$10="",V$516=0),1,0)</f>
        <v>0</v>
      </c>
      <c r="W15" s="5">
        <f>IF(AND(W$9="",W$10="",W$516=0),1,0)</f>
        <v>1</v>
      </c>
      <c r="X15" s="144">
        <v>0</v>
      </c>
      <c r="Y15" s="144">
        <v>0</v>
      </c>
      <c r="Z15" s="144">
        <v>0</v>
      </c>
      <c r="AA15" s="144">
        <v>0</v>
      </c>
      <c r="AB15" s="5">
        <f>IF(AND(AB$9="",AB$10="",AB$516=0),1,0)</f>
        <v>1</v>
      </c>
      <c r="AC15" s="5">
        <f>IF(AND(AC$9="",AC$10="",AC$516=0),1,0)</f>
        <v>1</v>
      </c>
      <c r="AD15" s="5"/>
      <c r="AE15" s="5"/>
      <c r="AF15" s="5"/>
      <c r="AG15" s="5"/>
      <c r="AH15" s="5"/>
      <c r="AI15" s="5">
        <f>IF(AND(AI$9="",AI$10="",AI$516=0),1,0)</f>
        <v>1</v>
      </c>
      <c r="AJ15" s="5">
        <f>IF(AND(AJ$9="",AJ$10="",AJ$516=0),1,0)</f>
        <v>1</v>
      </c>
      <c r="AK15" s="5">
        <f>IF(AND(AK$9="",AK$10="",AK$516=0),1,0)</f>
        <v>1</v>
      </c>
      <c r="AL15" s="5">
        <f>IF(AND(AL$9="",AL$10="",AL$516=0),1,0)</f>
        <v>1</v>
      </c>
      <c r="AM15" s="5"/>
      <c r="AN15" s="5"/>
      <c r="AO15" s="5">
        <f t="shared" ref="AO15:AU15" si="0">IF(AND(AO$9="",AO$10="",AO$516=0),1,0)</f>
        <v>1</v>
      </c>
      <c r="AP15" s="5">
        <f t="shared" si="0"/>
        <v>1</v>
      </c>
      <c r="AQ15" s="5">
        <f t="shared" si="0"/>
        <v>1</v>
      </c>
      <c r="AR15" s="5">
        <f t="shared" si="0"/>
        <v>0</v>
      </c>
      <c r="AS15" s="5">
        <f t="shared" si="0"/>
        <v>0</v>
      </c>
      <c r="AT15" s="5">
        <f t="shared" si="0"/>
        <v>1</v>
      </c>
      <c r="AU15" s="5">
        <f t="shared" si="0"/>
        <v>1</v>
      </c>
      <c r="AV15" s="144">
        <v>0</v>
      </c>
      <c r="AW15" s="144">
        <v>0</v>
      </c>
      <c r="AX15" s="144">
        <v>0</v>
      </c>
      <c r="AY15" s="5">
        <v>0</v>
      </c>
      <c r="AZ15" s="5">
        <v>0</v>
      </c>
      <c r="BA15" s="5">
        <v>0</v>
      </c>
      <c r="BB15" s="5">
        <f>IF(AND(BB$9="",BB$10="",BB$516=0),1,0)</f>
        <v>1</v>
      </c>
      <c r="BC15" s="5">
        <f>IF(AND(BC$9="",BC$10="",BC$516=0),1,0)</f>
        <v>0</v>
      </c>
      <c r="BD15" s="5">
        <f>IF(AND(BD$9="",BD$10="",BD$516=0),1,0)</f>
        <v>0</v>
      </c>
      <c r="BE15" s="5">
        <f>IF(AND(BE$9="",BE$10="",BE$516=0),1,0)</f>
        <v>0</v>
      </c>
      <c r="BF15" s="5">
        <f>IF(AND(BF$9="",BF$10="",BF$516=0),1,0)</f>
        <v>0</v>
      </c>
      <c r="BG15" s="221">
        <v>0</v>
      </c>
      <c r="BH15" s="203">
        <v>0</v>
      </c>
      <c r="BI15" s="5">
        <f>IF(AND(BI$9="",BI$10="",BI$516=0),1,0)</f>
        <v>1</v>
      </c>
      <c r="BJ15" s="222">
        <f>IF(AND(BJ$9="",BJ$10="",BJ$516=0),1,0)</f>
        <v>1</v>
      </c>
      <c r="BK15" s="223">
        <f>IF(AND(BK$9="",BK$10="",BK$516=0),1,0)</f>
        <v>1</v>
      </c>
      <c r="BL15" s="5">
        <f>IF(AND(BL$9="",BL$10="",BL$516=0),1,0)</f>
        <v>1</v>
      </c>
      <c r="BM15" s="5">
        <f>IF(AND(BM$9="",BM$10="",BM$516=0),1,0)</f>
        <v>1</v>
      </c>
      <c r="BN15" s="205">
        <v>0</v>
      </c>
      <c r="BO15" s="144"/>
      <c r="BU15" s="144"/>
    </row>
    <row r="16" spans="1:73" ht="25.5" customHeight="1" x14ac:dyDescent="0.2">
      <c r="A16" s="142">
        <f>$A8+1</f>
        <v>1</v>
      </c>
      <c r="B16" s="224"/>
      <c r="C16" s="225"/>
      <c r="D16" s="226"/>
      <c r="E16" s="227"/>
      <c r="F16" s="228"/>
      <c r="G16" s="229"/>
      <c r="H16" s="230"/>
      <c r="I16" s="231" t="str">
        <f t="shared" ref="I16:I79" si="1">LEFT(H16,4)</f>
        <v/>
      </c>
      <c r="J16" s="232">
        <f t="shared" ref="J16:J79" si="2">G16-BO16</f>
        <v>0</v>
      </c>
      <c r="K16" s="233"/>
      <c r="L16" s="234"/>
      <c r="M16" s="234"/>
      <c r="N16" s="235" t="str">
        <f t="shared" ref="N16:N79" si="3">IF($E16="","",MONTH($E16))</f>
        <v/>
      </c>
      <c r="O16" s="236" t="str">
        <f>IF('Data Set up'!$G$40="JUNE",IF(OR($N16=7,$N16=8,$N16=9),1,IF(OR($N16=10,$N16=11,$N16=12),2,IF(OR($N16=1,$N16=2,$N16=3),3,IF(OR($N16=4,$N16=5,$N16=6),4,"")))),IF(OR($N16=9,$N16=10,$N16=11),1,IF(OR($N16=12,$N16=1,$N16=2),2,IF(OR($N16=3,$N16=4,$N16=5),3,IF(OR($N16=6,$N16=7,$N16=8),4,"")))))</f>
        <v/>
      </c>
      <c r="P16" s="237"/>
      <c r="Q16" s="238"/>
      <c r="R16" s="239"/>
      <c r="S16" s="240">
        <f t="shared" ref="S16:S79" si="4">SUM(T16:W16)</f>
        <v>0</v>
      </c>
      <c r="T16" s="239"/>
      <c r="U16" s="239"/>
      <c r="V16" s="239"/>
      <c r="W16" s="239"/>
      <c r="X16" s="239"/>
      <c r="Y16" s="239"/>
      <c r="Z16" s="239"/>
      <c r="AA16" s="239"/>
      <c r="AB16" s="241"/>
      <c r="AC16" s="242"/>
      <c r="AD16" s="243"/>
      <c r="AE16" s="244"/>
      <c r="AF16" s="244"/>
      <c r="AG16" s="244"/>
      <c r="AH16" s="244"/>
      <c r="AI16" s="241"/>
      <c r="AJ16" s="241"/>
      <c r="AK16" s="244"/>
      <c r="AL16" s="245"/>
      <c r="AM16" s="243"/>
      <c r="AN16" s="244"/>
      <c r="AO16" s="244"/>
      <c r="AP16" s="244"/>
      <c r="AQ16" s="244"/>
      <c r="AR16" s="244"/>
      <c r="AS16" s="244"/>
      <c r="AT16" s="244"/>
      <c r="AU16" s="242"/>
      <c r="AV16" s="243"/>
      <c r="AW16" s="244"/>
      <c r="AX16" s="244"/>
      <c r="AY16" s="244"/>
      <c r="AZ16" s="244"/>
      <c r="BA16" s="244"/>
      <c r="BB16" s="244"/>
      <c r="BC16" s="241"/>
      <c r="BD16" s="242"/>
      <c r="BE16" s="246"/>
      <c r="BF16" s="244"/>
      <c r="BG16" s="247"/>
      <c r="BH16" s="248"/>
      <c r="BI16" s="244"/>
      <c r="BJ16" s="247"/>
      <c r="BK16" s="248"/>
      <c r="BL16" s="244"/>
      <c r="BM16" s="242"/>
      <c r="BN16" s="249"/>
      <c r="BO16" s="250">
        <f t="shared" ref="BO16:BO79" si="5">SUM(Q16:R16,T16:BN16)</f>
        <v>0</v>
      </c>
      <c r="BR16" s="80" t="s">
        <v>265</v>
      </c>
      <c r="BS16" s="80"/>
      <c r="BU16" s="80"/>
    </row>
    <row r="17" spans="1:73" ht="25.5" customHeight="1" x14ac:dyDescent="0.2">
      <c r="A17" s="142">
        <f t="shared" ref="A17:A80" si="6">$A16+1</f>
        <v>2</v>
      </c>
      <c r="B17" s="251"/>
      <c r="C17" s="252"/>
      <c r="D17" s="253"/>
      <c r="E17" s="254"/>
      <c r="F17" s="255"/>
      <c r="G17" s="256"/>
      <c r="H17" s="257"/>
      <c r="I17" s="231" t="str">
        <f t="shared" si="1"/>
        <v/>
      </c>
      <c r="J17" s="258">
        <f t="shared" si="2"/>
        <v>0</v>
      </c>
      <c r="K17" s="259"/>
      <c r="L17" s="260"/>
      <c r="M17" s="260"/>
      <c r="N17" s="235" t="str">
        <f t="shared" si="3"/>
        <v/>
      </c>
      <c r="O17" s="236" t="str">
        <f>IF('Data Set up'!$G$40="JUNE",IF(OR($N17=7,$N17=8,$N17=9),1,IF(OR($N17=10,$N17=11,$N17=12),2,IF(OR($N17=1,$N17=2,$N17=3),3,IF(OR($N17=4,$N17=5,$N17=6),4,"")))),IF(OR($N17=9,$N17=10,$N17=11),1,IF(OR($N17=12,$N17=1,$N17=2),2,IF(OR($N17=3,$N17=4,$N17=5),3,IF(OR($N17=6,$N17=7,$N17=8),4,"")))))</f>
        <v/>
      </c>
      <c r="P17" s="261"/>
      <c r="Q17" s="262"/>
      <c r="R17" s="263"/>
      <c r="S17" s="264">
        <f t="shared" si="4"/>
        <v>0</v>
      </c>
      <c r="T17" s="263"/>
      <c r="U17" s="263"/>
      <c r="V17" s="263"/>
      <c r="W17" s="263"/>
      <c r="X17" s="263"/>
      <c r="Y17" s="263"/>
      <c r="Z17" s="263"/>
      <c r="AA17" s="263"/>
      <c r="AB17" s="265"/>
      <c r="AC17" s="266"/>
      <c r="AD17" s="267"/>
      <c r="AE17" s="263"/>
      <c r="AF17" s="263"/>
      <c r="AG17" s="263"/>
      <c r="AH17" s="263"/>
      <c r="AI17" s="265"/>
      <c r="AJ17" s="265"/>
      <c r="AK17" s="263"/>
      <c r="AL17" s="262"/>
      <c r="AM17" s="267"/>
      <c r="AN17" s="263"/>
      <c r="AO17" s="268"/>
      <c r="AP17" s="268"/>
      <c r="AQ17" s="268"/>
      <c r="AR17" s="268"/>
      <c r="AS17" s="268"/>
      <c r="AT17" s="268"/>
      <c r="AU17" s="269"/>
      <c r="AV17" s="267"/>
      <c r="AW17" s="263"/>
      <c r="AX17" s="263"/>
      <c r="AY17" s="263"/>
      <c r="AZ17" s="263"/>
      <c r="BA17" s="263"/>
      <c r="BB17" s="263"/>
      <c r="BC17" s="265"/>
      <c r="BD17" s="266"/>
      <c r="BE17" s="270"/>
      <c r="BF17" s="263"/>
      <c r="BG17" s="271"/>
      <c r="BH17" s="272"/>
      <c r="BI17" s="263"/>
      <c r="BJ17" s="271"/>
      <c r="BK17" s="272"/>
      <c r="BL17" s="263"/>
      <c r="BM17" s="266"/>
      <c r="BN17" s="273"/>
      <c r="BO17" s="250">
        <f t="shared" si="5"/>
        <v>0</v>
      </c>
      <c r="BR17" s="80" t="s">
        <v>266</v>
      </c>
      <c r="BS17" s="80"/>
      <c r="BU17" s="80"/>
    </row>
    <row r="18" spans="1:73" ht="25.5" customHeight="1" x14ac:dyDescent="0.2">
      <c r="A18" s="142">
        <f t="shared" si="6"/>
        <v>3</v>
      </c>
      <c r="B18" s="251"/>
      <c r="C18" s="252"/>
      <c r="D18" s="253"/>
      <c r="E18" s="254"/>
      <c r="F18" s="274"/>
      <c r="G18" s="256"/>
      <c r="H18" s="257"/>
      <c r="I18" s="231" t="str">
        <f t="shared" si="1"/>
        <v/>
      </c>
      <c r="J18" s="258">
        <f t="shared" si="2"/>
        <v>0</v>
      </c>
      <c r="K18" s="259"/>
      <c r="L18" s="260"/>
      <c r="M18" s="260"/>
      <c r="N18" s="235" t="str">
        <f t="shared" si="3"/>
        <v/>
      </c>
      <c r="O18" s="236" t="str">
        <f>IF('Data Set up'!$G$40="JUNE",IF(OR($N18=7,$N18=8,$N18=9),1,IF(OR($N18=10,$N18=11,$N18=12),2,IF(OR($N18=1,$N18=2,$N18=3),3,IF(OR($N18=4,$N18=5,$N18=6),4,"")))),IF(OR($N18=9,$N18=10,$N18=11),1,IF(OR($N18=12,$N18=1,$N18=2),2,IF(OR($N18=3,$N18=4,$N18=5),3,IF(OR($N18=6,$N18=7,$N18=8),4,"")))))</f>
        <v/>
      </c>
      <c r="P18" s="261"/>
      <c r="Q18" s="262"/>
      <c r="R18" s="263"/>
      <c r="S18" s="264">
        <f t="shared" si="4"/>
        <v>0</v>
      </c>
      <c r="T18" s="263"/>
      <c r="U18" s="263"/>
      <c r="V18" s="263"/>
      <c r="W18" s="263"/>
      <c r="X18" s="263"/>
      <c r="Y18" s="263"/>
      <c r="Z18" s="263"/>
      <c r="AA18" s="263"/>
      <c r="AB18" s="265"/>
      <c r="AC18" s="266"/>
      <c r="AD18" s="267"/>
      <c r="AE18" s="263"/>
      <c r="AF18" s="263"/>
      <c r="AG18" s="263"/>
      <c r="AH18" s="263"/>
      <c r="AI18" s="265"/>
      <c r="AJ18" s="265"/>
      <c r="AK18" s="263"/>
      <c r="AL18" s="262"/>
      <c r="AM18" s="267"/>
      <c r="AN18" s="263"/>
      <c r="AO18" s="268"/>
      <c r="AP18" s="268"/>
      <c r="AQ18" s="268"/>
      <c r="AR18" s="268"/>
      <c r="AS18" s="268"/>
      <c r="AT18" s="268"/>
      <c r="AU18" s="269"/>
      <c r="AV18" s="267"/>
      <c r="AW18" s="263"/>
      <c r="AX18" s="263"/>
      <c r="AY18" s="263"/>
      <c r="AZ18" s="263"/>
      <c r="BA18" s="263"/>
      <c r="BB18" s="263"/>
      <c r="BC18" s="265"/>
      <c r="BD18" s="266"/>
      <c r="BE18" s="267"/>
      <c r="BF18" s="263"/>
      <c r="BG18" s="271"/>
      <c r="BH18" s="272"/>
      <c r="BI18" s="263"/>
      <c r="BJ18" s="271"/>
      <c r="BK18" s="272"/>
      <c r="BL18" s="263"/>
      <c r="BM18" s="266"/>
      <c r="BN18" s="273"/>
      <c r="BO18" s="250">
        <f t="shared" si="5"/>
        <v>0</v>
      </c>
      <c r="BR18" s="80" t="s">
        <v>267</v>
      </c>
      <c r="BU18" s="80"/>
    </row>
    <row r="19" spans="1:73" ht="25.5" customHeight="1" x14ac:dyDescent="0.2">
      <c r="A19" s="142">
        <f t="shared" si="6"/>
        <v>4</v>
      </c>
      <c r="B19" s="251"/>
      <c r="C19" s="252"/>
      <c r="D19" s="253"/>
      <c r="E19" s="254"/>
      <c r="F19" s="274"/>
      <c r="G19" s="256"/>
      <c r="H19" s="257"/>
      <c r="I19" s="231" t="str">
        <f t="shared" si="1"/>
        <v/>
      </c>
      <c r="J19" s="258">
        <f t="shared" si="2"/>
        <v>0</v>
      </c>
      <c r="K19" s="259"/>
      <c r="L19" s="260"/>
      <c r="M19" s="260"/>
      <c r="N19" s="235" t="str">
        <f t="shared" si="3"/>
        <v/>
      </c>
      <c r="O19" s="236" t="str">
        <f>IF('Data Set up'!$G$40="JUNE",IF(OR($N19=7,$N19=8,$N19=9),1,IF(OR($N19=10,$N19=11,$N19=12),2,IF(OR($N19=1,$N19=2,$N19=3),3,IF(OR($N19=4,$N19=5,$N19=6),4,"")))),IF(OR($N19=9,$N19=10,$N19=11),1,IF(OR($N19=12,$N19=1,$N19=2),2,IF(OR($N19=3,$N19=4,$N19=5),3,IF(OR($N19=6,$N19=7,$N19=8),4,"")))))</f>
        <v/>
      </c>
      <c r="P19" s="261"/>
      <c r="Q19" s="262"/>
      <c r="R19" s="263"/>
      <c r="S19" s="264">
        <f t="shared" si="4"/>
        <v>0</v>
      </c>
      <c r="T19" s="263"/>
      <c r="U19" s="263"/>
      <c r="V19" s="263"/>
      <c r="W19" s="263"/>
      <c r="X19" s="263"/>
      <c r="Y19" s="263"/>
      <c r="Z19" s="263"/>
      <c r="AA19" s="263"/>
      <c r="AB19" s="265"/>
      <c r="AC19" s="266"/>
      <c r="AD19" s="267"/>
      <c r="AE19" s="263"/>
      <c r="AF19" s="263"/>
      <c r="AG19" s="263"/>
      <c r="AH19" s="263"/>
      <c r="AI19" s="265"/>
      <c r="AJ19" s="265"/>
      <c r="AK19" s="263"/>
      <c r="AL19" s="262"/>
      <c r="AM19" s="267"/>
      <c r="AN19" s="263"/>
      <c r="AO19" s="268"/>
      <c r="AP19" s="268"/>
      <c r="AQ19" s="268"/>
      <c r="AR19" s="268"/>
      <c r="AS19" s="268"/>
      <c r="AT19" s="268"/>
      <c r="AU19" s="269"/>
      <c r="AV19" s="267"/>
      <c r="AW19" s="263"/>
      <c r="AX19" s="263"/>
      <c r="AY19" s="263"/>
      <c r="AZ19" s="263"/>
      <c r="BA19" s="263"/>
      <c r="BB19" s="263"/>
      <c r="BC19" s="265"/>
      <c r="BD19" s="266"/>
      <c r="BE19" s="267"/>
      <c r="BF19" s="263"/>
      <c r="BG19" s="271"/>
      <c r="BH19" s="272"/>
      <c r="BI19" s="263"/>
      <c r="BJ19" s="271"/>
      <c r="BK19" s="272"/>
      <c r="BL19" s="263"/>
      <c r="BM19" s="266"/>
      <c r="BN19" s="273"/>
      <c r="BO19" s="250">
        <f t="shared" si="5"/>
        <v>0</v>
      </c>
      <c r="BR19" s="80" t="s">
        <v>268</v>
      </c>
    </row>
    <row r="20" spans="1:73" ht="25.5" customHeight="1" x14ac:dyDescent="0.2">
      <c r="A20" s="142">
        <f t="shared" si="6"/>
        <v>5</v>
      </c>
      <c r="B20" s="251"/>
      <c r="C20" s="252"/>
      <c r="D20" s="253"/>
      <c r="E20" s="254"/>
      <c r="F20" s="274"/>
      <c r="G20" s="256"/>
      <c r="H20" s="257"/>
      <c r="I20" s="231" t="str">
        <f t="shared" si="1"/>
        <v/>
      </c>
      <c r="J20" s="258">
        <f t="shared" si="2"/>
        <v>0</v>
      </c>
      <c r="K20" s="259"/>
      <c r="L20" s="260"/>
      <c r="M20" s="260"/>
      <c r="N20" s="235" t="str">
        <f t="shared" si="3"/>
        <v/>
      </c>
      <c r="O20" s="236" t="str">
        <f>IF('Data Set up'!$G$40="JUNE",IF(OR($N20=7,$N20=8,$N20=9),1,IF(OR($N20=10,$N20=11,$N20=12),2,IF(OR($N20=1,$N20=2,$N20=3),3,IF(OR($N20=4,$N20=5,$N20=6),4,"")))),IF(OR($N20=9,$N20=10,$N20=11),1,IF(OR($N20=12,$N20=1,$N20=2),2,IF(OR($N20=3,$N20=4,$N20=5),3,IF(OR($N20=6,$N20=7,$N20=8),4,"")))))</f>
        <v/>
      </c>
      <c r="P20" s="261"/>
      <c r="Q20" s="262"/>
      <c r="R20" s="263"/>
      <c r="S20" s="264">
        <f t="shared" si="4"/>
        <v>0</v>
      </c>
      <c r="T20" s="263"/>
      <c r="U20" s="263"/>
      <c r="V20" s="263"/>
      <c r="W20" s="263"/>
      <c r="X20" s="263"/>
      <c r="Y20" s="263"/>
      <c r="Z20" s="263"/>
      <c r="AA20" s="263"/>
      <c r="AB20" s="265"/>
      <c r="AC20" s="266"/>
      <c r="AD20" s="267"/>
      <c r="AE20" s="263"/>
      <c r="AF20" s="263"/>
      <c r="AG20" s="263"/>
      <c r="AH20" s="263"/>
      <c r="AI20" s="265"/>
      <c r="AJ20" s="265"/>
      <c r="AK20" s="263"/>
      <c r="AL20" s="262"/>
      <c r="AM20" s="267"/>
      <c r="AN20" s="263"/>
      <c r="AO20" s="268"/>
      <c r="AP20" s="268"/>
      <c r="AQ20" s="268"/>
      <c r="AR20" s="268"/>
      <c r="AS20" s="268"/>
      <c r="AT20" s="268"/>
      <c r="AU20" s="269"/>
      <c r="AV20" s="267"/>
      <c r="AW20" s="263"/>
      <c r="AX20" s="263"/>
      <c r="AY20" s="263"/>
      <c r="AZ20" s="263"/>
      <c r="BA20" s="263"/>
      <c r="BB20" s="263"/>
      <c r="BC20" s="265"/>
      <c r="BD20" s="266"/>
      <c r="BE20" s="267"/>
      <c r="BF20" s="263"/>
      <c r="BG20" s="271"/>
      <c r="BH20" s="272"/>
      <c r="BI20" s="263"/>
      <c r="BJ20" s="271"/>
      <c r="BK20" s="272"/>
      <c r="BL20" s="263"/>
      <c r="BM20" s="266"/>
      <c r="BN20" s="273"/>
      <c r="BO20" s="250">
        <f t="shared" si="5"/>
        <v>0</v>
      </c>
      <c r="BR20" s="80" t="s">
        <v>269</v>
      </c>
    </row>
    <row r="21" spans="1:73" ht="25.5" customHeight="1" x14ac:dyDescent="0.2">
      <c r="A21" s="142">
        <f t="shared" si="6"/>
        <v>6</v>
      </c>
      <c r="B21" s="251"/>
      <c r="C21" s="252"/>
      <c r="D21" s="253"/>
      <c r="E21" s="254"/>
      <c r="F21" s="274"/>
      <c r="G21" s="256"/>
      <c r="H21" s="257"/>
      <c r="I21" s="231" t="str">
        <f t="shared" si="1"/>
        <v/>
      </c>
      <c r="J21" s="258">
        <f t="shared" si="2"/>
        <v>0</v>
      </c>
      <c r="K21" s="259"/>
      <c r="L21" s="260"/>
      <c r="M21" s="260"/>
      <c r="N21" s="235" t="str">
        <f t="shared" si="3"/>
        <v/>
      </c>
      <c r="O21" s="236" t="str">
        <f>IF('Data Set up'!$G$40="JUNE",IF(OR($N21=7,$N21=8,$N21=9),1,IF(OR($N21=10,$N21=11,$N21=12),2,IF(OR($N21=1,$N21=2,$N21=3),3,IF(OR($N21=4,$N21=5,$N21=6),4,"")))),IF(OR($N21=9,$N21=10,$N21=11),1,IF(OR($N21=12,$N21=1,$N21=2),2,IF(OR($N21=3,$N21=4,$N21=5),3,IF(OR($N21=6,$N21=7,$N21=8),4,"")))))</f>
        <v/>
      </c>
      <c r="P21" s="261"/>
      <c r="Q21" s="262"/>
      <c r="R21" s="263"/>
      <c r="S21" s="264">
        <f t="shared" si="4"/>
        <v>0</v>
      </c>
      <c r="T21" s="263"/>
      <c r="U21" s="263"/>
      <c r="V21" s="263"/>
      <c r="W21" s="263"/>
      <c r="X21" s="263"/>
      <c r="Y21" s="263"/>
      <c r="Z21" s="263"/>
      <c r="AA21" s="263"/>
      <c r="AB21" s="265"/>
      <c r="AC21" s="266"/>
      <c r="AD21" s="267"/>
      <c r="AE21" s="263"/>
      <c r="AF21" s="263"/>
      <c r="AG21" s="263"/>
      <c r="AH21" s="263"/>
      <c r="AI21" s="265"/>
      <c r="AJ21" s="265"/>
      <c r="AK21" s="263"/>
      <c r="AL21" s="262"/>
      <c r="AM21" s="267"/>
      <c r="AN21" s="263"/>
      <c r="AO21" s="268"/>
      <c r="AP21" s="268"/>
      <c r="AQ21" s="268"/>
      <c r="AR21" s="268"/>
      <c r="AS21" s="268"/>
      <c r="AT21" s="268"/>
      <c r="AU21" s="269"/>
      <c r="AV21" s="267"/>
      <c r="AW21" s="263"/>
      <c r="AX21" s="263"/>
      <c r="AY21" s="263"/>
      <c r="AZ21" s="263"/>
      <c r="BA21" s="263"/>
      <c r="BB21" s="263"/>
      <c r="BC21" s="265"/>
      <c r="BD21" s="266"/>
      <c r="BE21" s="267"/>
      <c r="BF21" s="263"/>
      <c r="BG21" s="271"/>
      <c r="BH21" s="272"/>
      <c r="BI21" s="263"/>
      <c r="BJ21" s="271"/>
      <c r="BK21" s="272"/>
      <c r="BL21" s="263"/>
      <c r="BM21" s="266"/>
      <c r="BN21" s="273"/>
      <c r="BO21" s="250">
        <f t="shared" si="5"/>
        <v>0</v>
      </c>
      <c r="BR21" s="80" t="s">
        <v>270</v>
      </c>
    </row>
    <row r="22" spans="1:73" ht="25.5" customHeight="1" x14ac:dyDescent="0.2">
      <c r="A22" s="142">
        <f t="shared" si="6"/>
        <v>7</v>
      </c>
      <c r="B22" s="251"/>
      <c r="C22" s="252"/>
      <c r="D22" s="253"/>
      <c r="E22" s="254"/>
      <c r="F22" s="274"/>
      <c r="G22" s="256"/>
      <c r="H22" s="257"/>
      <c r="I22" s="231" t="str">
        <f t="shared" si="1"/>
        <v/>
      </c>
      <c r="J22" s="258">
        <f t="shared" si="2"/>
        <v>0</v>
      </c>
      <c r="K22" s="259"/>
      <c r="L22" s="260"/>
      <c r="M22" s="260"/>
      <c r="N22" s="235" t="str">
        <f t="shared" si="3"/>
        <v/>
      </c>
      <c r="O22" s="236" t="str">
        <f>IF('Data Set up'!$G$40="JUNE",IF(OR($N22=7,$N22=8,$N22=9),1,IF(OR($N22=10,$N22=11,$N22=12),2,IF(OR($N22=1,$N22=2,$N22=3),3,IF(OR($N22=4,$N22=5,$N22=6),4,"")))),IF(OR($N22=9,$N22=10,$N22=11),1,IF(OR($N22=12,$N22=1,$N22=2),2,IF(OR($N22=3,$N22=4,$N22=5),3,IF(OR($N22=6,$N22=7,$N22=8),4,"")))))</f>
        <v/>
      </c>
      <c r="P22" s="261"/>
      <c r="Q22" s="262"/>
      <c r="R22" s="263"/>
      <c r="S22" s="264">
        <f t="shared" si="4"/>
        <v>0</v>
      </c>
      <c r="T22" s="263"/>
      <c r="U22" s="263"/>
      <c r="V22" s="263"/>
      <c r="W22" s="263"/>
      <c r="X22" s="263"/>
      <c r="Y22" s="263"/>
      <c r="Z22" s="263"/>
      <c r="AA22" s="263"/>
      <c r="AB22" s="265"/>
      <c r="AC22" s="266"/>
      <c r="AD22" s="267"/>
      <c r="AE22" s="263"/>
      <c r="AF22" s="263"/>
      <c r="AG22" s="263"/>
      <c r="AH22" s="263"/>
      <c r="AI22" s="265"/>
      <c r="AJ22" s="265"/>
      <c r="AK22" s="263"/>
      <c r="AL22" s="262"/>
      <c r="AM22" s="267"/>
      <c r="AN22" s="263"/>
      <c r="AO22" s="268"/>
      <c r="AP22" s="268"/>
      <c r="AQ22" s="268"/>
      <c r="AR22" s="268"/>
      <c r="AS22" s="268"/>
      <c r="AT22" s="268"/>
      <c r="AU22" s="269"/>
      <c r="AV22" s="267"/>
      <c r="AW22" s="263"/>
      <c r="AX22" s="263"/>
      <c r="AY22" s="263"/>
      <c r="AZ22" s="263"/>
      <c r="BA22" s="263"/>
      <c r="BB22" s="263"/>
      <c r="BC22" s="265"/>
      <c r="BD22" s="266"/>
      <c r="BE22" s="267"/>
      <c r="BF22" s="263"/>
      <c r="BG22" s="271"/>
      <c r="BH22" s="272"/>
      <c r="BI22" s="263"/>
      <c r="BJ22" s="271"/>
      <c r="BK22" s="272"/>
      <c r="BL22" s="263"/>
      <c r="BM22" s="266"/>
      <c r="BN22" s="273"/>
      <c r="BO22" s="250">
        <f t="shared" si="5"/>
        <v>0</v>
      </c>
      <c r="BR22" s="80"/>
    </row>
    <row r="23" spans="1:73" ht="25.5" customHeight="1" x14ac:dyDescent="0.2">
      <c r="A23" s="142">
        <f t="shared" si="6"/>
        <v>8</v>
      </c>
      <c r="B23" s="251"/>
      <c r="C23" s="252"/>
      <c r="D23" s="253"/>
      <c r="E23" s="254"/>
      <c r="F23" s="274"/>
      <c r="G23" s="256"/>
      <c r="H23" s="257"/>
      <c r="I23" s="231" t="str">
        <f t="shared" si="1"/>
        <v/>
      </c>
      <c r="J23" s="258">
        <f t="shared" si="2"/>
        <v>0</v>
      </c>
      <c r="K23" s="259"/>
      <c r="L23" s="260"/>
      <c r="M23" s="260"/>
      <c r="N23" s="235" t="str">
        <f t="shared" si="3"/>
        <v/>
      </c>
      <c r="O23" s="236" t="str">
        <f>IF('Data Set up'!$G$40="JUNE",IF(OR($N23=7,$N23=8,$N23=9),1,IF(OR($N23=10,$N23=11,$N23=12),2,IF(OR($N23=1,$N23=2,$N23=3),3,IF(OR($N23=4,$N23=5,$N23=6),4,"")))),IF(OR($N23=9,$N23=10,$N23=11),1,IF(OR($N23=12,$N23=1,$N23=2),2,IF(OR($N23=3,$N23=4,$N23=5),3,IF(OR($N23=6,$N23=7,$N23=8),4,"")))))</f>
        <v/>
      </c>
      <c r="P23" s="261"/>
      <c r="Q23" s="262"/>
      <c r="R23" s="263"/>
      <c r="S23" s="264">
        <f t="shared" si="4"/>
        <v>0</v>
      </c>
      <c r="T23" s="263"/>
      <c r="U23" s="263"/>
      <c r="V23" s="263"/>
      <c r="W23" s="263"/>
      <c r="X23" s="263"/>
      <c r="Y23" s="263"/>
      <c r="Z23" s="263"/>
      <c r="AA23" s="263"/>
      <c r="AB23" s="265"/>
      <c r="AC23" s="266"/>
      <c r="AD23" s="267"/>
      <c r="AE23" s="263"/>
      <c r="AF23" s="263"/>
      <c r="AG23" s="263"/>
      <c r="AH23" s="263"/>
      <c r="AI23" s="265"/>
      <c r="AJ23" s="265"/>
      <c r="AK23" s="263"/>
      <c r="AL23" s="262"/>
      <c r="AM23" s="267"/>
      <c r="AN23" s="263"/>
      <c r="AO23" s="268"/>
      <c r="AP23" s="268"/>
      <c r="AQ23" s="268"/>
      <c r="AR23" s="268"/>
      <c r="AS23" s="268"/>
      <c r="AT23" s="268"/>
      <c r="AU23" s="269"/>
      <c r="AV23" s="267"/>
      <c r="AW23" s="263"/>
      <c r="AX23" s="263"/>
      <c r="AY23" s="263"/>
      <c r="AZ23" s="263"/>
      <c r="BA23" s="263"/>
      <c r="BB23" s="263"/>
      <c r="BC23" s="265"/>
      <c r="BD23" s="266"/>
      <c r="BE23" s="267"/>
      <c r="BF23" s="263"/>
      <c r="BG23" s="271"/>
      <c r="BH23" s="272"/>
      <c r="BI23" s="263"/>
      <c r="BJ23" s="271"/>
      <c r="BK23" s="272"/>
      <c r="BL23" s="263"/>
      <c r="BM23" s="266"/>
      <c r="BN23" s="273"/>
      <c r="BO23" s="250">
        <f t="shared" si="5"/>
        <v>0</v>
      </c>
    </row>
    <row r="24" spans="1:73" ht="25.5" customHeight="1" x14ac:dyDescent="0.2">
      <c r="A24" s="142">
        <f t="shared" si="6"/>
        <v>9</v>
      </c>
      <c r="B24" s="251"/>
      <c r="C24" s="252"/>
      <c r="D24" s="253"/>
      <c r="E24" s="254"/>
      <c r="F24" s="274"/>
      <c r="G24" s="256"/>
      <c r="H24" s="257"/>
      <c r="I24" s="231" t="str">
        <f t="shared" si="1"/>
        <v/>
      </c>
      <c r="J24" s="258">
        <f t="shared" si="2"/>
        <v>0</v>
      </c>
      <c r="K24" s="259"/>
      <c r="L24" s="260"/>
      <c r="M24" s="260"/>
      <c r="N24" s="235" t="str">
        <f t="shared" si="3"/>
        <v/>
      </c>
      <c r="O24" s="236" t="str">
        <f>IF('Data Set up'!$G$40="JUNE",IF(OR($N24=7,$N24=8,$N24=9),1,IF(OR($N24=10,$N24=11,$N24=12),2,IF(OR($N24=1,$N24=2,$N24=3),3,IF(OR($N24=4,$N24=5,$N24=6),4,"")))),IF(OR($N24=9,$N24=10,$N24=11),1,IF(OR($N24=12,$N24=1,$N24=2),2,IF(OR($N24=3,$N24=4,$N24=5),3,IF(OR($N24=6,$N24=7,$N24=8),4,"")))))</f>
        <v/>
      </c>
      <c r="P24" s="261"/>
      <c r="Q24" s="262"/>
      <c r="R24" s="263"/>
      <c r="S24" s="264">
        <f t="shared" si="4"/>
        <v>0</v>
      </c>
      <c r="T24" s="263"/>
      <c r="U24" s="263"/>
      <c r="V24" s="263"/>
      <c r="W24" s="263"/>
      <c r="X24" s="263"/>
      <c r="Y24" s="263"/>
      <c r="Z24" s="263"/>
      <c r="AA24" s="263"/>
      <c r="AB24" s="265"/>
      <c r="AC24" s="266"/>
      <c r="AD24" s="267"/>
      <c r="AE24" s="263"/>
      <c r="AF24" s="263"/>
      <c r="AG24" s="263"/>
      <c r="AH24" s="263"/>
      <c r="AI24" s="265"/>
      <c r="AJ24" s="265"/>
      <c r="AK24" s="263"/>
      <c r="AL24" s="262"/>
      <c r="AM24" s="267"/>
      <c r="AN24" s="275"/>
      <c r="AO24" s="275"/>
      <c r="AP24" s="275"/>
      <c r="AQ24" s="268"/>
      <c r="AR24" s="268"/>
      <c r="AS24" s="268"/>
      <c r="AT24" s="268"/>
      <c r="AU24" s="269"/>
      <c r="AV24" s="267"/>
      <c r="AW24" s="263"/>
      <c r="AX24" s="263"/>
      <c r="AY24" s="263"/>
      <c r="AZ24" s="263"/>
      <c r="BA24" s="263"/>
      <c r="BB24" s="263"/>
      <c r="BC24" s="265"/>
      <c r="BD24" s="266"/>
      <c r="BE24" s="267"/>
      <c r="BF24" s="263"/>
      <c r="BG24" s="271"/>
      <c r="BH24" s="272"/>
      <c r="BI24" s="263"/>
      <c r="BJ24" s="271"/>
      <c r="BK24" s="272"/>
      <c r="BL24" s="263"/>
      <c r="BM24" s="266"/>
      <c r="BN24" s="273"/>
      <c r="BO24" s="250">
        <f t="shared" si="5"/>
        <v>0</v>
      </c>
    </row>
    <row r="25" spans="1:73" ht="25.5" customHeight="1" x14ac:dyDescent="0.2">
      <c r="A25" s="142">
        <f t="shared" si="6"/>
        <v>10</v>
      </c>
      <c r="B25" s="251"/>
      <c r="C25" s="252"/>
      <c r="D25" s="253"/>
      <c r="E25" s="254"/>
      <c r="F25" s="274"/>
      <c r="G25" s="256"/>
      <c r="H25" s="257"/>
      <c r="I25" s="231" t="str">
        <f t="shared" si="1"/>
        <v/>
      </c>
      <c r="J25" s="258">
        <f t="shared" si="2"/>
        <v>0</v>
      </c>
      <c r="K25" s="259"/>
      <c r="L25" s="260"/>
      <c r="M25" s="260"/>
      <c r="N25" s="235" t="str">
        <f t="shared" si="3"/>
        <v/>
      </c>
      <c r="O25" s="236" t="str">
        <f>IF('Data Set up'!$G$40="JUNE",IF(OR($N25=7,$N25=8,$N25=9),1,IF(OR($N25=10,$N25=11,$N25=12),2,IF(OR($N25=1,$N25=2,$N25=3),3,IF(OR($N25=4,$N25=5,$N25=6),4,"")))),IF(OR($N25=9,$N25=10,$N25=11),1,IF(OR($N25=12,$N25=1,$N25=2),2,IF(OR($N25=3,$N25=4,$N25=5),3,IF(OR($N25=6,$N25=7,$N25=8),4,"")))))</f>
        <v/>
      </c>
      <c r="P25" s="261"/>
      <c r="Q25" s="262"/>
      <c r="R25" s="263"/>
      <c r="S25" s="264">
        <f t="shared" si="4"/>
        <v>0</v>
      </c>
      <c r="T25" s="263"/>
      <c r="U25" s="263"/>
      <c r="V25" s="263"/>
      <c r="W25" s="263"/>
      <c r="X25" s="263"/>
      <c r="Y25" s="263"/>
      <c r="Z25" s="263"/>
      <c r="AA25" s="263"/>
      <c r="AB25" s="265"/>
      <c r="AC25" s="266"/>
      <c r="AD25" s="267"/>
      <c r="AE25" s="263"/>
      <c r="AF25" s="263"/>
      <c r="AG25" s="263"/>
      <c r="AH25" s="263"/>
      <c r="AI25" s="265"/>
      <c r="AJ25" s="265"/>
      <c r="AK25" s="263"/>
      <c r="AL25" s="262"/>
      <c r="AM25" s="267"/>
      <c r="AN25" s="275"/>
      <c r="AO25" s="275"/>
      <c r="AP25" s="275"/>
      <c r="AQ25" s="268"/>
      <c r="AR25" s="268"/>
      <c r="AS25" s="268"/>
      <c r="AT25" s="268"/>
      <c r="AU25" s="269"/>
      <c r="AV25" s="267"/>
      <c r="AW25" s="263"/>
      <c r="AX25" s="263"/>
      <c r="AY25" s="263"/>
      <c r="AZ25" s="263"/>
      <c r="BA25" s="263"/>
      <c r="BB25" s="263"/>
      <c r="BC25" s="265"/>
      <c r="BD25" s="266"/>
      <c r="BE25" s="267"/>
      <c r="BF25" s="263"/>
      <c r="BG25" s="271"/>
      <c r="BH25" s="272"/>
      <c r="BI25" s="263"/>
      <c r="BJ25" s="271"/>
      <c r="BK25" s="272"/>
      <c r="BL25" s="263"/>
      <c r="BM25" s="266"/>
      <c r="BN25" s="273"/>
      <c r="BO25" s="250">
        <f t="shared" si="5"/>
        <v>0</v>
      </c>
    </row>
    <row r="26" spans="1:73" ht="25.5" customHeight="1" x14ac:dyDescent="0.2">
      <c r="A26" s="142">
        <f t="shared" si="6"/>
        <v>11</v>
      </c>
      <c r="B26" s="251"/>
      <c r="C26" s="252"/>
      <c r="D26" s="253"/>
      <c r="E26" s="254"/>
      <c r="F26" s="274"/>
      <c r="G26" s="256"/>
      <c r="H26" s="257"/>
      <c r="I26" s="231" t="str">
        <f t="shared" si="1"/>
        <v/>
      </c>
      <c r="J26" s="258">
        <f t="shared" si="2"/>
        <v>0</v>
      </c>
      <c r="K26" s="259"/>
      <c r="L26" s="276"/>
      <c r="M26" s="260"/>
      <c r="N26" s="235" t="str">
        <f t="shared" si="3"/>
        <v/>
      </c>
      <c r="O26" s="236" t="str">
        <f>IF('Data Set up'!$G$40="JUNE",IF(OR($N26=7,$N26=8,$N26=9),1,IF(OR($N26=10,$N26=11,$N26=12),2,IF(OR($N26=1,$N26=2,$N26=3),3,IF(OR($N26=4,$N26=5,$N26=6),4,"")))),IF(OR($N26=9,$N26=10,$N26=11),1,IF(OR($N26=12,$N26=1,$N26=2),2,IF(OR($N26=3,$N26=4,$N26=5),3,IF(OR($N26=6,$N26=7,$N26=8),4,"")))))</f>
        <v/>
      </c>
      <c r="P26" s="261"/>
      <c r="Q26" s="262"/>
      <c r="R26" s="263"/>
      <c r="S26" s="264">
        <f t="shared" si="4"/>
        <v>0</v>
      </c>
      <c r="T26" s="263"/>
      <c r="U26" s="263"/>
      <c r="V26" s="263"/>
      <c r="W26" s="263"/>
      <c r="X26" s="263"/>
      <c r="Y26" s="263"/>
      <c r="Z26" s="263"/>
      <c r="AA26" s="263"/>
      <c r="AB26" s="265"/>
      <c r="AC26" s="266"/>
      <c r="AD26" s="267"/>
      <c r="AE26" s="263"/>
      <c r="AF26" s="263"/>
      <c r="AG26" s="263"/>
      <c r="AH26" s="263"/>
      <c r="AI26" s="265"/>
      <c r="AJ26" s="265"/>
      <c r="AK26" s="263"/>
      <c r="AL26" s="262"/>
      <c r="AM26" s="267"/>
      <c r="AN26" s="275"/>
      <c r="AO26" s="275"/>
      <c r="AP26" s="275"/>
      <c r="AQ26" s="268"/>
      <c r="AR26" s="268"/>
      <c r="AS26" s="268"/>
      <c r="AT26" s="268"/>
      <c r="AU26" s="269"/>
      <c r="AV26" s="267"/>
      <c r="AW26" s="263"/>
      <c r="AX26" s="263"/>
      <c r="AY26" s="263"/>
      <c r="AZ26" s="263"/>
      <c r="BA26" s="263"/>
      <c r="BB26" s="263"/>
      <c r="BC26" s="265"/>
      <c r="BD26" s="266"/>
      <c r="BE26" s="270"/>
      <c r="BF26" s="263"/>
      <c r="BG26" s="271"/>
      <c r="BH26" s="272"/>
      <c r="BI26" s="263"/>
      <c r="BJ26" s="271"/>
      <c r="BK26" s="272"/>
      <c r="BL26" s="263"/>
      <c r="BM26" s="266"/>
      <c r="BN26" s="273"/>
      <c r="BO26" s="250">
        <f t="shared" si="5"/>
        <v>0</v>
      </c>
    </row>
    <row r="27" spans="1:73" ht="25.5" customHeight="1" x14ac:dyDescent="0.2">
      <c r="A27" s="142">
        <f t="shared" si="6"/>
        <v>12</v>
      </c>
      <c r="B27" s="251"/>
      <c r="C27" s="252"/>
      <c r="D27" s="253"/>
      <c r="E27" s="254"/>
      <c r="F27" s="274"/>
      <c r="G27" s="256"/>
      <c r="H27" s="257"/>
      <c r="I27" s="231" t="str">
        <f t="shared" si="1"/>
        <v/>
      </c>
      <c r="J27" s="258">
        <f t="shared" si="2"/>
        <v>0</v>
      </c>
      <c r="K27" s="259"/>
      <c r="L27" s="276"/>
      <c r="M27" s="260"/>
      <c r="N27" s="235" t="str">
        <f t="shared" si="3"/>
        <v/>
      </c>
      <c r="O27" s="236" t="str">
        <f>IF('Data Set up'!$G$40="JUNE",IF(OR($N27=7,$N27=8,$N27=9),1,IF(OR($N27=10,$N27=11,$N27=12),2,IF(OR($N27=1,$N27=2,$N27=3),3,IF(OR($N27=4,$N27=5,$N27=6),4,"")))),IF(OR($N27=9,$N27=10,$N27=11),1,IF(OR($N27=12,$N27=1,$N27=2),2,IF(OR($N27=3,$N27=4,$N27=5),3,IF(OR($N27=6,$N27=7,$N27=8),4,"")))))</f>
        <v/>
      </c>
      <c r="P27" s="261"/>
      <c r="Q27" s="262"/>
      <c r="R27" s="263"/>
      <c r="S27" s="264">
        <f t="shared" si="4"/>
        <v>0</v>
      </c>
      <c r="T27" s="263"/>
      <c r="U27" s="263"/>
      <c r="V27" s="263"/>
      <c r="W27" s="263"/>
      <c r="X27" s="263"/>
      <c r="Y27" s="263"/>
      <c r="Z27" s="263"/>
      <c r="AA27" s="263"/>
      <c r="AB27" s="265"/>
      <c r="AC27" s="266"/>
      <c r="AD27" s="267"/>
      <c r="AE27" s="263"/>
      <c r="AF27" s="263"/>
      <c r="AG27" s="263"/>
      <c r="AH27" s="263"/>
      <c r="AI27" s="265"/>
      <c r="AJ27" s="265"/>
      <c r="AK27" s="263"/>
      <c r="AL27" s="262"/>
      <c r="AM27" s="267"/>
      <c r="AN27" s="263"/>
      <c r="AO27" s="268"/>
      <c r="AP27" s="268"/>
      <c r="AQ27" s="268"/>
      <c r="AR27" s="268"/>
      <c r="AS27" s="268"/>
      <c r="AT27" s="268"/>
      <c r="AU27" s="269"/>
      <c r="AV27" s="267"/>
      <c r="AW27" s="263"/>
      <c r="AX27" s="263"/>
      <c r="AY27" s="263"/>
      <c r="AZ27" s="263"/>
      <c r="BA27" s="263"/>
      <c r="BB27" s="263"/>
      <c r="BC27" s="265"/>
      <c r="BD27" s="266"/>
      <c r="BE27" s="267"/>
      <c r="BF27" s="263"/>
      <c r="BG27" s="271"/>
      <c r="BH27" s="272"/>
      <c r="BI27" s="263"/>
      <c r="BJ27" s="271"/>
      <c r="BK27" s="272"/>
      <c r="BL27" s="263"/>
      <c r="BM27" s="266"/>
      <c r="BN27" s="273"/>
      <c r="BO27" s="250">
        <f t="shared" si="5"/>
        <v>0</v>
      </c>
    </row>
    <row r="28" spans="1:73" ht="25.5" customHeight="1" x14ac:dyDescent="0.2">
      <c r="A28" s="142">
        <f t="shared" si="6"/>
        <v>13</v>
      </c>
      <c r="B28" s="251"/>
      <c r="C28" s="252"/>
      <c r="D28" s="253"/>
      <c r="E28" s="254"/>
      <c r="F28" s="274"/>
      <c r="G28" s="256"/>
      <c r="H28" s="257"/>
      <c r="I28" s="231" t="str">
        <f t="shared" si="1"/>
        <v/>
      </c>
      <c r="J28" s="258">
        <f t="shared" si="2"/>
        <v>0</v>
      </c>
      <c r="K28" s="259"/>
      <c r="L28" s="260"/>
      <c r="M28" s="260"/>
      <c r="N28" s="235" t="str">
        <f t="shared" si="3"/>
        <v/>
      </c>
      <c r="O28" s="236" t="str">
        <f>IF('Data Set up'!$G$40="JUNE",IF(OR($N28=7,$N28=8,$N28=9),1,IF(OR($N28=10,$N28=11,$N28=12),2,IF(OR($N28=1,$N28=2,$N28=3),3,IF(OR($N28=4,$N28=5,$N28=6),4,"")))),IF(OR($N28=9,$N28=10,$N28=11),1,IF(OR($N28=12,$N28=1,$N28=2),2,IF(OR($N28=3,$N28=4,$N28=5),3,IF(OR($N28=6,$N28=7,$N28=8),4,"")))))</f>
        <v/>
      </c>
      <c r="P28" s="261"/>
      <c r="Q28" s="262"/>
      <c r="R28" s="263"/>
      <c r="S28" s="264">
        <f t="shared" si="4"/>
        <v>0</v>
      </c>
      <c r="T28" s="263"/>
      <c r="U28" s="263"/>
      <c r="V28" s="263"/>
      <c r="W28" s="263"/>
      <c r="X28" s="263"/>
      <c r="Y28" s="263"/>
      <c r="Z28" s="263"/>
      <c r="AA28" s="263"/>
      <c r="AB28" s="265"/>
      <c r="AC28" s="266"/>
      <c r="AD28" s="267"/>
      <c r="AE28" s="263"/>
      <c r="AF28" s="263"/>
      <c r="AG28" s="263"/>
      <c r="AH28" s="263"/>
      <c r="AI28" s="265"/>
      <c r="AJ28" s="265"/>
      <c r="AK28" s="263"/>
      <c r="AL28" s="262"/>
      <c r="AM28" s="267"/>
      <c r="AN28" s="263"/>
      <c r="AO28" s="268"/>
      <c r="AP28" s="268"/>
      <c r="AQ28" s="268"/>
      <c r="AR28" s="268"/>
      <c r="AS28" s="268"/>
      <c r="AT28" s="268"/>
      <c r="AU28" s="269"/>
      <c r="AV28" s="267"/>
      <c r="AW28" s="263"/>
      <c r="AX28" s="263"/>
      <c r="AY28" s="263"/>
      <c r="AZ28" s="263"/>
      <c r="BA28" s="263"/>
      <c r="BB28" s="263"/>
      <c r="BC28" s="265"/>
      <c r="BD28" s="266"/>
      <c r="BE28" s="267"/>
      <c r="BF28" s="263"/>
      <c r="BG28" s="271"/>
      <c r="BH28" s="272"/>
      <c r="BI28" s="263"/>
      <c r="BJ28" s="271"/>
      <c r="BK28" s="272"/>
      <c r="BL28" s="263"/>
      <c r="BM28" s="266"/>
      <c r="BN28" s="273"/>
      <c r="BO28" s="250">
        <f t="shared" si="5"/>
        <v>0</v>
      </c>
    </row>
    <row r="29" spans="1:73" ht="25.5" customHeight="1" x14ac:dyDescent="0.2">
      <c r="A29" s="142">
        <f t="shared" si="6"/>
        <v>14</v>
      </c>
      <c r="B29" s="251"/>
      <c r="C29" s="252"/>
      <c r="D29" s="253"/>
      <c r="E29" s="254"/>
      <c r="F29" s="274"/>
      <c r="G29" s="256"/>
      <c r="H29" s="257"/>
      <c r="I29" s="231" t="str">
        <f t="shared" si="1"/>
        <v/>
      </c>
      <c r="J29" s="258">
        <f t="shared" si="2"/>
        <v>0</v>
      </c>
      <c r="K29" s="259"/>
      <c r="L29" s="260"/>
      <c r="M29" s="260"/>
      <c r="N29" s="235" t="str">
        <f t="shared" si="3"/>
        <v/>
      </c>
      <c r="O29" s="236" t="str">
        <f>IF('Data Set up'!$G$40="JUNE",IF(OR($N29=7,$N29=8,$N29=9),1,IF(OR($N29=10,$N29=11,$N29=12),2,IF(OR($N29=1,$N29=2,$N29=3),3,IF(OR($N29=4,$N29=5,$N29=6),4,"")))),IF(OR($N29=9,$N29=10,$N29=11),1,IF(OR($N29=12,$N29=1,$N29=2),2,IF(OR($N29=3,$N29=4,$N29=5),3,IF(OR($N29=6,$N29=7,$N29=8),4,"")))))</f>
        <v/>
      </c>
      <c r="P29" s="261"/>
      <c r="Q29" s="262"/>
      <c r="R29" s="263"/>
      <c r="S29" s="264">
        <f t="shared" si="4"/>
        <v>0</v>
      </c>
      <c r="T29" s="263"/>
      <c r="U29" s="263"/>
      <c r="V29" s="263"/>
      <c r="W29" s="263"/>
      <c r="X29" s="263"/>
      <c r="Y29" s="263"/>
      <c r="Z29" s="263"/>
      <c r="AA29" s="263"/>
      <c r="AB29" s="265"/>
      <c r="AC29" s="266"/>
      <c r="AD29" s="267"/>
      <c r="AE29" s="263"/>
      <c r="AF29" s="263"/>
      <c r="AG29" s="263"/>
      <c r="AH29" s="263"/>
      <c r="AI29" s="265"/>
      <c r="AJ29" s="265"/>
      <c r="AK29" s="263"/>
      <c r="AL29" s="262"/>
      <c r="AM29" s="267"/>
      <c r="AN29" s="263"/>
      <c r="AO29" s="268"/>
      <c r="AP29" s="268"/>
      <c r="AQ29" s="268"/>
      <c r="AR29" s="268"/>
      <c r="AS29" s="268"/>
      <c r="AT29" s="268"/>
      <c r="AU29" s="269"/>
      <c r="AV29" s="267"/>
      <c r="AW29" s="263"/>
      <c r="AX29" s="263"/>
      <c r="AY29" s="263"/>
      <c r="AZ29" s="263"/>
      <c r="BA29" s="263"/>
      <c r="BB29" s="263"/>
      <c r="BC29" s="265"/>
      <c r="BD29" s="266"/>
      <c r="BE29" s="267"/>
      <c r="BF29" s="263"/>
      <c r="BG29" s="271"/>
      <c r="BH29" s="272"/>
      <c r="BI29" s="263"/>
      <c r="BJ29" s="271"/>
      <c r="BK29" s="272"/>
      <c r="BL29" s="263"/>
      <c r="BM29" s="266"/>
      <c r="BN29" s="273"/>
      <c r="BO29" s="250">
        <f t="shared" si="5"/>
        <v>0</v>
      </c>
    </row>
    <row r="30" spans="1:73" ht="25.5" customHeight="1" x14ac:dyDescent="0.2">
      <c r="A30" s="142">
        <f t="shared" si="6"/>
        <v>15</v>
      </c>
      <c r="B30" s="251"/>
      <c r="C30" s="252"/>
      <c r="D30" s="253"/>
      <c r="E30" s="254"/>
      <c r="F30" s="277"/>
      <c r="G30" s="256"/>
      <c r="H30" s="257"/>
      <c r="I30" s="231" t="str">
        <f t="shared" si="1"/>
        <v/>
      </c>
      <c r="J30" s="258">
        <f t="shared" si="2"/>
        <v>0</v>
      </c>
      <c r="K30" s="259"/>
      <c r="L30" s="260"/>
      <c r="M30" s="260"/>
      <c r="N30" s="235" t="str">
        <f t="shared" si="3"/>
        <v/>
      </c>
      <c r="O30" s="236" t="str">
        <f>IF('Data Set up'!$G$40="JUNE",IF(OR($N30=7,$N30=8,$N30=9),1,IF(OR($N30=10,$N30=11,$N30=12),2,IF(OR($N30=1,$N30=2,$N30=3),3,IF(OR($N30=4,$N30=5,$N30=6),4,"")))),IF(OR($N30=9,$N30=10,$N30=11),1,IF(OR($N30=12,$N30=1,$N30=2),2,IF(OR($N30=3,$N30=4,$N30=5),3,IF(OR($N30=6,$N30=7,$N30=8),4,"")))))</f>
        <v/>
      </c>
      <c r="P30" s="261"/>
      <c r="Q30" s="262"/>
      <c r="R30" s="263"/>
      <c r="S30" s="264">
        <f t="shared" si="4"/>
        <v>0</v>
      </c>
      <c r="T30" s="263"/>
      <c r="U30" s="263"/>
      <c r="V30" s="263"/>
      <c r="W30" s="263"/>
      <c r="X30" s="263"/>
      <c r="Y30" s="263"/>
      <c r="Z30" s="263"/>
      <c r="AA30" s="263"/>
      <c r="AB30" s="265"/>
      <c r="AC30" s="266"/>
      <c r="AD30" s="267"/>
      <c r="AE30" s="263"/>
      <c r="AF30" s="263"/>
      <c r="AG30" s="263"/>
      <c r="AH30" s="263"/>
      <c r="AI30" s="265"/>
      <c r="AJ30" s="265"/>
      <c r="AK30" s="263"/>
      <c r="AL30" s="262"/>
      <c r="AM30" s="267"/>
      <c r="AN30" s="263"/>
      <c r="AO30" s="268"/>
      <c r="AP30" s="268"/>
      <c r="AQ30" s="268"/>
      <c r="AR30" s="268"/>
      <c r="AS30" s="268"/>
      <c r="AT30" s="268"/>
      <c r="AU30" s="269"/>
      <c r="AV30" s="267"/>
      <c r="AW30" s="263"/>
      <c r="AX30" s="263"/>
      <c r="AY30" s="263"/>
      <c r="AZ30" s="263"/>
      <c r="BA30" s="263"/>
      <c r="BB30" s="263"/>
      <c r="BC30" s="265"/>
      <c r="BD30" s="266"/>
      <c r="BE30" s="267"/>
      <c r="BF30" s="263"/>
      <c r="BG30" s="271"/>
      <c r="BH30" s="272"/>
      <c r="BI30" s="263"/>
      <c r="BJ30" s="271"/>
      <c r="BK30" s="272"/>
      <c r="BL30" s="263"/>
      <c r="BM30" s="266"/>
      <c r="BN30" s="273"/>
      <c r="BO30" s="250">
        <f t="shared" si="5"/>
        <v>0</v>
      </c>
    </row>
    <row r="31" spans="1:73" ht="25.5" customHeight="1" x14ac:dyDescent="0.2">
      <c r="A31" s="142">
        <f t="shared" si="6"/>
        <v>16</v>
      </c>
      <c r="B31" s="251"/>
      <c r="C31" s="252"/>
      <c r="D31" s="253"/>
      <c r="E31" s="254"/>
      <c r="F31" s="277"/>
      <c r="G31" s="256"/>
      <c r="H31" s="257"/>
      <c r="I31" s="231" t="str">
        <f t="shared" si="1"/>
        <v/>
      </c>
      <c r="J31" s="258">
        <f t="shared" si="2"/>
        <v>0</v>
      </c>
      <c r="K31" s="259"/>
      <c r="L31" s="260"/>
      <c r="M31" s="260"/>
      <c r="N31" s="235" t="str">
        <f t="shared" si="3"/>
        <v/>
      </c>
      <c r="O31" s="236" t="str">
        <f>IF('Data Set up'!$G$40="JUNE",IF(OR($N31=7,$N31=8,$N31=9),1,IF(OR($N31=10,$N31=11,$N31=12),2,IF(OR($N31=1,$N31=2,$N31=3),3,IF(OR($N31=4,$N31=5,$N31=6),4,"")))),IF(OR($N31=9,$N31=10,$N31=11),1,IF(OR($N31=12,$N31=1,$N31=2),2,IF(OR($N31=3,$N31=4,$N31=5),3,IF(OR($N31=6,$N31=7,$N31=8),4,"")))))</f>
        <v/>
      </c>
      <c r="P31" s="261"/>
      <c r="Q31" s="262"/>
      <c r="R31" s="263"/>
      <c r="S31" s="264">
        <f t="shared" si="4"/>
        <v>0</v>
      </c>
      <c r="T31" s="263"/>
      <c r="U31" s="263"/>
      <c r="V31" s="263"/>
      <c r="W31" s="263"/>
      <c r="X31" s="263"/>
      <c r="Y31" s="263"/>
      <c r="Z31" s="263"/>
      <c r="AA31" s="263"/>
      <c r="AB31" s="265"/>
      <c r="AC31" s="266"/>
      <c r="AD31" s="267"/>
      <c r="AE31" s="263"/>
      <c r="AF31" s="263"/>
      <c r="AG31" s="263"/>
      <c r="AH31" s="263"/>
      <c r="AI31" s="265"/>
      <c r="AJ31" s="265"/>
      <c r="AK31" s="263"/>
      <c r="AL31" s="262"/>
      <c r="AM31" s="267"/>
      <c r="AN31" s="263"/>
      <c r="AO31" s="268"/>
      <c r="AP31" s="268"/>
      <c r="AQ31" s="268"/>
      <c r="AR31" s="268"/>
      <c r="AS31" s="268"/>
      <c r="AT31" s="268"/>
      <c r="AU31" s="269"/>
      <c r="AV31" s="267"/>
      <c r="AW31" s="263"/>
      <c r="AX31" s="263"/>
      <c r="AY31" s="263"/>
      <c r="AZ31" s="263"/>
      <c r="BA31" s="263"/>
      <c r="BB31" s="263"/>
      <c r="BC31" s="265"/>
      <c r="BD31" s="266"/>
      <c r="BE31" s="267"/>
      <c r="BF31" s="263"/>
      <c r="BG31" s="271"/>
      <c r="BH31" s="272"/>
      <c r="BI31" s="263"/>
      <c r="BJ31" s="271"/>
      <c r="BK31" s="272"/>
      <c r="BL31" s="263"/>
      <c r="BM31" s="266"/>
      <c r="BN31" s="273"/>
      <c r="BO31" s="250">
        <f t="shared" si="5"/>
        <v>0</v>
      </c>
    </row>
    <row r="32" spans="1:73" ht="25.5" customHeight="1" x14ac:dyDescent="0.2">
      <c r="A32" s="142">
        <f t="shared" si="6"/>
        <v>17</v>
      </c>
      <c r="B32" s="251"/>
      <c r="C32" s="252"/>
      <c r="D32" s="253"/>
      <c r="E32" s="254"/>
      <c r="F32" s="274"/>
      <c r="G32" s="256"/>
      <c r="H32" s="257"/>
      <c r="I32" s="231" t="str">
        <f t="shared" si="1"/>
        <v/>
      </c>
      <c r="J32" s="258">
        <f t="shared" si="2"/>
        <v>0</v>
      </c>
      <c r="K32" s="259"/>
      <c r="L32" s="260"/>
      <c r="M32" s="260"/>
      <c r="N32" s="235" t="str">
        <f t="shared" si="3"/>
        <v/>
      </c>
      <c r="O32" s="236" t="str">
        <f>IF('Data Set up'!$G$40="JUNE",IF(OR($N32=7,$N32=8,$N32=9),1,IF(OR($N32=10,$N32=11,$N32=12),2,IF(OR($N32=1,$N32=2,$N32=3),3,IF(OR($N32=4,$N32=5,$N32=6),4,"")))),IF(OR($N32=9,$N32=10,$N32=11),1,IF(OR($N32=12,$N32=1,$N32=2),2,IF(OR($N32=3,$N32=4,$N32=5),3,IF(OR($N32=6,$N32=7,$N32=8),4,"")))))</f>
        <v/>
      </c>
      <c r="P32" s="261"/>
      <c r="Q32" s="262"/>
      <c r="R32" s="263"/>
      <c r="S32" s="264">
        <f t="shared" si="4"/>
        <v>0</v>
      </c>
      <c r="T32" s="263"/>
      <c r="U32" s="263"/>
      <c r="V32" s="263"/>
      <c r="W32" s="263"/>
      <c r="X32" s="263"/>
      <c r="Y32" s="263"/>
      <c r="Z32" s="263"/>
      <c r="AA32" s="263"/>
      <c r="AB32" s="265"/>
      <c r="AC32" s="266"/>
      <c r="AD32" s="267"/>
      <c r="AE32" s="263"/>
      <c r="AF32" s="263"/>
      <c r="AG32" s="263"/>
      <c r="AH32" s="263"/>
      <c r="AI32" s="265"/>
      <c r="AJ32" s="265"/>
      <c r="AK32" s="263"/>
      <c r="AL32" s="262"/>
      <c r="AM32" s="267"/>
      <c r="AN32" s="263"/>
      <c r="AO32" s="268"/>
      <c r="AP32" s="268"/>
      <c r="AQ32" s="268"/>
      <c r="AR32" s="268"/>
      <c r="AS32" s="268"/>
      <c r="AT32" s="268"/>
      <c r="AU32" s="269"/>
      <c r="AV32" s="267"/>
      <c r="AW32" s="263"/>
      <c r="AX32" s="263"/>
      <c r="AY32" s="263"/>
      <c r="AZ32" s="263"/>
      <c r="BA32" s="263"/>
      <c r="BB32" s="263"/>
      <c r="BC32" s="265"/>
      <c r="BD32" s="266"/>
      <c r="BE32" s="267"/>
      <c r="BF32" s="263"/>
      <c r="BG32" s="271"/>
      <c r="BH32" s="272"/>
      <c r="BI32" s="263"/>
      <c r="BJ32" s="271"/>
      <c r="BK32" s="272"/>
      <c r="BL32" s="263"/>
      <c r="BM32" s="266"/>
      <c r="BN32" s="273"/>
      <c r="BO32" s="250">
        <f t="shared" si="5"/>
        <v>0</v>
      </c>
    </row>
    <row r="33" spans="1:67" ht="25.5" customHeight="1" x14ac:dyDescent="0.2">
      <c r="A33" s="142">
        <f t="shared" si="6"/>
        <v>18</v>
      </c>
      <c r="B33" s="251"/>
      <c r="C33" s="252"/>
      <c r="D33" s="253"/>
      <c r="E33" s="254"/>
      <c r="F33" s="274"/>
      <c r="G33" s="256"/>
      <c r="H33" s="257"/>
      <c r="I33" s="231" t="str">
        <f t="shared" si="1"/>
        <v/>
      </c>
      <c r="J33" s="258">
        <f t="shared" si="2"/>
        <v>0</v>
      </c>
      <c r="K33" s="259"/>
      <c r="L33" s="260"/>
      <c r="M33" s="260"/>
      <c r="N33" s="235" t="str">
        <f t="shared" si="3"/>
        <v/>
      </c>
      <c r="O33" s="236" t="str">
        <f>IF('Data Set up'!$G$40="JUNE",IF(OR($N33=7,$N33=8,$N33=9),1,IF(OR($N33=10,$N33=11,$N33=12),2,IF(OR($N33=1,$N33=2,$N33=3),3,IF(OR($N33=4,$N33=5,$N33=6),4,"")))),IF(OR($N33=9,$N33=10,$N33=11),1,IF(OR($N33=12,$N33=1,$N33=2),2,IF(OR($N33=3,$N33=4,$N33=5),3,IF(OR($N33=6,$N33=7,$N33=8),4,"")))))</f>
        <v/>
      </c>
      <c r="P33" s="261"/>
      <c r="Q33" s="262"/>
      <c r="R33" s="263"/>
      <c r="S33" s="264">
        <f t="shared" si="4"/>
        <v>0</v>
      </c>
      <c r="T33" s="263"/>
      <c r="U33" s="263"/>
      <c r="V33" s="263"/>
      <c r="W33" s="263"/>
      <c r="X33" s="263"/>
      <c r="Y33" s="263"/>
      <c r="Z33" s="263"/>
      <c r="AA33" s="263"/>
      <c r="AB33" s="265"/>
      <c r="AC33" s="266"/>
      <c r="AD33" s="267"/>
      <c r="AE33" s="263"/>
      <c r="AF33" s="263"/>
      <c r="AG33" s="263"/>
      <c r="AH33" s="263"/>
      <c r="AI33" s="265"/>
      <c r="AJ33" s="265"/>
      <c r="AK33" s="263"/>
      <c r="AL33" s="262"/>
      <c r="AM33" s="267"/>
      <c r="AN33" s="263"/>
      <c r="AO33" s="268"/>
      <c r="AP33" s="268"/>
      <c r="AQ33" s="268"/>
      <c r="AR33" s="268"/>
      <c r="AS33" s="268"/>
      <c r="AT33" s="268"/>
      <c r="AU33" s="269"/>
      <c r="AV33" s="267"/>
      <c r="AW33" s="263"/>
      <c r="AX33" s="263"/>
      <c r="AY33" s="263"/>
      <c r="AZ33" s="263"/>
      <c r="BA33" s="263"/>
      <c r="BB33" s="263"/>
      <c r="BC33" s="265"/>
      <c r="BD33" s="266"/>
      <c r="BE33" s="267"/>
      <c r="BF33" s="263"/>
      <c r="BG33" s="271"/>
      <c r="BH33" s="272"/>
      <c r="BI33" s="263"/>
      <c r="BJ33" s="271"/>
      <c r="BK33" s="272"/>
      <c r="BL33" s="263"/>
      <c r="BM33" s="266"/>
      <c r="BN33" s="273"/>
      <c r="BO33" s="250">
        <f t="shared" si="5"/>
        <v>0</v>
      </c>
    </row>
    <row r="34" spans="1:67" ht="25.5" customHeight="1" x14ac:dyDescent="0.2">
      <c r="A34" s="142">
        <f t="shared" si="6"/>
        <v>19</v>
      </c>
      <c r="B34" s="251"/>
      <c r="C34" s="252"/>
      <c r="D34" s="253"/>
      <c r="E34" s="254"/>
      <c r="F34" s="274"/>
      <c r="G34" s="256"/>
      <c r="H34" s="257"/>
      <c r="I34" s="231" t="str">
        <f t="shared" si="1"/>
        <v/>
      </c>
      <c r="J34" s="258">
        <f t="shared" si="2"/>
        <v>0</v>
      </c>
      <c r="K34" s="259"/>
      <c r="L34" s="260"/>
      <c r="M34" s="260"/>
      <c r="N34" s="235" t="str">
        <f t="shared" si="3"/>
        <v/>
      </c>
      <c r="O34" s="236" t="str">
        <f>IF('Data Set up'!$G$40="JUNE",IF(OR($N34=7,$N34=8,$N34=9),1,IF(OR($N34=10,$N34=11,$N34=12),2,IF(OR($N34=1,$N34=2,$N34=3),3,IF(OR($N34=4,$N34=5,$N34=6),4,"")))),IF(OR($N34=9,$N34=10,$N34=11),1,IF(OR($N34=12,$N34=1,$N34=2),2,IF(OR($N34=3,$N34=4,$N34=5),3,IF(OR($N34=6,$N34=7,$N34=8),4,"")))))</f>
        <v/>
      </c>
      <c r="P34" s="261"/>
      <c r="Q34" s="262"/>
      <c r="R34" s="263"/>
      <c r="S34" s="264">
        <f t="shared" si="4"/>
        <v>0</v>
      </c>
      <c r="T34" s="263"/>
      <c r="U34" s="263"/>
      <c r="V34" s="263"/>
      <c r="W34" s="263"/>
      <c r="X34" s="263"/>
      <c r="Y34" s="263"/>
      <c r="Z34" s="263"/>
      <c r="AA34" s="263"/>
      <c r="AB34" s="265"/>
      <c r="AC34" s="266"/>
      <c r="AD34" s="267"/>
      <c r="AE34" s="263"/>
      <c r="AF34" s="263"/>
      <c r="AG34" s="263"/>
      <c r="AH34" s="263"/>
      <c r="AI34" s="265"/>
      <c r="AJ34" s="265"/>
      <c r="AK34" s="263"/>
      <c r="AL34" s="262"/>
      <c r="AM34" s="267"/>
      <c r="AN34" s="263"/>
      <c r="AO34" s="268"/>
      <c r="AP34" s="268"/>
      <c r="AQ34" s="268"/>
      <c r="AR34" s="268"/>
      <c r="AS34" s="268"/>
      <c r="AT34" s="268"/>
      <c r="AU34" s="269"/>
      <c r="AV34" s="267"/>
      <c r="AW34" s="263"/>
      <c r="AX34" s="263"/>
      <c r="AY34" s="263"/>
      <c r="AZ34" s="263"/>
      <c r="BA34" s="263"/>
      <c r="BB34" s="263"/>
      <c r="BC34" s="265"/>
      <c r="BD34" s="266"/>
      <c r="BE34" s="267"/>
      <c r="BF34" s="263"/>
      <c r="BG34" s="271"/>
      <c r="BH34" s="272"/>
      <c r="BI34" s="263"/>
      <c r="BJ34" s="271"/>
      <c r="BK34" s="272"/>
      <c r="BL34" s="263"/>
      <c r="BM34" s="266"/>
      <c r="BN34" s="273"/>
      <c r="BO34" s="250">
        <f t="shared" si="5"/>
        <v>0</v>
      </c>
    </row>
    <row r="35" spans="1:67" ht="25.5" customHeight="1" x14ac:dyDescent="0.2">
      <c r="A35" s="142">
        <f t="shared" si="6"/>
        <v>20</v>
      </c>
      <c r="B35" s="251"/>
      <c r="C35" s="252"/>
      <c r="D35" s="253"/>
      <c r="E35" s="254"/>
      <c r="F35" s="274"/>
      <c r="G35" s="256"/>
      <c r="H35" s="257"/>
      <c r="I35" s="231" t="str">
        <f t="shared" si="1"/>
        <v/>
      </c>
      <c r="J35" s="258">
        <f t="shared" si="2"/>
        <v>0</v>
      </c>
      <c r="K35" s="259"/>
      <c r="L35" s="260"/>
      <c r="M35" s="260"/>
      <c r="N35" s="235" t="str">
        <f t="shared" si="3"/>
        <v/>
      </c>
      <c r="O35" s="236" t="str">
        <f>IF('Data Set up'!$G$40="JUNE",IF(OR($N35=7,$N35=8,$N35=9),1,IF(OR($N35=10,$N35=11,$N35=12),2,IF(OR($N35=1,$N35=2,$N35=3),3,IF(OR($N35=4,$N35=5,$N35=6),4,"")))),IF(OR($N35=9,$N35=10,$N35=11),1,IF(OR($N35=12,$N35=1,$N35=2),2,IF(OR($N35=3,$N35=4,$N35=5),3,IF(OR($N35=6,$N35=7,$N35=8),4,"")))))</f>
        <v/>
      </c>
      <c r="P35" s="261"/>
      <c r="Q35" s="262"/>
      <c r="R35" s="263"/>
      <c r="S35" s="264">
        <f t="shared" si="4"/>
        <v>0</v>
      </c>
      <c r="T35" s="263"/>
      <c r="U35" s="263"/>
      <c r="V35" s="263"/>
      <c r="W35" s="263"/>
      <c r="X35" s="263"/>
      <c r="Y35" s="263"/>
      <c r="Z35" s="263"/>
      <c r="AA35" s="263"/>
      <c r="AB35" s="265"/>
      <c r="AC35" s="266"/>
      <c r="AD35" s="267"/>
      <c r="AE35" s="263"/>
      <c r="AF35" s="263"/>
      <c r="AG35" s="263"/>
      <c r="AH35" s="263"/>
      <c r="AI35" s="265"/>
      <c r="AJ35" s="265"/>
      <c r="AK35" s="263"/>
      <c r="AL35" s="262"/>
      <c r="AM35" s="267"/>
      <c r="AN35" s="263"/>
      <c r="AO35" s="268"/>
      <c r="AP35" s="268"/>
      <c r="AQ35" s="268"/>
      <c r="AR35" s="268"/>
      <c r="AS35" s="268"/>
      <c r="AT35" s="268"/>
      <c r="AU35" s="269"/>
      <c r="AV35" s="267"/>
      <c r="AW35" s="263"/>
      <c r="AX35" s="263"/>
      <c r="AY35" s="263"/>
      <c r="AZ35" s="263"/>
      <c r="BA35" s="263"/>
      <c r="BB35" s="263"/>
      <c r="BC35" s="265"/>
      <c r="BD35" s="266"/>
      <c r="BE35" s="267"/>
      <c r="BF35" s="263"/>
      <c r="BG35" s="271"/>
      <c r="BH35" s="272"/>
      <c r="BI35" s="263"/>
      <c r="BJ35" s="271"/>
      <c r="BK35" s="272"/>
      <c r="BL35" s="263"/>
      <c r="BM35" s="266"/>
      <c r="BN35" s="273"/>
      <c r="BO35" s="250">
        <f t="shared" si="5"/>
        <v>0</v>
      </c>
    </row>
    <row r="36" spans="1:67" ht="25.5" customHeight="1" x14ac:dyDescent="0.2">
      <c r="A36" s="142">
        <f t="shared" si="6"/>
        <v>21</v>
      </c>
      <c r="B36" s="251"/>
      <c r="C36" s="252"/>
      <c r="D36" s="253"/>
      <c r="E36" s="254"/>
      <c r="F36" s="274"/>
      <c r="G36" s="256"/>
      <c r="H36" s="257"/>
      <c r="I36" s="231" t="str">
        <f t="shared" si="1"/>
        <v/>
      </c>
      <c r="J36" s="258">
        <f t="shared" si="2"/>
        <v>0</v>
      </c>
      <c r="K36" s="259"/>
      <c r="L36" s="260"/>
      <c r="M36" s="260"/>
      <c r="N36" s="235" t="str">
        <f t="shared" si="3"/>
        <v/>
      </c>
      <c r="O36" s="236" t="str">
        <f>IF('Data Set up'!$G$40="JUNE",IF(OR($N36=7,$N36=8,$N36=9),1,IF(OR($N36=10,$N36=11,$N36=12),2,IF(OR($N36=1,$N36=2,$N36=3),3,IF(OR($N36=4,$N36=5,$N36=6),4,"")))),IF(OR($N36=9,$N36=10,$N36=11),1,IF(OR($N36=12,$N36=1,$N36=2),2,IF(OR($N36=3,$N36=4,$N36=5),3,IF(OR($N36=6,$N36=7,$N36=8),4,"")))))</f>
        <v/>
      </c>
      <c r="P36" s="261"/>
      <c r="Q36" s="262"/>
      <c r="R36" s="263"/>
      <c r="S36" s="264">
        <f t="shared" si="4"/>
        <v>0</v>
      </c>
      <c r="T36" s="263"/>
      <c r="U36" s="263"/>
      <c r="V36" s="263"/>
      <c r="W36" s="263"/>
      <c r="X36" s="263"/>
      <c r="Y36" s="263"/>
      <c r="Z36" s="263"/>
      <c r="AA36" s="263"/>
      <c r="AB36" s="265"/>
      <c r="AC36" s="266"/>
      <c r="AD36" s="267"/>
      <c r="AE36" s="263"/>
      <c r="AF36" s="263"/>
      <c r="AG36" s="263"/>
      <c r="AH36" s="263"/>
      <c r="AI36" s="265"/>
      <c r="AJ36" s="265"/>
      <c r="AK36" s="263"/>
      <c r="AL36" s="262"/>
      <c r="AM36" s="267"/>
      <c r="AN36" s="263"/>
      <c r="AO36" s="268"/>
      <c r="AP36" s="268"/>
      <c r="AQ36" s="268"/>
      <c r="AR36" s="268"/>
      <c r="AS36" s="268"/>
      <c r="AT36" s="268"/>
      <c r="AU36" s="269"/>
      <c r="AV36" s="267"/>
      <c r="AW36" s="263"/>
      <c r="AX36" s="263"/>
      <c r="AY36" s="263"/>
      <c r="AZ36" s="263"/>
      <c r="BA36" s="263"/>
      <c r="BB36" s="263"/>
      <c r="BC36" s="265"/>
      <c r="BD36" s="266"/>
      <c r="BE36" s="267"/>
      <c r="BF36" s="263"/>
      <c r="BG36" s="271"/>
      <c r="BH36" s="272"/>
      <c r="BI36" s="263"/>
      <c r="BJ36" s="271"/>
      <c r="BK36" s="272"/>
      <c r="BL36" s="263"/>
      <c r="BM36" s="266"/>
      <c r="BN36" s="273"/>
      <c r="BO36" s="250">
        <f t="shared" si="5"/>
        <v>0</v>
      </c>
    </row>
    <row r="37" spans="1:67" ht="25.5" customHeight="1" x14ac:dyDescent="0.2">
      <c r="A37" s="142">
        <f t="shared" si="6"/>
        <v>22</v>
      </c>
      <c r="B37" s="251"/>
      <c r="C37" s="252"/>
      <c r="D37" s="253"/>
      <c r="E37" s="254"/>
      <c r="F37" s="274"/>
      <c r="G37" s="256"/>
      <c r="H37" s="257"/>
      <c r="I37" s="231" t="str">
        <f t="shared" si="1"/>
        <v/>
      </c>
      <c r="J37" s="258">
        <f t="shared" si="2"/>
        <v>0</v>
      </c>
      <c r="K37" s="259"/>
      <c r="L37" s="260"/>
      <c r="M37" s="260"/>
      <c r="N37" s="235" t="str">
        <f t="shared" si="3"/>
        <v/>
      </c>
      <c r="O37" s="236" t="str">
        <f>IF('Data Set up'!$G$40="JUNE",IF(OR($N37=7,$N37=8,$N37=9),1,IF(OR($N37=10,$N37=11,$N37=12),2,IF(OR($N37=1,$N37=2,$N37=3),3,IF(OR($N37=4,$N37=5,$N37=6),4,"")))),IF(OR($N37=9,$N37=10,$N37=11),1,IF(OR($N37=12,$N37=1,$N37=2),2,IF(OR($N37=3,$N37=4,$N37=5),3,IF(OR($N37=6,$N37=7,$N37=8),4,"")))))</f>
        <v/>
      </c>
      <c r="P37" s="261"/>
      <c r="Q37" s="262"/>
      <c r="R37" s="263"/>
      <c r="S37" s="264">
        <f t="shared" si="4"/>
        <v>0</v>
      </c>
      <c r="T37" s="263"/>
      <c r="U37" s="263"/>
      <c r="V37" s="263"/>
      <c r="W37" s="263"/>
      <c r="X37" s="263"/>
      <c r="Y37" s="263"/>
      <c r="Z37" s="263"/>
      <c r="AA37" s="263"/>
      <c r="AB37" s="265"/>
      <c r="AC37" s="266"/>
      <c r="AD37" s="267"/>
      <c r="AE37" s="263"/>
      <c r="AF37" s="263"/>
      <c r="AG37" s="263"/>
      <c r="AH37" s="263"/>
      <c r="AI37" s="265"/>
      <c r="AJ37" s="265"/>
      <c r="AK37" s="263"/>
      <c r="AL37" s="262"/>
      <c r="AM37" s="267"/>
      <c r="AN37" s="263"/>
      <c r="AO37" s="268"/>
      <c r="AP37" s="268"/>
      <c r="AQ37" s="268"/>
      <c r="AR37" s="268"/>
      <c r="AS37" s="268"/>
      <c r="AT37" s="268"/>
      <c r="AU37" s="269"/>
      <c r="AV37" s="267"/>
      <c r="AW37" s="263"/>
      <c r="AX37" s="263"/>
      <c r="AY37" s="263"/>
      <c r="AZ37" s="263"/>
      <c r="BA37" s="263"/>
      <c r="BB37" s="263"/>
      <c r="BC37" s="265"/>
      <c r="BD37" s="266"/>
      <c r="BE37" s="267"/>
      <c r="BF37" s="263"/>
      <c r="BG37" s="271"/>
      <c r="BH37" s="272"/>
      <c r="BI37" s="263"/>
      <c r="BJ37" s="271"/>
      <c r="BK37" s="272"/>
      <c r="BL37" s="263"/>
      <c r="BM37" s="266"/>
      <c r="BN37" s="273"/>
      <c r="BO37" s="250">
        <f t="shared" si="5"/>
        <v>0</v>
      </c>
    </row>
    <row r="38" spans="1:67" ht="25.5" customHeight="1" x14ac:dyDescent="0.2">
      <c r="A38" s="142">
        <f t="shared" si="6"/>
        <v>23</v>
      </c>
      <c r="B38" s="251"/>
      <c r="C38" s="252"/>
      <c r="D38" s="253"/>
      <c r="E38" s="254"/>
      <c r="F38" s="274"/>
      <c r="G38" s="256"/>
      <c r="H38" s="257"/>
      <c r="I38" s="231" t="str">
        <f t="shared" si="1"/>
        <v/>
      </c>
      <c r="J38" s="258">
        <f t="shared" si="2"/>
        <v>0</v>
      </c>
      <c r="K38" s="259"/>
      <c r="L38" s="260"/>
      <c r="M38" s="260"/>
      <c r="N38" s="235" t="str">
        <f t="shared" si="3"/>
        <v/>
      </c>
      <c r="O38" s="236" t="str">
        <f>IF('Data Set up'!$G$40="JUNE",IF(OR($N38=7,$N38=8,$N38=9),1,IF(OR($N38=10,$N38=11,$N38=12),2,IF(OR($N38=1,$N38=2,$N38=3),3,IF(OR($N38=4,$N38=5,$N38=6),4,"")))),IF(OR($N38=9,$N38=10,$N38=11),1,IF(OR($N38=12,$N38=1,$N38=2),2,IF(OR($N38=3,$N38=4,$N38=5),3,IF(OR($N38=6,$N38=7,$N38=8),4,"")))))</f>
        <v/>
      </c>
      <c r="P38" s="261"/>
      <c r="Q38" s="262"/>
      <c r="R38" s="263"/>
      <c r="S38" s="264">
        <f t="shared" si="4"/>
        <v>0</v>
      </c>
      <c r="T38" s="263"/>
      <c r="U38" s="263"/>
      <c r="V38" s="263"/>
      <c r="W38" s="263"/>
      <c r="X38" s="263"/>
      <c r="Y38" s="263"/>
      <c r="Z38" s="263"/>
      <c r="AA38" s="263"/>
      <c r="AB38" s="265"/>
      <c r="AC38" s="266"/>
      <c r="AD38" s="267"/>
      <c r="AE38" s="263"/>
      <c r="AF38" s="263"/>
      <c r="AG38" s="263"/>
      <c r="AH38" s="263"/>
      <c r="AI38" s="265"/>
      <c r="AJ38" s="265"/>
      <c r="AK38" s="263"/>
      <c r="AL38" s="262"/>
      <c r="AM38" s="267"/>
      <c r="AN38" s="263"/>
      <c r="AO38" s="268"/>
      <c r="AP38" s="268"/>
      <c r="AQ38" s="268"/>
      <c r="AR38" s="268"/>
      <c r="AS38" s="268"/>
      <c r="AT38" s="268"/>
      <c r="AU38" s="269"/>
      <c r="AV38" s="267"/>
      <c r="AW38" s="263"/>
      <c r="AX38" s="263"/>
      <c r="AY38" s="263"/>
      <c r="AZ38" s="263"/>
      <c r="BA38" s="263"/>
      <c r="BB38" s="263"/>
      <c r="BC38" s="265"/>
      <c r="BD38" s="266"/>
      <c r="BE38" s="267"/>
      <c r="BF38" s="263"/>
      <c r="BG38" s="271"/>
      <c r="BH38" s="272"/>
      <c r="BI38" s="263"/>
      <c r="BJ38" s="271"/>
      <c r="BK38" s="272"/>
      <c r="BL38" s="263"/>
      <c r="BM38" s="266"/>
      <c r="BN38" s="273"/>
      <c r="BO38" s="250">
        <f t="shared" si="5"/>
        <v>0</v>
      </c>
    </row>
    <row r="39" spans="1:67" ht="25.5" customHeight="1" x14ac:dyDescent="0.2">
      <c r="A39" s="142">
        <f t="shared" si="6"/>
        <v>24</v>
      </c>
      <c r="B39" s="251"/>
      <c r="C39" s="252"/>
      <c r="D39" s="253"/>
      <c r="E39" s="254"/>
      <c r="F39" s="274"/>
      <c r="G39" s="256"/>
      <c r="H39" s="257"/>
      <c r="I39" s="231" t="str">
        <f t="shared" si="1"/>
        <v/>
      </c>
      <c r="J39" s="258">
        <f t="shared" si="2"/>
        <v>0</v>
      </c>
      <c r="K39" s="259"/>
      <c r="L39" s="260"/>
      <c r="M39" s="260"/>
      <c r="N39" s="235" t="str">
        <f t="shared" si="3"/>
        <v/>
      </c>
      <c r="O39" s="236" t="str">
        <f>IF('Data Set up'!$G$40="JUNE",IF(OR($N39=7,$N39=8,$N39=9),1,IF(OR($N39=10,$N39=11,$N39=12),2,IF(OR($N39=1,$N39=2,$N39=3),3,IF(OR($N39=4,$N39=5,$N39=6),4,"")))),IF(OR($N39=9,$N39=10,$N39=11),1,IF(OR($N39=12,$N39=1,$N39=2),2,IF(OR($N39=3,$N39=4,$N39=5),3,IF(OR($N39=6,$N39=7,$N39=8),4,"")))))</f>
        <v/>
      </c>
      <c r="P39" s="261"/>
      <c r="Q39" s="262"/>
      <c r="R39" s="263"/>
      <c r="S39" s="264">
        <f t="shared" si="4"/>
        <v>0</v>
      </c>
      <c r="T39" s="263"/>
      <c r="U39" s="263"/>
      <c r="V39" s="263"/>
      <c r="W39" s="263"/>
      <c r="X39" s="263"/>
      <c r="Y39" s="263"/>
      <c r="Z39" s="263"/>
      <c r="AA39" s="263"/>
      <c r="AB39" s="265"/>
      <c r="AC39" s="266"/>
      <c r="AD39" s="267"/>
      <c r="AE39" s="263"/>
      <c r="AF39" s="263"/>
      <c r="AG39" s="263"/>
      <c r="AH39" s="263"/>
      <c r="AI39" s="265"/>
      <c r="AJ39" s="265"/>
      <c r="AK39" s="263"/>
      <c r="AL39" s="262"/>
      <c r="AM39" s="267"/>
      <c r="AN39" s="263"/>
      <c r="AO39" s="268"/>
      <c r="AP39" s="268"/>
      <c r="AQ39" s="268"/>
      <c r="AR39" s="268"/>
      <c r="AS39" s="268"/>
      <c r="AT39" s="268"/>
      <c r="AU39" s="269"/>
      <c r="AV39" s="267"/>
      <c r="AW39" s="263"/>
      <c r="AX39" s="263"/>
      <c r="AY39" s="263"/>
      <c r="AZ39" s="263"/>
      <c r="BA39" s="263"/>
      <c r="BB39" s="263"/>
      <c r="BC39" s="265"/>
      <c r="BD39" s="266"/>
      <c r="BE39" s="267"/>
      <c r="BF39" s="263"/>
      <c r="BG39" s="271"/>
      <c r="BH39" s="272"/>
      <c r="BI39" s="263"/>
      <c r="BJ39" s="271"/>
      <c r="BK39" s="272"/>
      <c r="BL39" s="263"/>
      <c r="BM39" s="266"/>
      <c r="BN39" s="273"/>
      <c r="BO39" s="250">
        <f t="shared" si="5"/>
        <v>0</v>
      </c>
    </row>
    <row r="40" spans="1:67" ht="25.5" customHeight="1" x14ac:dyDescent="0.2">
      <c r="A40" s="142">
        <f t="shared" si="6"/>
        <v>25</v>
      </c>
      <c r="B40" s="251"/>
      <c r="C40" s="252"/>
      <c r="D40" s="253"/>
      <c r="E40" s="254"/>
      <c r="F40" s="274"/>
      <c r="G40" s="256"/>
      <c r="H40" s="257"/>
      <c r="I40" s="231" t="str">
        <f t="shared" si="1"/>
        <v/>
      </c>
      <c r="J40" s="258">
        <f t="shared" si="2"/>
        <v>0</v>
      </c>
      <c r="K40" s="259"/>
      <c r="L40" s="260"/>
      <c r="M40" s="260"/>
      <c r="N40" s="235" t="str">
        <f t="shared" si="3"/>
        <v/>
      </c>
      <c r="O40" s="236" t="str">
        <f>IF('Data Set up'!$G$40="JUNE",IF(OR($N40=7,$N40=8,$N40=9),1,IF(OR($N40=10,$N40=11,$N40=12),2,IF(OR($N40=1,$N40=2,$N40=3),3,IF(OR($N40=4,$N40=5,$N40=6),4,"")))),IF(OR($N40=9,$N40=10,$N40=11),1,IF(OR($N40=12,$N40=1,$N40=2),2,IF(OR($N40=3,$N40=4,$N40=5),3,IF(OR($N40=6,$N40=7,$N40=8),4,"")))))</f>
        <v/>
      </c>
      <c r="P40" s="261"/>
      <c r="Q40" s="262"/>
      <c r="R40" s="263"/>
      <c r="S40" s="264">
        <f t="shared" si="4"/>
        <v>0</v>
      </c>
      <c r="T40" s="263"/>
      <c r="U40" s="263"/>
      <c r="V40" s="263"/>
      <c r="W40" s="263"/>
      <c r="X40" s="263"/>
      <c r="Y40" s="263"/>
      <c r="Z40" s="263"/>
      <c r="AA40" s="263"/>
      <c r="AB40" s="265"/>
      <c r="AC40" s="266"/>
      <c r="AD40" s="267"/>
      <c r="AE40" s="263"/>
      <c r="AF40" s="263"/>
      <c r="AG40" s="263"/>
      <c r="AH40" s="263"/>
      <c r="AI40" s="265"/>
      <c r="AJ40" s="265"/>
      <c r="AK40" s="263"/>
      <c r="AL40" s="262"/>
      <c r="AM40" s="267"/>
      <c r="AN40" s="263"/>
      <c r="AO40" s="268"/>
      <c r="AP40" s="268"/>
      <c r="AQ40" s="268"/>
      <c r="AR40" s="268"/>
      <c r="AS40" s="268"/>
      <c r="AT40" s="268"/>
      <c r="AU40" s="269"/>
      <c r="AV40" s="267"/>
      <c r="AW40" s="263"/>
      <c r="AX40" s="263"/>
      <c r="AY40" s="263"/>
      <c r="AZ40" s="263"/>
      <c r="BA40" s="263"/>
      <c r="BB40" s="263"/>
      <c r="BC40" s="265"/>
      <c r="BD40" s="266"/>
      <c r="BE40" s="267"/>
      <c r="BF40" s="263"/>
      <c r="BG40" s="271"/>
      <c r="BH40" s="272"/>
      <c r="BI40" s="263"/>
      <c r="BJ40" s="271"/>
      <c r="BK40" s="272"/>
      <c r="BL40" s="263"/>
      <c r="BM40" s="266"/>
      <c r="BN40" s="273"/>
      <c r="BO40" s="250">
        <f t="shared" si="5"/>
        <v>0</v>
      </c>
    </row>
    <row r="41" spans="1:67" ht="25.5" customHeight="1" x14ac:dyDescent="0.2">
      <c r="A41" s="142">
        <f t="shared" si="6"/>
        <v>26</v>
      </c>
      <c r="B41" s="251"/>
      <c r="C41" s="252"/>
      <c r="D41" s="253"/>
      <c r="E41" s="254"/>
      <c r="F41" s="274"/>
      <c r="G41" s="256"/>
      <c r="H41" s="257"/>
      <c r="I41" s="231" t="str">
        <f t="shared" si="1"/>
        <v/>
      </c>
      <c r="J41" s="258">
        <f t="shared" si="2"/>
        <v>0</v>
      </c>
      <c r="K41" s="259"/>
      <c r="L41" s="260"/>
      <c r="M41" s="260"/>
      <c r="N41" s="235" t="str">
        <f t="shared" si="3"/>
        <v/>
      </c>
      <c r="O41" s="236" t="str">
        <f>IF('Data Set up'!$G$40="JUNE",IF(OR($N41=7,$N41=8,$N41=9),1,IF(OR($N41=10,$N41=11,$N41=12),2,IF(OR($N41=1,$N41=2,$N41=3),3,IF(OR($N41=4,$N41=5,$N41=6),4,"")))),IF(OR($N41=9,$N41=10,$N41=11),1,IF(OR($N41=12,$N41=1,$N41=2),2,IF(OR($N41=3,$N41=4,$N41=5),3,IF(OR($N41=6,$N41=7,$N41=8),4,"")))))</f>
        <v/>
      </c>
      <c r="P41" s="261"/>
      <c r="Q41" s="262"/>
      <c r="R41" s="263"/>
      <c r="S41" s="264">
        <f t="shared" si="4"/>
        <v>0</v>
      </c>
      <c r="T41" s="263"/>
      <c r="U41" s="263"/>
      <c r="V41" s="263"/>
      <c r="W41" s="263"/>
      <c r="X41" s="263"/>
      <c r="Y41" s="263"/>
      <c r="Z41" s="263"/>
      <c r="AA41" s="263"/>
      <c r="AB41" s="265"/>
      <c r="AC41" s="266"/>
      <c r="AD41" s="267"/>
      <c r="AE41" s="263"/>
      <c r="AF41" s="263"/>
      <c r="AG41" s="263"/>
      <c r="AH41" s="263"/>
      <c r="AI41" s="265"/>
      <c r="AJ41" s="265"/>
      <c r="AK41" s="263"/>
      <c r="AL41" s="262"/>
      <c r="AM41" s="267"/>
      <c r="AN41" s="263"/>
      <c r="AO41" s="268"/>
      <c r="AP41" s="268"/>
      <c r="AQ41" s="268"/>
      <c r="AR41" s="268"/>
      <c r="AS41" s="268"/>
      <c r="AT41" s="268"/>
      <c r="AU41" s="269"/>
      <c r="AV41" s="267"/>
      <c r="AW41" s="263"/>
      <c r="AX41" s="263"/>
      <c r="AY41" s="263"/>
      <c r="AZ41" s="263"/>
      <c r="BA41" s="263"/>
      <c r="BB41" s="263"/>
      <c r="BC41" s="265"/>
      <c r="BD41" s="266"/>
      <c r="BE41" s="267"/>
      <c r="BF41" s="263"/>
      <c r="BG41" s="271"/>
      <c r="BH41" s="272"/>
      <c r="BI41" s="263"/>
      <c r="BJ41" s="271"/>
      <c r="BK41" s="272"/>
      <c r="BL41" s="263"/>
      <c r="BM41" s="266"/>
      <c r="BN41" s="273"/>
      <c r="BO41" s="250">
        <f t="shared" si="5"/>
        <v>0</v>
      </c>
    </row>
    <row r="42" spans="1:67" ht="25.5" customHeight="1" x14ac:dyDescent="0.2">
      <c r="A42" s="142">
        <f t="shared" si="6"/>
        <v>27</v>
      </c>
      <c r="B42" s="251"/>
      <c r="C42" s="252"/>
      <c r="D42" s="253"/>
      <c r="E42" s="254"/>
      <c r="F42" s="274"/>
      <c r="G42" s="256"/>
      <c r="H42" s="257"/>
      <c r="I42" s="231" t="str">
        <f t="shared" si="1"/>
        <v/>
      </c>
      <c r="J42" s="258">
        <f t="shared" si="2"/>
        <v>0</v>
      </c>
      <c r="K42" s="259"/>
      <c r="L42" s="260"/>
      <c r="M42" s="260"/>
      <c r="N42" s="235" t="str">
        <f t="shared" si="3"/>
        <v/>
      </c>
      <c r="O42" s="236" t="str">
        <f>IF('Data Set up'!$G$40="JUNE",IF(OR($N42=7,$N42=8,$N42=9),1,IF(OR($N42=10,$N42=11,$N42=12),2,IF(OR($N42=1,$N42=2,$N42=3),3,IF(OR($N42=4,$N42=5,$N42=6),4,"")))),IF(OR($N42=9,$N42=10,$N42=11),1,IF(OR($N42=12,$N42=1,$N42=2),2,IF(OR($N42=3,$N42=4,$N42=5),3,IF(OR($N42=6,$N42=7,$N42=8),4,"")))))</f>
        <v/>
      </c>
      <c r="P42" s="261"/>
      <c r="Q42" s="262"/>
      <c r="R42" s="263"/>
      <c r="S42" s="264">
        <f t="shared" si="4"/>
        <v>0</v>
      </c>
      <c r="T42" s="263"/>
      <c r="U42" s="263"/>
      <c r="V42" s="263"/>
      <c r="W42" s="263"/>
      <c r="X42" s="263"/>
      <c r="Y42" s="263"/>
      <c r="Z42" s="263"/>
      <c r="AA42" s="263"/>
      <c r="AB42" s="265"/>
      <c r="AC42" s="266"/>
      <c r="AD42" s="267"/>
      <c r="AE42" s="263"/>
      <c r="AF42" s="263"/>
      <c r="AG42" s="263"/>
      <c r="AH42" s="263"/>
      <c r="AI42" s="265"/>
      <c r="AJ42" s="265"/>
      <c r="AK42" s="263"/>
      <c r="AL42" s="262"/>
      <c r="AM42" s="267"/>
      <c r="AN42" s="263"/>
      <c r="AO42" s="268"/>
      <c r="AP42" s="268"/>
      <c r="AQ42" s="268"/>
      <c r="AR42" s="268"/>
      <c r="AS42" s="268"/>
      <c r="AT42" s="268"/>
      <c r="AU42" s="269"/>
      <c r="AV42" s="267"/>
      <c r="AW42" s="263"/>
      <c r="AX42" s="263"/>
      <c r="AY42" s="263"/>
      <c r="AZ42" s="263"/>
      <c r="BA42" s="263"/>
      <c r="BB42" s="263"/>
      <c r="BC42" s="265"/>
      <c r="BD42" s="266"/>
      <c r="BE42" s="267"/>
      <c r="BF42" s="263"/>
      <c r="BG42" s="271"/>
      <c r="BH42" s="272"/>
      <c r="BI42" s="263"/>
      <c r="BJ42" s="271"/>
      <c r="BK42" s="272"/>
      <c r="BL42" s="263"/>
      <c r="BM42" s="266"/>
      <c r="BN42" s="273"/>
      <c r="BO42" s="250">
        <f t="shared" si="5"/>
        <v>0</v>
      </c>
    </row>
    <row r="43" spans="1:67" ht="25.5" customHeight="1" x14ac:dyDescent="0.2">
      <c r="A43" s="142">
        <f t="shared" si="6"/>
        <v>28</v>
      </c>
      <c r="B43" s="251"/>
      <c r="C43" s="252"/>
      <c r="D43" s="253"/>
      <c r="E43" s="254"/>
      <c r="F43" s="278"/>
      <c r="G43" s="256"/>
      <c r="H43" s="257"/>
      <c r="I43" s="231" t="str">
        <f t="shared" si="1"/>
        <v/>
      </c>
      <c r="J43" s="258">
        <f t="shared" si="2"/>
        <v>0</v>
      </c>
      <c r="K43" s="259"/>
      <c r="L43" s="260"/>
      <c r="M43" s="260"/>
      <c r="N43" s="235" t="str">
        <f t="shared" si="3"/>
        <v/>
      </c>
      <c r="O43" s="236" t="str">
        <f>IF('Data Set up'!$G$40="JUNE",IF(OR($N43=7,$N43=8,$N43=9),1,IF(OR($N43=10,$N43=11,$N43=12),2,IF(OR($N43=1,$N43=2,$N43=3),3,IF(OR($N43=4,$N43=5,$N43=6),4,"")))),IF(OR($N43=9,$N43=10,$N43=11),1,IF(OR($N43=12,$N43=1,$N43=2),2,IF(OR($N43=3,$N43=4,$N43=5),3,IF(OR($N43=6,$N43=7,$N43=8),4,"")))))</f>
        <v/>
      </c>
      <c r="P43" s="261"/>
      <c r="Q43" s="262"/>
      <c r="R43" s="263"/>
      <c r="S43" s="264">
        <f t="shared" si="4"/>
        <v>0</v>
      </c>
      <c r="T43" s="263"/>
      <c r="U43" s="263"/>
      <c r="V43" s="263"/>
      <c r="W43" s="263"/>
      <c r="X43" s="263"/>
      <c r="Y43" s="263"/>
      <c r="Z43" s="263"/>
      <c r="AA43" s="263"/>
      <c r="AB43" s="265"/>
      <c r="AC43" s="266"/>
      <c r="AD43" s="267"/>
      <c r="AE43" s="263"/>
      <c r="AF43" s="263"/>
      <c r="AG43" s="263"/>
      <c r="AH43" s="263"/>
      <c r="AI43" s="265"/>
      <c r="AJ43" s="265"/>
      <c r="AK43" s="263"/>
      <c r="AL43" s="262"/>
      <c r="AM43" s="267"/>
      <c r="AN43" s="263"/>
      <c r="AO43" s="268"/>
      <c r="AP43" s="268"/>
      <c r="AQ43" s="268"/>
      <c r="AR43" s="268"/>
      <c r="AS43" s="268"/>
      <c r="AT43" s="268"/>
      <c r="AU43" s="269"/>
      <c r="AV43" s="267"/>
      <c r="AW43" s="263"/>
      <c r="AX43" s="263"/>
      <c r="AY43" s="263"/>
      <c r="AZ43" s="263"/>
      <c r="BA43" s="263"/>
      <c r="BB43" s="263"/>
      <c r="BC43" s="265"/>
      <c r="BD43" s="266"/>
      <c r="BE43" s="267"/>
      <c r="BF43" s="263"/>
      <c r="BG43" s="271"/>
      <c r="BH43" s="272"/>
      <c r="BI43" s="263"/>
      <c r="BJ43" s="271"/>
      <c r="BK43" s="272"/>
      <c r="BL43" s="263"/>
      <c r="BM43" s="266"/>
      <c r="BN43" s="273"/>
      <c r="BO43" s="250">
        <f t="shared" si="5"/>
        <v>0</v>
      </c>
    </row>
    <row r="44" spans="1:67" ht="25.5" customHeight="1" x14ac:dyDescent="0.2">
      <c r="A44" s="142">
        <f t="shared" si="6"/>
        <v>29</v>
      </c>
      <c r="B44" s="251"/>
      <c r="C44" s="252"/>
      <c r="D44" s="253"/>
      <c r="E44" s="254"/>
      <c r="F44" s="278"/>
      <c r="G44" s="256"/>
      <c r="H44" s="257"/>
      <c r="I44" s="231" t="str">
        <f t="shared" si="1"/>
        <v/>
      </c>
      <c r="J44" s="258">
        <f t="shared" si="2"/>
        <v>0</v>
      </c>
      <c r="K44" s="259"/>
      <c r="L44" s="260"/>
      <c r="M44" s="260"/>
      <c r="N44" s="235" t="str">
        <f t="shared" si="3"/>
        <v/>
      </c>
      <c r="O44" s="236" t="str">
        <f>IF('Data Set up'!$G$40="JUNE",IF(OR($N44=7,$N44=8,$N44=9),1,IF(OR($N44=10,$N44=11,$N44=12),2,IF(OR($N44=1,$N44=2,$N44=3),3,IF(OR($N44=4,$N44=5,$N44=6),4,"")))),IF(OR($N44=9,$N44=10,$N44=11),1,IF(OR($N44=12,$N44=1,$N44=2),2,IF(OR($N44=3,$N44=4,$N44=5),3,IF(OR($N44=6,$N44=7,$N44=8),4,"")))))</f>
        <v/>
      </c>
      <c r="P44" s="261"/>
      <c r="Q44" s="262"/>
      <c r="R44" s="263"/>
      <c r="S44" s="264">
        <f t="shared" si="4"/>
        <v>0</v>
      </c>
      <c r="T44" s="263"/>
      <c r="U44" s="263"/>
      <c r="V44" s="263"/>
      <c r="W44" s="263"/>
      <c r="X44" s="263"/>
      <c r="Y44" s="263"/>
      <c r="Z44" s="263"/>
      <c r="AA44" s="263"/>
      <c r="AB44" s="265"/>
      <c r="AC44" s="266"/>
      <c r="AD44" s="267"/>
      <c r="AE44" s="263"/>
      <c r="AF44" s="263"/>
      <c r="AG44" s="263"/>
      <c r="AH44" s="263"/>
      <c r="AI44" s="265"/>
      <c r="AJ44" s="265"/>
      <c r="AK44" s="263"/>
      <c r="AL44" s="262"/>
      <c r="AM44" s="267"/>
      <c r="AN44" s="263"/>
      <c r="AO44" s="268"/>
      <c r="AP44" s="268"/>
      <c r="AQ44" s="268"/>
      <c r="AR44" s="268"/>
      <c r="AS44" s="268"/>
      <c r="AT44" s="268"/>
      <c r="AU44" s="269"/>
      <c r="AV44" s="267"/>
      <c r="AW44" s="263"/>
      <c r="AX44" s="263"/>
      <c r="AY44" s="263"/>
      <c r="AZ44" s="263"/>
      <c r="BA44" s="263"/>
      <c r="BB44" s="263"/>
      <c r="BC44" s="265"/>
      <c r="BD44" s="266"/>
      <c r="BE44" s="267"/>
      <c r="BF44" s="263"/>
      <c r="BG44" s="271"/>
      <c r="BH44" s="272"/>
      <c r="BI44" s="263"/>
      <c r="BJ44" s="271"/>
      <c r="BK44" s="272"/>
      <c r="BL44" s="263"/>
      <c r="BM44" s="266"/>
      <c r="BN44" s="273"/>
      <c r="BO44" s="250">
        <f t="shared" si="5"/>
        <v>0</v>
      </c>
    </row>
    <row r="45" spans="1:67" ht="25.5" customHeight="1" x14ac:dyDescent="0.2">
      <c r="A45" s="142">
        <f t="shared" si="6"/>
        <v>30</v>
      </c>
      <c r="B45" s="251"/>
      <c r="C45" s="252"/>
      <c r="D45" s="253"/>
      <c r="E45" s="254"/>
      <c r="F45" s="278"/>
      <c r="G45" s="256"/>
      <c r="H45" s="257"/>
      <c r="I45" s="231" t="str">
        <f t="shared" si="1"/>
        <v/>
      </c>
      <c r="J45" s="258">
        <f t="shared" si="2"/>
        <v>0</v>
      </c>
      <c r="K45" s="259"/>
      <c r="L45" s="260"/>
      <c r="M45" s="260"/>
      <c r="N45" s="235" t="str">
        <f t="shared" si="3"/>
        <v/>
      </c>
      <c r="O45" s="236" t="str">
        <f>IF('Data Set up'!$G$40="JUNE",IF(OR($N45=7,$N45=8,$N45=9),1,IF(OR($N45=10,$N45=11,$N45=12),2,IF(OR($N45=1,$N45=2,$N45=3),3,IF(OR($N45=4,$N45=5,$N45=6),4,"")))),IF(OR($N45=9,$N45=10,$N45=11),1,IF(OR($N45=12,$N45=1,$N45=2),2,IF(OR($N45=3,$N45=4,$N45=5),3,IF(OR($N45=6,$N45=7,$N45=8),4,"")))))</f>
        <v/>
      </c>
      <c r="P45" s="261"/>
      <c r="Q45" s="262"/>
      <c r="R45" s="263"/>
      <c r="S45" s="264">
        <f t="shared" si="4"/>
        <v>0</v>
      </c>
      <c r="T45" s="263"/>
      <c r="U45" s="263"/>
      <c r="V45" s="263"/>
      <c r="W45" s="263"/>
      <c r="X45" s="263"/>
      <c r="Y45" s="263"/>
      <c r="Z45" s="263"/>
      <c r="AA45" s="263"/>
      <c r="AB45" s="265"/>
      <c r="AC45" s="266"/>
      <c r="AD45" s="267"/>
      <c r="AE45" s="263"/>
      <c r="AF45" s="263"/>
      <c r="AG45" s="263"/>
      <c r="AH45" s="263"/>
      <c r="AI45" s="265"/>
      <c r="AJ45" s="265"/>
      <c r="AK45" s="263"/>
      <c r="AL45" s="262"/>
      <c r="AM45" s="267"/>
      <c r="AN45" s="263"/>
      <c r="AO45" s="268"/>
      <c r="AP45" s="268"/>
      <c r="AQ45" s="268"/>
      <c r="AR45" s="268"/>
      <c r="AS45" s="268"/>
      <c r="AT45" s="268"/>
      <c r="AU45" s="269"/>
      <c r="AV45" s="267"/>
      <c r="AW45" s="263"/>
      <c r="AX45" s="263"/>
      <c r="AY45" s="263"/>
      <c r="AZ45" s="263"/>
      <c r="BA45" s="263"/>
      <c r="BB45" s="263"/>
      <c r="BC45" s="265"/>
      <c r="BD45" s="266"/>
      <c r="BE45" s="267"/>
      <c r="BF45" s="263"/>
      <c r="BG45" s="271"/>
      <c r="BH45" s="272"/>
      <c r="BI45" s="263"/>
      <c r="BJ45" s="271"/>
      <c r="BK45" s="272"/>
      <c r="BL45" s="263"/>
      <c r="BM45" s="266"/>
      <c r="BN45" s="273"/>
      <c r="BO45" s="250">
        <f t="shared" si="5"/>
        <v>0</v>
      </c>
    </row>
    <row r="46" spans="1:67" ht="25.5" customHeight="1" x14ac:dyDescent="0.2">
      <c r="A46" s="142">
        <f t="shared" si="6"/>
        <v>31</v>
      </c>
      <c r="B46" s="251"/>
      <c r="C46" s="252"/>
      <c r="D46" s="253"/>
      <c r="E46" s="254"/>
      <c r="F46" s="278"/>
      <c r="G46" s="256"/>
      <c r="H46" s="257"/>
      <c r="I46" s="231" t="str">
        <f t="shared" si="1"/>
        <v/>
      </c>
      <c r="J46" s="258">
        <f t="shared" si="2"/>
        <v>0</v>
      </c>
      <c r="K46" s="279"/>
      <c r="L46" s="260"/>
      <c r="M46" s="260"/>
      <c r="N46" s="235" t="str">
        <f t="shared" si="3"/>
        <v/>
      </c>
      <c r="O46" s="236" t="str">
        <f>IF('Data Set up'!$G$40="JUNE",IF(OR($N46=7,$N46=8,$N46=9),1,IF(OR($N46=10,$N46=11,$N46=12),2,IF(OR($N46=1,$N46=2,$N46=3),3,IF(OR($N46=4,$N46=5,$N46=6),4,"")))),IF(OR($N46=9,$N46=10,$N46=11),1,IF(OR($N46=12,$N46=1,$N46=2),2,IF(OR($N46=3,$N46=4,$N46=5),3,IF(OR($N46=6,$N46=7,$N46=8),4,"")))))</f>
        <v/>
      </c>
      <c r="P46" s="261"/>
      <c r="Q46" s="262"/>
      <c r="R46" s="263"/>
      <c r="S46" s="264">
        <f t="shared" si="4"/>
        <v>0</v>
      </c>
      <c r="T46" s="263"/>
      <c r="U46" s="263"/>
      <c r="V46" s="263"/>
      <c r="W46" s="263"/>
      <c r="X46" s="263"/>
      <c r="Y46" s="263"/>
      <c r="Z46" s="263"/>
      <c r="AA46" s="263"/>
      <c r="AB46" s="265"/>
      <c r="AC46" s="266"/>
      <c r="AD46" s="267"/>
      <c r="AE46" s="263"/>
      <c r="AF46" s="263"/>
      <c r="AG46" s="263"/>
      <c r="AH46" s="263"/>
      <c r="AI46" s="265"/>
      <c r="AJ46" s="265"/>
      <c r="AK46" s="263"/>
      <c r="AL46" s="262"/>
      <c r="AM46" s="267"/>
      <c r="AN46" s="263"/>
      <c r="AO46" s="268"/>
      <c r="AP46" s="268"/>
      <c r="AQ46" s="268"/>
      <c r="AR46" s="268"/>
      <c r="AS46" s="268"/>
      <c r="AT46" s="268"/>
      <c r="AU46" s="269"/>
      <c r="AV46" s="267"/>
      <c r="AW46" s="263"/>
      <c r="AX46" s="263"/>
      <c r="AY46" s="263"/>
      <c r="AZ46" s="263"/>
      <c r="BA46" s="263"/>
      <c r="BB46" s="263"/>
      <c r="BC46" s="265"/>
      <c r="BD46" s="266"/>
      <c r="BE46" s="267"/>
      <c r="BF46" s="263"/>
      <c r="BG46" s="271"/>
      <c r="BH46" s="272"/>
      <c r="BI46" s="263"/>
      <c r="BJ46" s="271"/>
      <c r="BK46" s="272"/>
      <c r="BL46" s="263"/>
      <c r="BM46" s="266"/>
      <c r="BN46" s="273"/>
      <c r="BO46" s="250">
        <f t="shared" si="5"/>
        <v>0</v>
      </c>
    </row>
    <row r="47" spans="1:67" ht="25.5" customHeight="1" x14ac:dyDescent="0.2">
      <c r="A47" s="142">
        <f t="shared" si="6"/>
        <v>32</v>
      </c>
      <c r="B47" s="251"/>
      <c r="C47" s="252"/>
      <c r="D47" s="253"/>
      <c r="E47" s="254"/>
      <c r="F47" s="278"/>
      <c r="G47" s="256"/>
      <c r="H47" s="257"/>
      <c r="I47" s="231" t="str">
        <f t="shared" si="1"/>
        <v/>
      </c>
      <c r="J47" s="258">
        <f t="shared" si="2"/>
        <v>0</v>
      </c>
      <c r="K47" s="279"/>
      <c r="L47" s="260"/>
      <c r="M47" s="260"/>
      <c r="N47" s="235" t="str">
        <f t="shared" si="3"/>
        <v/>
      </c>
      <c r="O47" s="236" t="str">
        <f>IF('Data Set up'!$G$40="JUNE",IF(OR($N47=7,$N47=8,$N47=9),1,IF(OR($N47=10,$N47=11,$N47=12),2,IF(OR($N47=1,$N47=2,$N47=3),3,IF(OR($N47=4,$N47=5,$N47=6),4,"")))),IF(OR($N47=9,$N47=10,$N47=11),1,IF(OR($N47=12,$N47=1,$N47=2),2,IF(OR($N47=3,$N47=4,$N47=5),3,IF(OR($N47=6,$N47=7,$N47=8),4,"")))))</f>
        <v/>
      </c>
      <c r="P47" s="261"/>
      <c r="Q47" s="262"/>
      <c r="R47" s="263"/>
      <c r="S47" s="264">
        <f t="shared" si="4"/>
        <v>0</v>
      </c>
      <c r="T47" s="263"/>
      <c r="U47" s="263"/>
      <c r="V47" s="263"/>
      <c r="W47" s="263"/>
      <c r="X47" s="263"/>
      <c r="Y47" s="263"/>
      <c r="Z47" s="263"/>
      <c r="AA47" s="263"/>
      <c r="AB47" s="265"/>
      <c r="AC47" s="266"/>
      <c r="AD47" s="267"/>
      <c r="AE47" s="263"/>
      <c r="AF47" s="263"/>
      <c r="AG47" s="263"/>
      <c r="AH47" s="263"/>
      <c r="AI47" s="265"/>
      <c r="AJ47" s="265"/>
      <c r="AK47" s="263"/>
      <c r="AL47" s="262"/>
      <c r="AM47" s="267"/>
      <c r="AN47" s="263"/>
      <c r="AO47" s="268"/>
      <c r="AP47" s="268"/>
      <c r="AQ47" s="268"/>
      <c r="AR47" s="268"/>
      <c r="AS47" s="268"/>
      <c r="AT47" s="268"/>
      <c r="AU47" s="269"/>
      <c r="AV47" s="267"/>
      <c r="AW47" s="263"/>
      <c r="AX47" s="263"/>
      <c r="AY47" s="263"/>
      <c r="AZ47" s="263"/>
      <c r="BA47" s="263"/>
      <c r="BB47" s="263"/>
      <c r="BC47" s="265"/>
      <c r="BD47" s="266"/>
      <c r="BE47" s="267"/>
      <c r="BF47" s="263"/>
      <c r="BG47" s="271"/>
      <c r="BH47" s="272"/>
      <c r="BI47" s="263"/>
      <c r="BJ47" s="271"/>
      <c r="BK47" s="272"/>
      <c r="BL47" s="263"/>
      <c r="BM47" s="266"/>
      <c r="BN47" s="273"/>
      <c r="BO47" s="250">
        <f t="shared" si="5"/>
        <v>0</v>
      </c>
    </row>
    <row r="48" spans="1:67" ht="25.5" customHeight="1" x14ac:dyDescent="0.2">
      <c r="A48" s="142">
        <f t="shared" si="6"/>
        <v>33</v>
      </c>
      <c r="B48" s="251"/>
      <c r="C48" s="252"/>
      <c r="D48" s="253"/>
      <c r="E48" s="254"/>
      <c r="F48" s="278"/>
      <c r="G48" s="256"/>
      <c r="H48" s="257"/>
      <c r="I48" s="231" t="str">
        <f t="shared" si="1"/>
        <v/>
      </c>
      <c r="J48" s="258">
        <f t="shared" si="2"/>
        <v>0</v>
      </c>
      <c r="K48" s="279"/>
      <c r="L48" s="260"/>
      <c r="M48" s="260"/>
      <c r="N48" s="235" t="str">
        <f t="shared" si="3"/>
        <v/>
      </c>
      <c r="O48" s="236" t="str">
        <f>IF('Data Set up'!$G$40="JUNE",IF(OR($N48=7,$N48=8,$N48=9),1,IF(OR($N48=10,$N48=11,$N48=12),2,IF(OR($N48=1,$N48=2,$N48=3),3,IF(OR($N48=4,$N48=5,$N48=6),4,"")))),IF(OR($N48=9,$N48=10,$N48=11),1,IF(OR($N48=12,$N48=1,$N48=2),2,IF(OR($N48=3,$N48=4,$N48=5),3,IF(OR($N48=6,$N48=7,$N48=8),4,"")))))</f>
        <v/>
      </c>
      <c r="P48" s="261"/>
      <c r="Q48" s="262"/>
      <c r="R48" s="263"/>
      <c r="S48" s="264">
        <f t="shared" si="4"/>
        <v>0</v>
      </c>
      <c r="T48" s="263"/>
      <c r="U48" s="263"/>
      <c r="V48" s="263"/>
      <c r="W48" s="263"/>
      <c r="X48" s="263"/>
      <c r="Y48" s="263"/>
      <c r="Z48" s="263"/>
      <c r="AA48" s="263"/>
      <c r="AB48" s="265"/>
      <c r="AC48" s="266"/>
      <c r="AD48" s="267"/>
      <c r="AE48" s="263"/>
      <c r="AF48" s="263"/>
      <c r="AG48" s="263"/>
      <c r="AH48" s="263"/>
      <c r="AI48" s="265"/>
      <c r="AJ48" s="265"/>
      <c r="AK48" s="263"/>
      <c r="AL48" s="262"/>
      <c r="AM48" s="267"/>
      <c r="AN48" s="263"/>
      <c r="AO48" s="268"/>
      <c r="AP48" s="268"/>
      <c r="AQ48" s="268"/>
      <c r="AR48" s="268"/>
      <c r="AS48" s="268"/>
      <c r="AT48" s="268"/>
      <c r="AU48" s="269"/>
      <c r="AV48" s="267"/>
      <c r="AW48" s="263"/>
      <c r="AX48" s="263"/>
      <c r="AY48" s="263"/>
      <c r="AZ48" s="263"/>
      <c r="BA48" s="263"/>
      <c r="BB48" s="263"/>
      <c r="BC48" s="265"/>
      <c r="BD48" s="266"/>
      <c r="BE48" s="267"/>
      <c r="BF48" s="263"/>
      <c r="BG48" s="271"/>
      <c r="BH48" s="272"/>
      <c r="BI48" s="263"/>
      <c r="BJ48" s="271"/>
      <c r="BK48" s="272"/>
      <c r="BL48" s="263"/>
      <c r="BM48" s="266"/>
      <c r="BN48" s="273"/>
      <c r="BO48" s="250">
        <f t="shared" si="5"/>
        <v>0</v>
      </c>
    </row>
    <row r="49" spans="1:67" ht="25.5" customHeight="1" x14ac:dyDescent="0.2">
      <c r="A49" s="142">
        <f t="shared" si="6"/>
        <v>34</v>
      </c>
      <c r="B49" s="251"/>
      <c r="C49" s="252"/>
      <c r="D49" s="253"/>
      <c r="E49" s="254"/>
      <c r="F49" s="278"/>
      <c r="G49" s="256"/>
      <c r="H49" s="257"/>
      <c r="I49" s="231" t="str">
        <f t="shared" si="1"/>
        <v/>
      </c>
      <c r="J49" s="258">
        <f t="shared" si="2"/>
        <v>0</v>
      </c>
      <c r="K49" s="279"/>
      <c r="L49" s="260"/>
      <c r="M49" s="260"/>
      <c r="N49" s="235" t="str">
        <f t="shared" si="3"/>
        <v/>
      </c>
      <c r="O49" s="236" t="str">
        <f>IF('Data Set up'!$G$40="JUNE",IF(OR($N49=7,$N49=8,$N49=9),1,IF(OR($N49=10,$N49=11,$N49=12),2,IF(OR($N49=1,$N49=2,$N49=3),3,IF(OR($N49=4,$N49=5,$N49=6),4,"")))),IF(OR($N49=9,$N49=10,$N49=11),1,IF(OR($N49=12,$N49=1,$N49=2),2,IF(OR($N49=3,$N49=4,$N49=5),3,IF(OR($N49=6,$N49=7,$N49=8),4,"")))))</f>
        <v/>
      </c>
      <c r="P49" s="261"/>
      <c r="Q49" s="262"/>
      <c r="R49" s="263"/>
      <c r="S49" s="264">
        <f t="shared" si="4"/>
        <v>0</v>
      </c>
      <c r="T49" s="263"/>
      <c r="U49" s="263"/>
      <c r="V49" s="263"/>
      <c r="W49" s="263"/>
      <c r="X49" s="263"/>
      <c r="Y49" s="263"/>
      <c r="Z49" s="263"/>
      <c r="AA49" s="263"/>
      <c r="AB49" s="265"/>
      <c r="AC49" s="266"/>
      <c r="AD49" s="267"/>
      <c r="AE49" s="263"/>
      <c r="AF49" s="263"/>
      <c r="AG49" s="263"/>
      <c r="AH49" s="263"/>
      <c r="AI49" s="265"/>
      <c r="AJ49" s="265"/>
      <c r="AK49" s="263"/>
      <c r="AL49" s="262"/>
      <c r="AM49" s="267"/>
      <c r="AN49" s="263"/>
      <c r="AO49" s="268"/>
      <c r="AP49" s="268"/>
      <c r="AQ49" s="268"/>
      <c r="AR49" s="268"/>
      <c r="AS49" s="268"/>
      <c r="AT49" s="268"/>
      <c r="AU49" s="269"/>
      <c r="AV49" s="267"/>
      <c r="AW49" s="263"/>
      <c r="AX49" s="263"/>
      <c r="AY49" s="263"/>
      <c r="AZ49" s="263"/>
      <c r="BA49" s="263"/>
      <c r="BB49" s="263"/>
      <c r="BC49" s="265"/>
      <c r="BD49" s="266"/>
      <c r="BE49" s="267"/>
      <c r="BF49" s="263"/>
      <c r="BG49" s="271"/>
      <c r="BH49" s="272"/>
      <c r="BI49" s="263"/>
      <c r="BJ49" s="271"/>
      <c r="BK49" s="272"/>
      <c r="BL49" s="263"/>
      <c r="BM49" s="266"/>
      <c r="BN49" s="273"/>
      <c r="BO49" s="250">
        <f t="shared" si="5"/>
        <v>0</v>
      </c>
    </row>
    <row r="50" spans="1:67" ht="25.5" customHeight="1" x14ac:dyDescent="0.2">
      <c r="A50" s="142">
        <f t="shared" si="6"/>
        <v>35</v>
      </c>
      <c r="B50" s="251"/>
      <c r="C50" s="252"/>
      <c r="D50" s="253"/>
      <c r="E50" s="254"/>
      <c r="F50" s="274"/>
      <c r="G50" s="256"/>
      <c r="H50" s="257"/>
      <c r="I50" s="231" t="str">
        <f t="shared" si="1"/>
        <v/>
      </c>
      <c r="J50" s="258">
        <f t="shared" si="2"/>
        <v>0</v>
      </c>
      <c r="K50" s="279"/>
      <c r="L50" s="260"/>
      <c r="M50" s="260"/>
      <c r="N50" s="235" t="str">
        <f t="shared" si="3"/>
        <v/>
      </c>
      <c r="O50" s="236" t="str">
        <f>IF('Data Set up'!$G$40="JUNE",IF(OR($N50=7,$N50=8,$N50=9),1,IF(OR($N50=10,$N50=11,$N50=12),2,IF(OR($N50=1,$N50=2,$N50=3),3,IF(OR($N50=4,$N50=5,$N50=6),4,"")))),IF(OR($N50=9,$N50=10,$N50=11),1,IF(OR($N50=12,$N50=1,$N50=2),2,IF(OR($N50=3,$N50=4,$N50=5),3,IF(OR($N50=6,$N50=7,$N50=8),4,"")))))</f>
        <v/>
      </c>
      <c r="P50" s="261"/>
      <c r="Q50" s="262"/>
      <c r="R50" s="263"/>
      <c r="S50" s="264">
        <f t="shared" si="4"/>
        <v>0</v>
      </c>
      <c r="T50" s="263"/>
      <c r="U50" s="263"/>
      <c r="V50" s="263"/>
      <c r="W50" s="263"/>
      <c r="X50" s="263"/>
      <c r="Y50" s="263"/>
      <c r="Z50" s="263"/>
      <c r="AA50" s="263"/>
      <c r="AB50" s="265"/>
      <c r="AC50" s="266"/>
      <c r="AD50" s="267"/>
      <c r="AE50" s="263"/>
      <c r="AF50" s="263"/>
      <c r="AG50" s="263"/>
      <c r="AH50" s="263"/>
      <c r="AI50" s="265"/>
      <c r="AJ50" s="265"/>
      <c r="AK50" s="263"/>
      <c r="AL50" s="262"/>
      <c r="AM50" s="267"/>
      <c r="AN50" s="263"/>
      <c r="AO50" s="268"/>
      <c r="AP50" s="268"/>
      <c r="AQ50" s="268"/>
      <c r="AR50" s="268"/>
      <c r="AS50" s="268"/>
      <c r="AT50" s="268"/>
      <c r="AU50" s="269"/>
      <c r="AV50" s="267"/>
      <c r="AW50" s="263"/>
      <c r="AX50" s="263"/>
      <c r="AY50" s="263"/>
      <c r="AZ50" s="263"/>
      <c r="BA50" s="263"/>
      <c r="BB50" s="263"/>
      <c r="BC50" s="265"/>
      <c r="BD50" s="266"/>
      <c r="BE50" s="267"/>
      <c r="BF50" s="263"/>
      <c r="BG50" s="271"/>
      <c r="BH50" s="272"/>
      <c r="BI50" s="263"/>
      <c r="BJ50" s="271"/>
      <c r="BK50" s="272"/>
      <c r="BL50" s="263"/>
      <c r="BM50" s="266"/>
      <c r="BN50" s="273"/>
      <c r="BO50" s="250">
        <f t="shared" si="5"/>
        <v>0</v>
      </c>
    </row>
    <row r="51" spans="1:67" ht="25.5" customHeight="1" x14ac:dyDescent="0.2">
      <c r="A51" s="142">
        <f t="shared" si="6"/>
        <v>36</v>
      </c>
      <c r="B51" s="251"/>
      <c r="C51" s="252"/>
      <c r="D51" s="253"/>
      <c r="E51" s="254"/>
      <c r="F51" s="278"/>
      <c r="G51" s="256"/>
      <c r="H51" s="257"/>
      <c r="I51" s="231" t="str">
        <f t="shared" si="1"/>
        <v/>
      </c>
      <c r="J51" s="258">
        <f t="shared" si="2"/>
        <v>0</v>
      </c>
      <c r="K51" s="279"/>
      <c r="L51" s="260"/>
      <c r="M51" s="260"/>
      <c r="N51" s="235" t="str">
        <f t="shared" si="3"/>
        <v/>
      </c>
      <c r="O51" s="236" t="str">
        <f>IF('Data Set up'!$G$40="JUNE",IF(OR($N51=7,$N51=8,$N51=9),1,IF(OR($N51=10,$N51=11,$N51=12),2,IF(OR($N51=1,$N51=2,$N51=3),3,IF(OR($N51=4,$N51=5,$N51=6),4,"")))),IF(OR($N51=9,$N51=10,$N51=11),1,IF(OR($N51=12,$N51=1,$N51=2),2,IF(OR($N51=3,$N51=4,$N51=5),3,IF(OR($N51=6,$N51=7,$N51=8),4,"")))))</f>
        <v/>
      </c>
      <c r="P51" s="261"/>
      <c r="Q51" s="262"/>
      <c r="R51" s="263"/>
      <c r="S51" s="264">
        <f t="shared" si="4"/>
        <v>0</v>
      </c>
      <c r="T51" s="263"/>
      <c r="U51" s="263"/>
      <c r="V51" s="263"/>
      <c r="W51" s="263"/>
      <c r="X51" s="263"/>
      <c r="Y51" s="263"/>
      <c r="Z51" s="263"/>
      <c r="AA51" s="263"/>
      <c r="AB51" s="265"/>
      <c r="AC51" s="266"/>
      <c r="AD51" s="267"/>
      <c r="AE51" s="263"/>
      <c r="AF51" s="263"/>
      <c r="AG51" s="263"/>
      <c r="AH51" s="263"/>
      <c r="AI51" s="265"/>
      <c r="AJ51" s="265"/>
      <c r="AK51" s="263"/>
      <c r="AL51" s="262"/>
      <c r="AM51" s="267"/>
      <c r="AN51" s="263"/>
      <c r="AO51" s="268"/>
      <c r="AP51" s="268"/>
      <c r="AQ51" s="268"/>
      <c r="AR51" s="268"/>
      <c r="AS51" s="268"/>
      <c r="AT51" s="268"/>
      <c r="AU51" s="269"/>
      <c r="AV51" s="267"/>
      <c r="AW51" s="263"/>
      <c r="AX51" s="263"/>
      <c r="AY51" s="263"/>
      <c r="AZ51" s="263"/>
      <c r="BA51" s="263"/>
      <c r="BB51" s="263"/>
      <c r="BC51" s="265"/>
      <c r="BD51" s="266"/>
      <c r="BE51" s="267"/>
      <c r="BF51" s="263"/>
      <c r="BG51" s="271"/>
      <c r="BH51" s="272"/>
      <c r="BI51" s="263"/>
      <c r="BJ51" s="271"/>
      <c r="BK51" s="272"/>
      <c r="BL51" s="263"/>
      <c r="BM51" s="266"/>
      <c r="BN51" s="273"/>
      <c r="BO51" s="250">
        <f t="shared" si="5"/>
        <v>0</v>
      </c>
    </row>
    <row r="52" spans="1:67" ht="25.5" customHeight="1" x14ac:dyDescent="0.2">
      <c r="A52" s="142">
        <f t="shared" si="6"/>
        <v>37</v>
      </c>
      <c r="B52" s="251"/>
      <c r="C52" s="252"/>
      <c r="D52" s="253"/>
      <c r="E52" s="254"/>
      <c r="F52" s="278"/>
      <c r="G52" s="256"/>
      <c r="H52" s="257"/>
      <c r="I52" s="231" t="str">
        <f t="shared" si="1"/>
        <v/>
      </c>
      <c r="J52" s="258">
        <f t="shared" si="2"/>
        <v>0</v>
      </c>
      <c r="K52" s="279"/>
      <c r="L52" s="260"/>
      <c r="M52" s="260"/>
      <c r="N52" s="235" t="str">
        <f t="shared" si="3"/>
        <v/>
      </c>
      <c r="O52" s="236" t="str">
        <f>IF('Data Set up'!$G$40="JUNE",IF(OR($N52=7,$N52=8,$N52=9),1,IF(OR($N52=10,$N52=11,$N52=12),2,IF(OR($N52=1,$N52=2,$N52=3),3,IF(OR($N52=4,$N52=5,$N52=6),4,"")))),IF(OR($N52=9,$N52=10,$N52=11),1,IF(OR($N52=12,$N52=1,$N52=2),2,IF(OR($N52=3,$N52=4,$N52=5),3,IF(OR($N52=6,$N52=7,$N52=8),4,"")))))</f>
        <v/>
      </c>
      <c r="P52" s="261"/>
      <c r="Q52" s="262"/>
      <c r="R52" s="263"/>
      <c r="S52" s="264">
        <f t="shared" si="4"/>
        <v>0</v>
      </c>
      <c r="T52" s="263"/>
      <c r="U52" s="263"/>
      <c r="V52" s="263"/>
      <c r="W52" s="263"/>
      <c r="X52" s="263"/>
      <c r="Y52" s="263"/>
      <c r="Z52" s="263"/>
      <c r="AA52" s="263"/>
      <c r="AB52" s="265"/>
      <c r="AC52" s="266"/>
      <c r="AD52" s="267"/>
      <c r="AE52" s="263"/>
      <c r="AF52" s="263"/>
      <c r="AG52" s="263"/>
      <c r="AH52" s="263"/>
      <c r="AI52" s="265"/>
      <c r="AJ52" s="265"/>
      <c r="AK52" s="263"/>
      <c r="AL52" s="262"/>
      <c r="AM52" s="267"/>
      <c r="AN52" s="263"/>
      <c r="AO52" s="268"/>
      <c r="AP52" s="268"/>
      <c r="AQ52" s="268"/>
      <c r="AR52" s="268"/>
      <c r="AS52" s="268"/>
      <c r="AT52" s="268"/>
      <c r="AU52" s="269"/>
      <c r="AV52" s="267"/>
      <c r="AW52" s="263"/>
      <c r="AX52" s="263"/>
      <c r="AY52" s="263"/>
      <c r="AZ52" s="263"/>
      <c r="BA52" s="263"/>
      <c r="BB52" s="263"/>
      <c r="BC52" s="265"/>
      <c r="BD52" s="266"/>
      <c r="BE52" s="267"/>
      <c r="BF52" s="263"/>
      <c r="BG52" s="271"/>
      <c r="BH52" s="272"/>
      <c r="BI52" s="263"/>
      <c r="BJ52" s="271"/>
      <c r="BK52" s="272"/>
      <c r="BL52" s="263"/>
      <c r="BM52" s="266"/>
      <c r="BN52" s="273"/>
      <c r="BO52" s="250">
        <f t="shared" si="5"/>
        <v>0</v>
      </c>
    </row>
    <row r="53" spans="1:67" ht="25.5" customHeight="1" x14ac:dyDescent="0.2">
      <c r="A53" s="142">
        <f t="shared" si="6"/>
        <v>38</v>
      </c>
      <c r="B53" s="251"/>
      <c r="C53" s="252"/>
      <c r="D53" s="253"/>
      <c r="E53" s="254"/>
      <c r="F53" s="278"/>
      <c r="G53" s="256"/>
      <c r="H53" s="257"/>
      <c r="I53" s="231" t="str">
        <f t="shared" si="1"/>
        <v/>
      </c>
      <c r="J53" s="258">
        <f t="shared" si="2"/>
        <v>0</v>
      </c>
      <c r="K53" s="279"/>
      <c r="L53" s="260"/>
      <c r="M53" s="260"/>
      <c r="N53" s="235" t="str">
        <f t="shared" si="3"/>
        <v/>
      </c>
      <c r="O53" s="236" t="str">
        <f>IF('Data Set up'!$G$40="JUNE",IF(OR($N53=7,$N53=8,$N53=9),1,IF(OR($N53=10,$N53=11,$N53=12),2,IF(OR($N53=1,$N53=2,$N53=3),3,IF(OR($N53=4,$N53=5,$N53=6),4,"")))),IF(OR($N53=9,$N53=10,$N53=11),1,IF(OR($N53=12,$N53=1,$N53=2),2,IF(OR($N53=3,$N53=4,$N53=5),3,IF(OR($N53=6,$N53=7,$N53=8),4,"")))))</f>
        <v/>
      </c>
      <c r="P53" s="261"/>
      <c r="Q53" s="262"/>
      <c r="R53" s="263"/>
      <c r="S53" s="264">
        <f t="shared" si="4"/>
        <v>0</v>
      </c>
      <c r="T53" s="263"/>
      <c r="U53" s="263"/>
      <c r="V53" s="263"/>
      <c r="W53" s="263"/>
      <c r="X53" s="263"/>
      <c r="Y53" s="263"/>
      <c r="Z53" s="263"/>
      <c r="AA53" s="263"/>
      <c r="AB53" s="265"/>
      <c r="AC53" s="266"/>
      <c r="AD53" s="267"/>
      <c r="AE53" s="263"/>
      <c r="AF53" s="263"/>
      <c r="AG53" s="263"/>
      <c r="AH53" s="263"/>
      <c r="AI53" s="265"/>
      <c r="AJ53" s="265"/>
      <c r="AK53" s="263"/>
      <c r="AL53" s="262"/>
      <c r="AM53" s="267"/>
      <c r="AN53" s="263"/>
      <c r="AO53" s="268"/>
      <c r="AP53" s="268"/>
      <c r="AQ53" s="268"/>
      <c r="AR53" s="268"/>
      <c r="AS53" s="268"/>
      <c r="AT53" s="268"/>
      <c r="AU53" s="269"/>
      <c r="AV53" s="267"/>
      <c r="AW53" s="263"/>
      <c r="AX53" s="263"/>
      <c r="AY53" s="263"/>
      <c r="AZ53" s="263"/>
      <c r="BA53" s="263"/>
      <c r="BB53" s="263"/>
      <c r="BC53" s="265"/>
      <c r="BD53" s="266"/>
      <c r="BE53" s="267"/>
      <c r="BF53" s="263"/>
      <c r="BG53" s="271"/>
      <c r="BH53" s="272"/>
      <c r="BI53" s="263"/>
      <c r="BJ53" s="271"/>
      <c r="BK53" s="272"/>
      <c r="BL53" s="263"/>
      <c r="BM53" s="266"/>
      <c r="BN53" s="273"/>
      <c r="BO53" s="250">
        <f t="shared" si="5"/>
        <v>0</v>
      </c>
    </row>
    <row r="54" spans="1:67" ht="25.5" customHeight="1" x14ac:dyDescent="0.2">
      <c r="A54" s="142">
        <f t="shared" si="6"/>
        <v>39</v>
      </c>
      <c r="B54" s="251"/>
      <c r="C54" s="280"/>
      <c r="D54" s="253"/>
      <c r="E54" s="254"/>
      <c r="F54" s="277"/>
      <c r="G54" s="256"/>
      <c r="H54" s="257"/>
      <c r="I54" s="231" t="str">
        <f t="shared" si="1"/>
        <v/>
      </c>
      <c r="J54" s="258">
        <f t="shared" si="2"/>
        <v>0</v>
      </c>
      <c r="K54" s="279"/>
      <c r="L54" s="260"/>
      <c r="M54" s="260"/>
      <c r="N54" s="235" t="str">
        <f t="shared" si="3"/>
        <v/>
      </c>
      <c r="O54" s="236" t="str">
        <f>IF('Data Set up'!$G$40="JUNE",IF(OR($N54=7,$N54=8,$N54=9),1,IF(OR($N54=10,$N54=11,$N54=12),2,IF(OR($N54=1,$N54=2,$N54=3),3,IF(OR($N54=4,$N54=5,$N54=6),4,"")))),IF(OR($N54=9,$N54=10,$N54=11),1,IF(OR($N54=12,$N54=1,$N54=2),2,IF(OR($N54=3,$N54=4,$N54=5),3,IF(OR($N54=6,$N54=7,$N54=8),4,"")))))</f>
        <v/>
      </c>
      <c r="P54" s="261"/>
      <c r="Q54" s="262"/>
      <c r="R54" s="263"/>
      <c r="S54" s="264">
        <f t="shared" si="4"/>
        <v>0</v>
      </c>
      <c r="T54" s="263"/>
      <c r="U54" s="263"/>
      <c r="V54" s="263"/>
      <c r="W54" s="263"/>
      <c r="X54" s="263"/>
      <c r="Y54" s="263"/>
      <c r="Z54" s="263"/>
      <c r="AA54" s="263"/>
      <c r="AB54" s="265"/>
      <c r="AC54" s="266"/>
      <c r="AD54" s="267"/>
      <c r="AE54" s="263"/>
      <c r="AF54" s="263"/>
      <c r="AG54" s="263"/>
      <c r="AH54" s="263"/>
      <c r="AI54" s="265"/>
      <c r="AJ54" s="265"/>
      <c r="AK54" s="263"/>
      <c r="AL54" s="262"/>
      <c r="AM54" s="267"/>
      <c r="AN54" s="263"/>
      <c r="AO54" s="268"/>
      <c r="AP54" s="268"/>
      <c r="AQ54" s="268"/>
      <c r="AR54" s="268"/>
      <c r="AS54" s="268"/>
      <c r="AT54" s="268"/>
      <c r="AU54" s="269"/>
      <c r="AV54" s="267"/>
      <c r="AW54" s="263"/>
      <c r="AX54" s="263"/>
      <c r="AY54" s="263"/>
      <c r="AZ54" s="263"/>
      <c r="BA54" s="263"/>
      <c r="BB54" s="263"/>
      <c r="BC54" s="265"/>
      <c r="BD54" s="266"/>
      <c r="BE54" s="267"/>
      <c r="BF54" s="263"/>
      <c r="BG54" s="271"/>
      <c r="BH54" s="272"/>
      <c r="BI54" s="263"/>
      <c r="BJ54" s="271"/>
      <c r="BK54" s="272"/>
      <c r="BL54" s="263"/>
      <c r="BM54" s="266"/>
      <c r="BN54" s="273"/>
      <c r="BO54" s="250">
        <f t="shared" si="5"/>
        <v>0</v>
      </c>
    </row>
    <row r="55" spans="1:67" ht="25.5" customHeight="1" x14ac:dyDescent="0.2">
      <c r="A55" s="142">
        <f t="shared" si="6"/>
        <v>40</v>
      </c>
      <c r="B55" s="251"/>
      <c r="C55" s="252"/>
      <c r="D55" s="253"/>
      <c r="E55" s="254"/>
      <c r="F55" s="274"/>
      <c r="G55" s="256"/>
      <c r="H55" s="257"/>
      <c r="I55" s="231" t="str">
        <f t="shared" si="1"/>
        <v/>
      </c>
      <c r="J55" s="258">
        <f t="shared" si="2"/>
        <v>0</v>
      </c>
      <c r="K55" s="279"/>
      <c r="L55" s="260"/>
      <c r="M55" s="260"/>
      <c r="N55" s="235" t="str">
        <f t="shared" si="3"/>
        <v/>
      </c>
      <c r="O55" s="236" t="str">
        <f>IF('Data Set up'!$G$40="JUNE",IF(OR($N55=7,$N55=8,$N55=9),1,IF(OR($N55=10,$N55=11,$N55=12),2,IF(OR($N55=1,$N55=2,$N55=3),3,IF(OR($N55=4,$N55=5,$N55=6),4,"")))),IF(OR($N55=9,$N55=10,$N55=11),1,IF(OR($N55=12,$N55=1,$N55=2),2,IF(OR($N55=3,$N55=4,$N55=5),3,IF(OR($N55=6,$N55=7,$N55=8),4,"")))))</f>
        <v/>
      </c>
      <c r="P55" s="261"/>
      <c r="Q55" s="262"/>
      <c r="R55" s="263"/>
      <c r="S55" s="264">
        <f t="shared" si="4"/>
        <v>0</v>
      </c>
      <c r="T55" s="263"/>
      <c r="U55" s="263"/>
      <c r="V55" s="263"/>
      <c r="W55" s="263"/>
      <c r="X55" s="263"/>
      <c r="Y55" s="263"/>
      <c r="Z55" s="263"/>
      <c r="AA55" s="263"/>
      <c r="AB55" s="265"/>
      <c r="AC55" s="266"/>
      <c r="AD55" s="267"/>
      <c r="AE55" s="263"/>
      <c r="AF55" s="263"/>
      <c r="AG55" s="263"/>
      <c r="AH55" s="263"/>
      <c r="AI55" s="265"/>
      <c r="AJ55" s="265"/>
      <c r="AK55" s="263"/>
      <c r="AL55" s="262"/>
      <c r="AM55" s="267"/>
      <c r="AN55" s="263"/>
      <c r="AO55" s="268"/>
      <c r="AP55" s="268"/>
      <c r="AQ55" s="268"/>
      <c r="AR55" s="268"/>
      <c r="AS55" s="268"/>
      <c r="AT55" s="268"/>
      <c r="AU55" s="269"/>
      <c r="AV55" s="267"/>
      <c r="AW55" s="263"/>
      <c r="AX55" s="263"/>
      <c r="AY55" s="263"/>
      <c r="AZ55" s="263"/>
      <c r="BA55" s="263"/>
      <c r="BB55" s="263"/>
      <c r="BC55" s="265"/>
      <c r="BD55" s="266"/>
      <c r="BE55" s="267"/>
      <c r="BF55" s="263"/>
      <c r="BG55" s="271"/>
      <c r="BH55" s="272"/>
      <c r="BI55" s="263"/>
      <c r="BJ55" s="271"/>
      <c r="BK55" s="272"/>
      <c r="BL55" s="263"/>
      <c r="BM55" s="266"/>
      <c r="BN55" s="273"/>
      <c r="BO55" s="250">
        <f t="shared" si="5"/>
        <v>0</v>
      </c>
    </row>
    <row r="56" spans="1:67" ht="25.5" customHeight="1" x14ac:dyDescent="0.2">
      <c r="A56" s="142">
        <f t="shared" si="6"/>
        <v>41</v>
      </c>
      <c r="B56" s="251"/>
      <c r="C56" s="252"/>
      <c r="D56" s="253"/>
      <c r="E56" s="254"/>
      <c r="F56" s="274"/>
      <c r="G56" s="256"/>
      <c r="H56" s="257"/>
      <c r="I56" s="231" t="str">
        <f t="shared" si="1"/>
        <v/>
      </c>
      <c r="J56" s="258">
        <f t="shared" si="2"/>
        <v>0</v>
      </c>
      <c r="K56" s="279"/>
      <c r="L56" s="260"/>
      <c r="M56" s="260"/>
      <c r="N56" s="235" t="str">
        <f t="shared" si="3"/>
        <v/>
      </c>
      <c r="O56" s="236" t="str">
        <f>IF('Data Set up'!$G$40="JUNE",IF(OR($N56=7,$N56=8,$N56=9),1,IF(OR($N56=10,$N56=11,$N56=12),2,IF(OR($N56=1,$N56=2,$N56=3),3,IF(OR($N56=4,$N56=5,$N56=6),4,"")))),IF(OR($N56=9,$N56=10,$N56=11),1,IF(OR($N56=12,$N56=1,$N56=2),2,IF(OR($N56=3,$N56=4,$N56=5),3,IF(OR($N56=6,$N56=7,$N56=8),4,"")))))</f>
        <v/>
      </c>
      <c r="P56" s="261"/>
      <c r="Q56" s="262"/>
      <c r="R56" s="263"/>
      <c r="S56" s="264">
        <f t="shared" si="4"/>
        <v>0</v>
      </c>
      <c r="T56" s="263"/>
      <c r="U56" s="263"/>
      <c r="V56" s="263"/>
      <c r="W56" s="263"/>
      <c r="X56" s="263"/>
      <c r="Y56" s="263"/>
      <c r="Z56" s="263"/>
      <c r="AA56" s="263"/>
      <c r="AB56" s="265"/>
      <c r="AC56" s="266"/>
      <c r="AD56" s="267"/>
      <c r="AE56" s="263"/>
      <c r="AF56" s="263"/>
      <c r="AG56" s="263"/>
      <c r="AH56" s="263"/>
      <c r="AI56" s="265"/>
      <c r="AJ56" s="265"/>
      <c r="AK56" s="263"/>
      <c r="AL56" s="262"/>
      <c r="AM56" s="267"/>
      <c r="AN56" s="263"/>
      <c r="AO56" s="268"/>
      <c r="AP56" s="268"/>
      <c r="AQ56" s="268"/>
      <c r="AR56" s="268"/>
      <c r="AS56" s="268"/>
      <c r="AT56" s="268"/>
      <c r="AU56" s="269"/>
      <c r="AV56" s="267"/>
      <c r="AW56" s="263"/>
      <c r="AX56" s="263"/>
      <c r="AY56" s="263"/>
      <c r="AZ56" s="263"/>
      <c r="BA56" s="263"/>
      <c r="BB56" s="263"/>
      <c r="BC56" s="265"/>
      <c r="BD56" s="266"/>
      <c r="BE56" s="267"/>
      <c r="BF56" s="263"/>
      <c r="BG56" s="271"/>
      <c r="BH56" s="272"/>
      <c r="BI56" s="263"/>
      <c r="BJ56" s="271"/>
      <c r="BK56" s="272"/>
      <c r="BL56" s="263"/>
      <c r="BM56" s="266"/>
      <c r="BN56" s="273"/>
      <c r="BO56" s="250">
        <f t="shared" si="5"/>
        <v>0</v>
      </c>
    </row>
    <row r="57" spans="1:67" ht="25.5" customHeight="1" x14ac:dyDescent="0.2">
      <c r="A57" s="142">
        <f t="shared" si="6"/>
        <v>42</v>
      </c>
      <c r="B57" s="251"/>
      <c r="C57" s="252"/>
      <c r="D57" s="253"/>
      <c r="E57" s="254"/>
      <c r="F57" s="274"/>
      <c r="G57" s="256"/>
      <c r="H57" s="257"/>
      <c r="I57" s="231" t="str">
        <f t="shared" si="1"/>
        <v/>
      </c>
      <c r="J57" s="258">
        <f t="shared" si="2"/>
        <v>0</v>
      </c>
      <c r="K57" s="279"/>
      <c r="L57" s="260"/>
      <c r="M57" s="260"/>
      <c r="N57" s="235" t="str">
        <f t="shared" si="3"/>
        <v/>
      </c>
      <c r="O57" s="236" t="str">
        <f>IF('Data Set up'!$G$40="JUNE",IF(OR($N57=7,$N57=8,$N57=9),1,IF(OR($N57=10,$N57=11,$N57=12),2,IF(OR($N57=1,$N57=2,$N57=3),3,IF(OR($N57=4,$N57=5,$N57=6),4,"")))),IF(OR($N57=9,$N57=10,$N57=11),1,IF(OR($N57=12,$N57=1,$N57=2),2,IF(OR($N57=3,$N57=4,$N57=5),3,IF(OR($N57=6,$N57=7,$N57=8),4,"")))))</f>
        <v/>
      </c>
      <c r="P57" s="261"/>
      <c r="Q57" s="262"/>
      <c r="R57" s="263"/>
      <c r="S57" s="264">
        <f t="shared" si="4"/>
        <v>0</v>
      </c>
      <c r="T57" s="263"/>
      <c r="U57" s="263"/>
      <c r="V57" s="263"/>
      <c r="W57" s="263"/>
      <c r="X57" s="263"/>
      <c r="Y57" s="263"/>
      <c r="Z57" s="263"/>
      <c r="AA57" s="263"/>
      <c r="AB57" s="265"/>
      <c r="AC57" s="266"/>
      <c r="AD57" s="267"/>
      <c r="AE57" s="263"/>
      <c r="AF57" s="263"/>
      <c r="AG57" s="263"/>
      <c r="AH57" s="263"/>
      <c r="AI57" s="265"/>
      <c r="AJ57" s="265"/>
      <c r="AK57" s="263"/>
      <c r="AL57" s="262"/>
      <c r="AM57" s="267"/>
      <c r="AN57" s="263"/>
      <c r="AO57" s="268"/>
      <c r="AP57" s="268"/>
      <c r="AQ57" s="268"/>
      <c r="AR57" s="268"/>
      <c r="AS57" s="268"/>
      <c r="AT57" s="268"/>
      <c r="AU57" s="269"/>
      <c r="AV57" s="267"/>
      <c r="AW57" s="263"/>
      <c r="AX57" s="263"/>
      <c r="AY57" s="263"/>
      <c r="AZ57" s="263"/>
      <c r="BA57" s="263"/>
      <c r="BB57" s="263"/>
      <c r="BC57" s="265"/>
      <c r="BD57" s="266"/>
      <c r="BE57" s="267"/>
      <c r="BF57" s="263"/>
      <c r="BG57" s="271"/>
      <c r="BH57" s="272"/>
      <c r="BI57" s="263"/>
      <c r="BJ57" s="271"/>
      <c r="BK57" s="272"/>
      <c r="BL57" s="263"/>
      <c r="BM57" s="266"/>
      <c r="BN57" s="273"/>
      <c r="BO57" s="250">
        <f t="shared" si="5"/>
        <v>0</v>
      </c>
    </row>
    <row r="58" spans="1:67" ht="25.5" customHeight="1" x14ac:dyDescent="0.2">
      <c r="A58" s="142">
        <f t="shared" si="6"/>
        <v>43</v>
      </c>
      <c r="B58" s="251"/>
      <c r="C58" s="252"/>
      <c r="D58" s="253"/>
      <c r="E58" s="254"/>
      <c r="F58" s="274"/>
      <c r="G58" s="256"/>
      <c r="H58" s="257"/>
      <c r="I58" s="231" t="str">
        <f t="shared" si="1"/>
        <v/>
      </c>
      <c r="J58" s="258">
        <f t="shared" si="2"/>
        <v>0</v>
      </c>
      <c r="K58" s="279"/>
      <c r="L58" s="260"/>
      <c r="M58" s="260"/>
      <c r="N58" s="235" t="str">
        <f t="shared" si="3"/>
        <v/>
      </c>
      <c r="O58" s="236" t="str">
        <f>IF('Data Set up'!$G$40="JUNE",IF(OR($N58=7,$N58=8,$N58=9),1,IF(OR($N58=10,$N58=11,$N58=12),2,IF(OR($N58=1,$N58=2,$N58=3),3,IF(OR($N58=4,$N58=5,$N58=6),4,"")))),IF(OR($N58=9,$N58=10,$N58=11),1,IF(OR($N58=12,$N58=1,$N58=2),2,IF(OR($N58=3,$N58=4,$N58=5),3,IF(OR($N58=6,$N58=7,$N58=8),4,"")))))</f>
        <v/>
      </c>
      <c r="P58" s="261"/>
      <c r="Q58" s="262"/>
      <c r="R58" s="263"/>
      <c r="S58" s="264">
        <f t="shared" si="4"/>
        <v>0</v>
      </c>
      <c r="T58" s="263"/>
      <c r="U58" s="263"/>
      <c r="V58" s="263"/>
      <c r="W58" s="263"/>
      <c r="X58" s="263"/>
      <c r="Y58" s="263"/>
      <c r="Z58" s="263"/>
      <c r="AA58" s="263"/>
      <c r="AB58" s="265"/>
      <c r="AC58" s="266"/>
      <c r="AD58" s="267"/>
      <c r="AE58" s="263"/>
      <c r="AF58" s="263"/>
      <c r="AG58" s="263"/>
      <c r="AH58" s="263"/>
      <c r="AI58" s="265"/>
      <c r="AJ58" s="265"/>
      <c r="AK58" s="263"/>
      <c r="AL58" s="262"/>
      <c r="AM58" s="267"/>
      <c r="AN58" s="263"/>
      <c r="AO58" s="268"/>
      <c r="AP58" s="268"/>
      <c r="AQ58" s="268"/>
      <c r="AR58" s="268"/>
      <c r="AS58" s="268"/>
      <c r="AT58" s="268"/>
      <c r="AU58" s="269"/>
      <c r="AV58" s="267"/>
      <c r="AW58" s="263"/>
      <c r="AX58" s="263"/>
      <c r="AY58" s="263"/>
      <c r="AZ58" s="263"/>
      <c r="BA58" s="263"/>
      <c r="BB58" s="263"/>
      <c r="BC58" s="265"/>
      <c r="BD58" s="266"/>
      <c r="BE58" s="267"/>
      <c r="BF58" s="263"/>
      <c r="BG58" s="271"/>
      <c r="BH58" s="272"/>
      <c r="BI58" s="263"/>
      <c r="BJ58" s="271"/>
      <c r="BK58" s="272"/>
      <c r="BL58" s="263"/>
      <c r="BM58" s="266"/>
      <c r="BN58" s="273"/>
      <c r="BO58" s="250">
        <f t="shared" si="5"/>
        <v>0</v>
      </c>
    </row>
    <row r="59" spans="1:67" ht="25.5" customHeight="1" x14ac:dyDescent="0.2">
      <c r="A59" s="142">
        <f t="shared" si="6"/>
        <v>44</v>
      </c>
      <c r="B59" s="251"/>
      <c r="C59" s="252"/>
      <c r="D59" s="253"/>
      <c r="E59" s="254"/>
      <c r="F59" s="277"/>
      <c r="G59" s="256"/>
      <c r="H59" s="257"/>
      <c r="I59" s="231" t="str">
        <f t="shared" si="1"/>
        <v/>
      </c>
      <c r="J59" s="258">
        <f t="shared" si="2"/>
        <v>0</v>
      </c>
      <c r="K59" s="279"/>
      <c r="L59" s="260"/>
      <c r="M59" s="260"/>
      <c r="N59" s="235" t="str">
        <f t="shared" si="3"/>
        <v/>
      </c>
      <c r="O59" s="236" t="str">
        <f>IF('Data Set up'!$G$40="JUNE",IF(OR($N59=7,$N59=8,$N59=9),1,IF(OR($N59=10,$N59=11,$N59=12),2,IF(OR($N59=1,$N59=2,$N59=3),3,IF(OR($N59=4,$N59=5,$N59=6),4,"")))),IF(OR($N59=9,$N59=10,$N59=11),1,IF(OR($N59=12,$N59=1,$N59=2),2,IF(OR($N59=3,$N59=4,$N59=5),3,IF(OR($N59=6,$N59=7,$N59=8),4,"")))))</f>
        <v/>
      </c>
      <c r="P59" s="261"/>
      <c r="Q59" s="262"/>
      <c r="R59" s="263"/>
      <c r="S59" s="264">
        <f t="shared" si="4"/>
        <v>0</v>
      </c>
      <c r="T59" s="263"/>
      <c r="U59" s="263"/>
      <c r="V59" s="263"/>
      <c r="W59" s="263"/>
      <c r="X59" s="263"/>
      <c r="Y59" s="263"/>
      <c r="Z59" s="263"/>
      <c r="AA59" s="263"/>
      <c r="AB59" s="265"/>
      <c r="AC59" s="266"/>
      <c r="AD59" s="267"/>
      <c r="AE59" s="263"/>
      <c r="AF59" s="263"/>
      <c r="AG59" s="263"/>
      <c r="AH59" s="263"/>
      <c r="AI59" s="265"/>
      <c r="AJ59" s="265"/>
      <c r="AK59" s="263"/>
      <c r="AL59" s="262"/>
      <c r="AM59" s="267"/>
      <c r="AN59" s="263"/>
      <c r="AO59" s="268"/>
      <c r="AP59" s="268"/>
      <c r="AQ59" s="268"/>
      <c r="AR59" s="268"/>
      <c r="AS59" s="268"/>
      <c r="AT59" s="268"/>
      <c r="AU59" s="269"/>
      <c r="AV59" s="267"/>
      <c r="AW59" s="263"/>
      <c r="AX59" s="263"/>
      <c r="AY59" s="263"/>
      <c r="AZ59" s="263"/>
      <c r="BA59" s="263"/>
      <c r="BB59" s="263"/>
      <c r="BC59" s="265"/>
      <c r="BD59" s="266"/>
      <c r="BE59" s="267"/>
      <c r="BF59" s="263"/>
      <c r="BG59" s="271"/>
      <c r="BH59" s="272"/>
      <c r="BI59" s="263"/>
      <c r="BJ59" s="271"/>
      <c r="BK59" s="272"/>
      <c r="BL59" s="263"/>
      <c r="BM59" s="266"/>
      <c r="BN59" s="273"/>
      <c r="BO59" s="250">
        <f t="shared" si="5"/>
        <v>0</v>
      </c>
    </row>
    <row r="60" spans="1:67" ht="25.5" customHeight="1" x14ac:dyDescent="0.2">
      <c r="A60" s="142">
        <f t="shared" si="6"/>
        <v>45</v>
      </c>
      <c r="B60" s="251"/>
      <c r="C60" s="252"/>
      <c r="D60" s="253"/>
      <c r="E60" s="254"/>
      <c r="F60" s="277"/>
      <c r="G60" s="256"/>
      <c r="H60" s="257"/>
      <c r="I60" s="231" t="str">
        <f t="shared" si="1"/>
        <v/>
      </c>
      <c r="J60" s="258">
        <f t="shared" si="2"/>
        <v>0</v>
      </c>
      <c r="K60" s="279"/>
      <c r="L60" s="260"/>
      <c r="M60" s="260"/>
      <c r="N60" s="235" t="str">
        <f t="shared" si="3"/>
        <v/>
      </c>
      <c r="O60" s="236" t="str">
        <f>IF('Data Set up'!$G$40="JUNE",IF(OR($N60=7,$N60=8,$N60=9),1,IF(OR($N60=10,$N60=11,$N60=12),2,IF(OR($N60=1,$N60=2,$N60=3),3,IF(OR($N60=4,$N60=5,$N60=6),4,"")))),IF(OR($N60=9,$N60=10,$N60=11),1,IF(OR($N60=12,$N60=1,$N60=2),2,IF(OR($N60=3,$N60=4,$N60=5),3,IF(OR($N60=6,$N60=7,$N60=8),4,"")))))</f>
        <v/>
      </c>
      <c r="P60" s="261"/>
      <c r="Q60" s="262"/>
      <c r="R60" s="263"/>
      <c r="S60" s="264">
        <f t="shared" si="4"/>
        <v>0</v>
      </c>
      <c r="T60" s="263"/>
      <c r="U60" s="263"/>
      <c r="V60" s="263"/>
      <c r="W60" s="263"/>
      <c r="X60" s="263"/>
      <c r="Y60" s="263"/>
      <c r="Z60" s="263"/>
      <c r="AA60" s="263"/>
      <c r="AB60" s="265"/>
      <c r="AC60" s="266"/>
      <c r="AD60" s="267"/>
      <c r="AE60" s="263"/>
      <c r="AF60" s="263"/>
      <c r="AG60" s="263"/>
      <c r="AH60" s="263"/>
      <c r="AI60" s="265"/>
      <c r="AJ60" s="265"/>
      <c r="AK60" s="263"/>
      <c r="AL60" s="262"/>
      <c r="AM60" s="267"/>
      <c r="AN60" s="263"/>
      <c r="AO60" s="268"/>
      <c r="AP60" s="268"/>
      <c r="AQ60" s="268"/>
      <c r="AR60" s="268"/>
      <c r="AS60" s="268"/>
      <c r="AT60" s="268"/>
      <c r="AU60" s="269"/>
      <c r="AV60" s="267"/>
      <c r="AW60" s="263"/>
      <c r="AX60" s="263"/>
      <c r="AY60" s="263"/>
      <c r="AZ60" s="263"/>
      <c r="BA60" s="263"/>
      <c r="BB60" s="263"/>
      <c r="BC60" s="265"/>
      <c r="BD60" s="266"/>
      <c r="BE60" s="267"/>
      <c r="BF60" s="263"/>
      <c r="BG60" s="271"/>
      <c r="BH60" s="272"/>
      <c r="BI60" s="263"/>
      <c r="BJ60" s="271"/>
      <c r="BK60" s="272"/>
      <c r="BL60" s="263"/>
      <c r="BM60" s="266"/>
      <c r="BN60" s="273"/>
      <c r="BO60" s="250">
        <f t="shared" si="5"/>
        <v>0</v>
      </c>
    </row>
    <row r="61" spans="1:67" ht="25.5" customHeight="1" x14ac:dyDescent="0.2">
      <c r="A61" s="142">
        <f t="shared" si="6"/>
        <v>46</v>
      </c>
      <c r="B61" s="251"/>
      <c r="C61" s="252"/>
      <c r="D61" s="253"/>
      <c r="E61" s="254"/>
      <c r="F61" s="274"/>
      <c r="G61" s="256"/>
      <c r="H61" s="257"/>
      <c r="I61" s="231" t="str">
        <f t="shared" si="1"/>
        <v/>
      </c>
      <c r="J61" s="258">
        <f t="shared" si="2"/>
        <v>0</v>
      </c>
      <c r="K61" s="279"/>
      <c r="L61" s="260"/>
      <c r="M61" s="260"/>
      <c r="N61" s="235" t="str">
        <f t="shared" si="3"/>
        <v/>
      </c>
      <c r="O61" s="236" t="str">
        <f>IF('Data Set up'!$G$40="JUNE",IF(OR($N61=7,$N61=8,$N61=9),1,IF(OR($N61=10,$N61=11,$N61=12),2,IF(OR($N61=1,$N61=2,$N61=3),3,IF(OR($N61=4,$N61=5,$N61=6),4,"")))),IF(OR($N61=9,$N61=10,$N61=11),1,IF(OR($N61=12,$N61=1,$N61=2),2,IF(OR($N61=3,$N61=4,$N61=5),3,IF(OR($N61=6,$N61=7,$N61=8),4,"")))))</f>
        <v/>
      </c>
      <c r="P61" s="261"/>
      <c r="Q61" s="262"/>
      <c r="R61" s="263"/>
      <c r="S61" s="264">
        <f t="shared" si="4"/>
        <v>0</v>
      </c>
      <c r="T61" s="263"/>
      <c r="U61" s="263"/>
      <c r="V61" s="263"/>
      <c r="W61" s="263"/>
      <c r="X61" s="263"/>
      <c r="Y61" s="263"/>
      <c r="Z61" s="263"/>
      <c r="AA61" s="263"/>
      <c r="AB61" s="265"/>
      <c r="AC61" s="266"/>
      <c r="AD61" s="267"/>
      <c r="AE61" s="263"/>
      <c r="AF61" s="263"/>
      <c r="AG61" s="263"/>
      <c r="AH61" s="263"/>
      <c r="AI61" s="265"/>
      <c r="AJ61" s="265"/>
      <c r="AK61" s="263"/>
      <c r="AL61" s="262"/>
      <c r="AM61" s="267"/>
      <c r="AN61" s="263"/>
      <c r="AO61" s="268"/>
      <c r="AP61" s="268"/>
      <c r="AQ61" s="268"/>
      <c r="AR61" s="268"/>
      <c r="AS61" s="268"/>
      <c r="AT61" s="268"/>
      <c r="AU61" s="269"/>
      <c r="AV61" s="267"/>
      <c r="AW61" s="263"/>
      <c r="AX61" s="263"/>
      <c r="AY61" s="263"/>
      <c r="AZ61" s="263"/>
      <c r="BA61" s="263"/>
      <c r="BB61" s="263"/>
      <c r="BC61" s="265"/>
      <c r="BD61" s="266"/>
      <c r="BE61" s="267"/>
      <c r="BF61" s="263"/>
      <c r="BG61" s="271"/>
      <c r="BH61" s="272"/>
      <c r="BI61" s="263"/>
      <c r="BJ61" s="271"/>
      <c r="BK61" s="272"/>
      <c r="BL61" s="263"/>
      <c r="BM61" s="266"/>
      <c r="BN61" s="273"/>
      <c r="BO61" s="250">
        <f t="shared" si="5"/>
        <v>0</v>
      </c>
    </row>
    <row r="62" spans="1:67" ht="25.5" customHeight="1" x14ac:dyDescent="0.2">
      <c r="A62" s="142">
        <f t="shared" si="6"/>
        <v>47</v>
      </c>
      <c r="B62" s="251"/>
      <c r="C62" s="252"/>
      <c r="D62" s="253"/>
      <c r="E62" s="254"/>
      <c r="F62" s="274"/>
      <c r="G62" s="256"/>
      <c r="H62" s="257"/>
      <c r="I62" s="231" t="str">
        <f t="shared" si="1"/>
        <v/>
      </c>
      <c r="J62" s="258">
        <f t="shared" si="2"/>
        <v>0</v>
      </c>
      <c r="K62" s="279"/>
      <c r="L62" s="260"/>
      <c r="M62" s="260"/>
      <c r="N62" s="235" t="str">
        <f t="shared" si="3"/>
        <v/>
      </c>
      <c r="O62" s="236" t="str">
        <f>IF('Data Set up'!$G$40="JUNE",IF(OR($N62=7,$N62=8,$N62=9),1,IF(OR($N62=10,$N62=11,$N62=12),2,IF(OR($N62=1,$N62=2,$N62=3),3,IF(OR($N62=4,$N62=5,$N62=6),4,"")))),IF(OR($N62=9,$N62=10,$N62=11),1,IF(OR($N62=12,$N62=1,$N62=2),2,IF(OR($N62=3,$N62=4,$N62=5),3,IF(OR($N62=6,$N62=7,$N62=8),4,"")))))</f>
        <v/>
      </c>
      <c r="P62" s="261"/>
      <c r="Q62" s="262"/>
      <c r="R62" s="263"/>
      <c r="S62" s="264">
        <f t="shared" si="4"/>
        <v>0</v>
      </c>
      <c r="T62" s="263"/>
      <c r="U62" s="263"/>
      <c r="V62" s="263"/>
      <c r="W62" s="263"/>
      <c r="X62" s="263"/>
      <c r="Y62" s="263"/>
      <c r="Z62" s="263"/>
      <c r="AA62" s="263"/>
      <c r="AB62" s="265"/>
      <c r="AC62" s="266"/>
      <c r="AD62" s="267"/>
      <c r="AE62" s="263"/>
      <c r="AF62" s="263"/>
      <c r="AG62" s="263"/>
      <c r="AH62" s="263"/>
      <c r="AI62" s="265"/>
      <c r="AJ62" s="265"/>
      <c r="AK62" s="263"/>
      <c r="AL62" s="262"/>
      <c r="AM62" s="267"/>
      <c r="AN62" s="263"/>
      <c r="AO62" s="268"/>
      <c r="AP62" s="268"/>
      <c r="AQ62" s="268"/>
      <c r="AR62" s="268"/>
      <c r="AS62" s="268"/>
      <c r="AT62" s="268"/>
      <c r="AU62" s="269"/>
      <c r="AV62" s="267"/>
      <c r="AW62" s="263"/>
      <c r="AX62" s="263"/>
      <c r="AY62" s="263"/>
      <c r="AZ62" s="263"/>
      <c r="BA62" s="263"/>
      <c r="BB62" s="263"/>
      <c r="BC62" s="265"/>
      <c r="BD62" s="266"/>
      <c r="BE62" s="267"/>
      <c r="BF62" s="263"/>
      <c r="BG62" s="271"/>
      <c r="BH62" s="272"/>
      <c r="BI62" s="263"/>
      <c r="BJ62" s="271"/>
      <c r="BK62" s="272"/>
      <c r="BL62" s="263"/>
      <c r="BM62" s="266"/>
      <c r="BN62" s="273"/>
      <c r="BO62" s="250">
        <f t="shared" si="5"/>
        <v>0</v>
      </c>
    </row>
    <row r="63" spans="1:67" ht="25.5" customHeight="1" x14ac:dyDescent="0.2">
      <c r="A63" s="142">
        <f t="shared" si="6"/>
        <v>48</v>
      </c>
      <c r="B63" s="251"/>
      <c r="C63" s="252"/>
      <c r="D63" s="253"/>
      <c r="E63" s="254"/>
      <c r="F63" s="274"/>
      <c r="G63" s="256"/>
      <c r="H63" s="257"/>
      <c r="I63" s="231" t="str">
        <f t="shared" si="1"/>
        <v/>
      </c>
      <c r="J63" s="258">
        <f t="shared" si="2"/>
        <v>0</v>
      </c>
      <c r="K63" s="279"/>
      <c r="L63" s="260"/>
      <c r="M63" s="260"/>
      <c r="N63" s="235" t="str">
        <f t="shared" si="3"/>
        <v/>
      </c>
      <c r="O63" s="236" t="str">
        <f>IF('Data Set up'!$G$40="JUNE",IF(OR($N63=7,$N63=8,$N63=9),1,IF(OR($N63=10,$N63=11,$N63=12),2,IF(OR($N63=1,$N63=2,$N63=3),3,IF(OR($N63=4,$N63=5,$N63=6),4,"")))),IF(OR($N63=9,$N63=10,$N63=11),1,IF(OR($N63=12,$N63=1,$N63=2),2,IF(OR($N63=3,$N63=4,$N63=5),3,IF(OR($N63=6,$N63=7,$N63=8),4,"")))))</f>
        <v/>
      </c>
      <c r="P63" s="261"/>
      <c r="Q63" s="262"/>
      <c r="R63" s="263"/>
      <c r="S63" s="264">
        <f t="shared" si="4"/>
        <v>0</v>
      </c>
      <c r="T63" s="263"/>
      <c r="U63" s="263"/>
      <c r="V63" s="263"/>
      <c r="W63" s="263"/>
      <c r="X63" s="263"/>
      <c r="Y63" s="263"/>
      <c r="Z63" s="263"/>
      <c r="AA63" s="263"/>
      <c r="AB63" s="265"/>
      <c r="AC63" s="266"/>
      <c r="AD63" s="267"/>
      <c r="AE63" s="263"/>
      <c r="AF63" s="263"/>
      <c r="AG63" s="263"/>
      <c r="AH63" s="263"/>
      <c r="AI63" s="265"/>
      <c r="AJ63" s="265"/>
      <c r="AK63" s="263"/>
      <c r="AL63" s="262"/>
      <c r="AM63" s="267"/>
      <c r="AN63" s="263"/>
      <c r="AO63" s="268"/>
      <c r="AP63" s="268"/>
      <c r="AQ63" s="268"/>
      <c r="AR63" s="268"/>
      <c r="AS63" s="268"/>
      <c r="AT63" s="268"/>
      <c r="AU63" s="269"/>
      <c r="AV63" s="267"/>
      <c r="AW63" s="263"/>
      <c r="AX63" s="263"/>
      <c r="AY63" s="263"/>
      <c r="AZ63" s="263"/>
      <c r="BA63" s="263"/>
      <c r="BB63" s="263"/>
      <c r="BC63" s="265"/>
      <c r="BD63" s="266"/>
      <c r="BE63" s="267"/>
      <c r="BF63" s="263"/>
      <c r="BG63" s="271"/>
      <c r="BH63" s="272"/>
      <c r="BI63" s="263"/>
      <c r="BJ63" s="271"/>
      <c r="BK63" s="272"/>
      <c r="BL63" s="263"/>
      <c r="BM63" s="266"/>
      <c r="BN63" s="273"/>
      <c r="BO63" s="250">
        <f t="shared" si="5"/>
        <v>0</v>
      </c>
    </row>
    <row r="64" spans="1:67" ht="25.5" customHeight="1" x14ac:dyDescent="0.2">
      <c r="A64" s="142">
        <f t="shared" si="6"/>
        <v>49</v>
      </c>
      <c r="B64" s="251"/>
      <c r="C64" s="252"/>
      <c r="D64" s="253"/>
      <c r="E64" s="254"/>
      <c r="F64" s="274"/>
      <c r="G64" s="256"/>
      <c r="H64" s="257"/>
      <c r="I64" s="231" t="str">
        <f t="shared" si="1"/>
        <v/>
      </c>
      <c r="J64" s="258">
        <f t="shared" si="2"/>
        <v>0</v>
      </c>
      <c r="K64" s="279"/>
      <c r="L64" s="260"/>
      <c r="M64" s="260"/>
      <c r="N64" s="235" t="str">
        <f t="shared" si="3"/>
        <v/>
      </c>
      <c r="O64" s="236" t="str">
        <f>IF('Data Set up'!$G$40="JUNE",IF(OR($N64=7,$N64=8,$N64=9),1,IF(OR($N64=10,$N64=11,$N64=12),2,IF(OR($N64=1,$N64=2,$N64=3),3,IF(OR($N64=4,$N64=5,$N64=6),4,"")))),IF(OR($N64=9,$N64=10,$N64=11),1,IF(OR($N64=12,$N64=1,$N64=2),2,IF(OR($N64=3,$N64=4,$N64=5),3,IF(OR($N64=6,$N64=7,$N64=8),4,"")))))</f>
        <v/>
      </c>
      <c r="P64" s="261"/>
      <c r="Q64" s="262"/>
      <c r="R64" s="263"/>
      <c r="S64" s="264">
        <f t="shared" si="4"/>
        <v>0</v>
      </c>
      <c r="T64" s="263"/>
      <c r="U64" s="263"/>
      <c r="V64" s="263"/>
      <c r="W64" s="263"/>
      <c r="X64" s="263"/>
      <c r="Y64" s="263"/>
      <c r="Z64" s="263"/>
      <c r="AA64" s="263"/>
      <c r="AB64" s="265"/>
      <c r="AC64" s="266"/>
      <c r="AD64" s="267"/>
      <c r="AE64" s="263"/>
      <c r="AF64" s="263"/>
      <c r="AG64" s="263"/>
      <c r="AH64" s="263"/>
      <c r="AI64" s="265"/>
      <c r="AJ64" s="265"/>
      <c r="AK64" s="263"/>
      <c r="AL64" s="262"/>
      <c r="AM64" s="267"/>
      <c r="AN64" s="263"/>
      <c r="AO64" s="256"/>
      <c r="AP64" s="268"/>
      <c r="AQ64" s="268"/>
      <c r="AR64" s="268"/>
      <c r="AS64" s="268"/>
      <c r="AT64" s="268"/>
      <c r="AU64" s="269"/>
      <c r="AV64" s="267"/>
      <c r="AW64" s="263"/>
      <c r="AX64" s="263"/>
      <c r="AY64" s="263"/>
      <c r="AZ64" s="263"/>
      <c r="BA64" s="263"/>
      <c r="BB64" s="263"/>
      <c r="BC64" s="265"/>
      <c r="BD64" s="266"/>
      <c r="BE64" s="267"/>
      <c r="BF64" s="263"/>
      <c r="BG64" s="271"/>
      <c r="BH64" s="272"/>
      <c r="BI64" s="263"/>
      <c r="BJ64" s="271"/>
      <c r="BK64" s="272"/>
      <c r="BL64" s="263"/>
      <c r="BM64" s="266"/>
      <c r="BN64" s="273"/>
      <c r="BO64" s="250">
        <f t="shared" si="5"/>
        <v>0</v>
      </c>
    </row>
    <row r="65" spans="1:67" ht="25.5" customHeight="1" x14ac:dyDescent="0.2">
      <c r="A65" s="142">
        <f t="shared" si="6"/>
        <v>50</v>
      </c>
      <c r="B65" s="251"/>
      <c r="C65" s="252"/>
      <c r="D65" s="253"/>
      <c r="E65" s="254"/>
      <c r="F65" s="274"/>
      <c r="G65" s="256"/>
      <c r="H65" s="257"/>
      <c r="I65" s="231" t="str">
        <f t="shared" si="1"/>
        <v/>
      </c>
      <c r="J65" s="258">
        <f t="shared" si="2"/>
        <v>0</v>
      </c>
      <c r="K65" s="279"/>
      <c r="L65" s="260"/>
      <c r="M65" s="260"/>
      <c r="N65" s="235" t="str">
        <f t="shared" si="3"/>
        <v/>
      </c>
      <c r="O65" s="236" t="str">
        <f>IF('Data Set up'!$G$40="JUNE",IF(OR($N65=7,$N65=8,$N65=9),1,IF(OR($N65=10,$N65=11,$N65=12),2,IF(OR($N65=1,$N65=2,$N65=3),3,IF(OR($N65=4,$N65=5,$N65=6),4,"")))),IF(OR($N65=9,$N65=10,$N65=11),1,IF(OR($N65=12,$N65=1,$N65=2),2,IF(OR($N65=3,$N65=4,$N65=5),3,IF(OR($N65=6,$N65=7,$N65=8),4,"")))))</f>
        <v/>
      </c>
      <c r="P65" s="261"/>
      <c r="Q65" s="262"/>
      <c r="R65" s="263"/>
      <c r="S65" s="264">
        <f t="shared" si="4"/>
        <v>0</v>
      </c>
      <c r="T65" s="263"/>
      <c r="U65" s="263"/>
      <c r="V65" s="263"/>
      <c r="W65" s="263"/>
      <c r="X65" s="263"/>
      <c r="Y65" s="263"/>
      <c r="Z65" s="263"/>
      <c r="AA65" s="263"/>
      <c r="AB65" s="265"/>
      <c r="AC65" s="266"/>
      <c r="AD65" s="267"/>
      <c r="AE65" s="263"/>
      <c r="AF65" s="263"/>
      <c r="AG65" s="263"/>
      <c r="AH65" s="263"/>
      <c r="AI65" s="265"/>
      <c r="AJ65" s="265"/>
      <c r="AK65" s="263"/>
      <c r="AL65" s="262"/>
      <c r="AM65" s="267"/>
      <c r="AN65" s="263"/>
      <c r="AO65" s="268"/>
      <c r="AP65" s="268"/>
      <c r="AQ65" s="268"/>
      <c r="AR65" s="268"/>
      <c r="AS65" s="268"/>
      <c r="AT65" s="268"/>
      <c r="AU65" s="269"/>
      <c r="AV65" s="267"/>
      <c r="AW65" s="263"/>
      <c r="AX65" s="263"/>
      <c r="AY65" s="263"/>
      <c r="AZ65" s="263"/>
      <c r="BA65" s="263"/>
      <c r="BB65" s="263"/>
      <c r="BC65" s="265"/>
      <c r="BD65" s="266"/>
      <c r="BE65" s="267"/>
      <c r="BF65" s="263"/>
      <c r="BG65" s="271"/>
      <c r="BH65" s="272"/>
      <c r="BI65" s="263"/>
      <c r="BJ65" s="271"/>
      <c r="BK65" s="272"/>
      <c r="BL65" s="263"/>
      <c r="BM65" s="266"/>
      <c r="BN65" s="273"/>
      <c r="BO65" s="250">
        <f t="shared" si="5"/>
        <v>0</v>
      </c>
    </row>
    <row r="66" spans="1:67" ht="25.5" customHeight="1" x14ac:dyDescent="0.2">
      <c r="A66" s="142">
        <f t="shared" si="6"/>
        <v>51</v>
      </c>
      <c r="B66" s="251"/>
      <c r="C66" s="252"/>
      <c r="D66" s="253"/>
      <c r="E66" s="254"/>
      <c r="F66" s="274"/>
      <c r="G66" s="256"/>
      <c r="H66" s="257"/>
      <c r="I66" s="231" t="str">
        <f t="shared" si="1"/>
        <v/>
      </c>
      <c r="J66" s="258">
        <f t="shared" si="2"/>
        <v>0</v>
      </c>
      <c r="K66" s="279"/>
      <c r="L66" s="260"/>
      <c r="M66" s="260"/>
      <c r="N66" s="235" t="str">
        <f t="shared" si="3"/>
        <v/>
      </c>
      <c r="O66" s="236" t="str">
        <f>IF('Data Set up'!$G$40="JUNE",IF(OR($N66=7,$N66=8,$N66=9),1,IF(OR($N66=10,$N66=11,$N66=12),2,IF(OR($N66=1,$N66=2,$N66=3),3,IF(OR($N66=4,$N66=5,$N66=6),4,"")))),IF(OR($N66=9,$N66=10,$N66=11),1,IF(OR($N66=12,$N66=1,$N66=2),2,IF(OR($N66=3,$N66=4,$N66=5),3,IF(OR($N66=6,$N66=7,$N66=8),4,"")))))</f>
        <v/>
      </c>
      <c r="P66" s="261"/>
      <c r="Q66" s="262"/>
      <c r="R66" s="263"/>
      <c r="S66" s="264">
        <f t="shared" si="4"/>
        <v>0</v>
      </c>
      <c r="T66" s="263"/>
      <c r="U66" s="263"/>
      <c r="V66" s="263"/>
      <c r="W66" s="263"/>
      <c r="X66" s="263"/>
      <c r="Y66" s="263"/>
      <c r="Z66" s="263"/>
      <c r="AA66" s="263"/>
      <c r="AB66" s="265"/>
      <c r="AC66" s="266"/>
      <c r="AD66" s="267"/>
      <c r="AE66" s="263"/>
      <c r="AF66" s="263"/>
      <c r="AG66" s="263"/>
      <c r="AH66" s="263"/>
      <c r="AI66" s="265"/>
      <c r="AJ66" s="265"/>
      <c r="AK66" s="263"/>
      <c r="AL66" s="262"/>
      <c r="AM66" s="267"/>
      <c r="AN66" s="263"/>
      <c r="AO66" s="268"/>
      <c r="AP66" s="268"/>
      <c r="AQ66" s="268"/>
      <c r="AR66" s="268"/>
      <c r="AS66" s="268"/>
      <c r="AT66" s="268"/>
      <c r="AU66" s="269"/>
      <c r="AV66" s="267"/>
      <c r="AW66" s="263"/>
      <c r="AX66" s="263"/>
      <c r="AY66" s="263"/>
      <c r="AZ66" s="263"/>
      <c r="BA66" s="263"/>
      <c r="BB66" s="263"/>
      <c r="BC66" s="265"/>
      <c r="BD66" s="266"/>
      <c r="BE66" s="267"/>
      <c r="BF66" s="263"/>
      <c r="BG66" s="271"/>
      <c r="BH66" s="272"/>
      <c r="BI66" s="263"/>
      <c r="BJ66" s="271"/>
      <c r="BK66" s="272"/>
      <c r="BL66" s="263"/>
      <c r="BM66" s="266"/>
      <c r="BN66" s="273"/>
      <c r="BO66" s="250">
        <f t="shared" si="5"/>
        <v>0</v>
      </c>
    </row>
    <row r="67" spans="1:67" ht="25.5" customHeight="1" x14ac:dyDescent="0.2">
      <c r="A67" s="142">
        <f t="shared" si="6"/>
        <v>52</v>
      </c>
      <c r="B67" s="251"/>
      <c r="C67" s="252"/>
      <c r="D67" s="253"/>
      <c r="E67" s="254"/>
      <c r="F67" s="274"/>
      <c r="G67" s="256"/>
      <c r="H67" s="257"/>
      <c r="I67" s="231" t="str">
        <f t="shared" si="1"/>
        <v/>
      </c>
      <c r="J67" s="258">
        <f t="shared" si="2"/>
        <v>0</v>
      </c>
      <c r="K67" s="279"/>
      <c r="L67" s="260"/>
      <c r="M67" s="260"/>
      <c r="N67" s="235" t="str">
        <f t="shared" si="3"/>
        <v/>
      </c>
      <c r="O67" s="236" t="str">
        <f>IF('Data Set up'!$G$40="JUNE",IF(OR($N67=7,$N67=8,$N67=9),1,IF(OR($N67=10,$N67=11,$N67=12),2,IF(OR($N67=1,$N67=2,$N67=3),3,IF(OR($N67=4,$N67=5,$N67=6),4,"")))),IF(OR($N67=9,$N67=10,$N67=11),1,IF(OR($N67=12,$N67=1,$N67=2),2,IF(OR($N67=3,$N67=4,$N67=5),3,IF(OR($N67=6,$N67=7,$N67=8),4,"")))))</f>
        <v/>
      </c>
      <c r="P67" s="261"/>
      <c r="Q67" s="262"/>
      <c r="R67" s="263"/>
      <c r="S67" s="264">
        <f t="shared" si="4"/>
        <v>0</v>
      </c>
      <c r="T67" s="263"/>
      <c r="U67" s="263"/>
      <c r="V67" s="263"/>
      <c r="W67" s="263"/>
      <c r="X67" s="263"/>
      <c r="Y67" s="263"/>
      <c r="Z67" s="263"/>
      <c r="AA67" s="263"/>
      <c r="AB67" s="265"/>
      <c r="AC67" s="266"/>
      <c r="AD67" s="267"/>
      <c r="AE67" s="263"/>
      <c r="AF67" s="263"/>
      <c r="AG67" s="263"/>
      <c r="AH67" s="263"/>
      <c r="AI67" s="265"/>
      <c r="AJ67" s="265"/>
      <c r="AK67" s="263"/>
      <c r="AL67" s="262"/>
      <c r="AM67" s="267"/>
      <c r="AN67" s="263"/>
      <c r="AO67" s="268"/>
      <c r="AP67" s="268"/>
      <c r="AQ67" s="268"/>
      <c r="AR67" s="268"/>
      <c r="AS67" s="268"/>
      <c r="AT67" s="268"/>
      <c r="AU67" s="269"/>
      <c r="AV67" s="267"/>
      <c r="AW67" s="263"/>
      <c r="AX67" s="263"/>
      <c r="AY67" s="263"/>
      <c r="AZ67" s="263"/>
      <c r="BA67" s="263"/>
      <c r="BB67" s="263"/>
      <c r="BC67" s="265"/>
      <c r="BD67" s="266"/>
      <c r="BE67" s="267"/>
      <c r="BF67" s="263"/>
      <c r="BG67" s="271"/>
      <c r="BH67" s="272"/>
      <c r="BI67" s="263"/>
      <c r="BJ67" s="271"/>
      <c r="BK67" s="272"/>
      <c r="BL67" s="263"/>
      <c r="BM67" s="266"/>
      <c r="BN67" s="273"/>
      <c r="BO67" s="250">
        <f t="shared" si="5"/>
        <v>0</v>
      </c>
    </row>
    <row r="68" spans="1:67" ht="25.5" customHeight="1" x14ac:dyDescent="0.2">
      <c r="A68" s="142">
        <f t="shared" si="6"/>
        <v>53</v>
      </c>
      <c r="B68" s="251"/>
      <c r="C68" s="252"/>
      <c r="D68" s="253"/>
      <c r="E68" s="254"/>
      <c r="F68" s="274"/>
      <c r="G68" s="256"/>
      <c r="H68" s="257"/>
      <c r="I68" s="231" t="str">
        <f t="shared" si="1"/>
        <v/>
      </c>
      <c r="J68" s="258">
        <f t="shared" si="2"/>
        <v>0</v>
      </c>
      <c r="K68" s="279"/>
      <c r="L68" s="260"/>
      <c r="M68" s="260"/>
      <c r="N68" s="235" t="str">
        <f t="shared" si="3"/>
        <v/>
      </c>
      <c r="O68" s="236" t="str">
        <f>IF('Data Set up'!$G$40="JUNE",IF(OR($N68=7,$N68=8,$N68=9),1,IF(OR($N68=10,$N68=11,$N68=12),2,IF(OR($N68=1,$N68=2,$N68=3),3,IF(OR($N68=4,$N68=5,$N68=6),4,"")))),IF(OR($N68=9,$N68=10,$N68=11),1,IF(OR($N68=12,$N68=1,$N68=2),2,IF(OR($N68=3,$N68=4,$N68=5),3,IF(OR($N68=6,$N68=7,$N68=8),4,"")))))</f>
        <v/>
      </c>
      <c r="P68" s="261"/>
      <c r="Q68" s="262"/>
      <c r="R68" s="263"/>
      <c r="S68" s="264">
        <f t="shared" si="4"/>
        <v>0</v>
      </c>
      <c r="T68" s="263"/>
      <c r="U68" s="263"/>
      <c r="V68" s="263"/>
      <c r="W68" s="263"/>
      <c r="X68" s="263"/>
      <c r="Y68" s="263"/>
      <c r="Z68" s="263"/>
      <c r="AA68" s="263"/>
      <c r="AB68" s="265"/>
      <c r="AC68" s="266"/>
      <c r="AD68" s="267"/>
      <c r="AE68" s="263"/>
      <c r="AF68" s="263"/>
      <c r="AG68" s="263"/>
      <c r="AH68" s="263"/>
      <c r="AI68" s="265"/>
      <c r="AJ68" s="265"/>
      <c r="AK68" s="263"/>
      <c r="AL68" s="262"/>
      <c r="AM68" s="267"/>
      <c r="AN68" s="263"/>
      <c r="AO68" s="268"/>
      <c r="AP68" s="268"/>
      <c r="AQ68" s="268"/>
      <c r="AR68" s="268"/>
      <c r="AS68" s="268"/>
      <c r="AT68" s="268"/>
      <c r="AU68" s="269"/>
      <c r="AV68" s="267"/>
      <c r="AW68" s="263"/>
      <c r="AX68" s="263"/>
      <c r="AY68" s="263"/>
      <c r="AZ68" s="263"/>
      <c r="BA68" s="263"/>
      <c r="BB68" s="263"/>
      <c r="BC68" s="265"/>
      <c r="BD68" s="266"/>
      <c r="BE68" s="267"/>
      <c r="BF68" s="263"/>
      <c r="BG68" s="271"/>
      <c r="BH68" s="272"/>
      <c r="BI68" s="263"/>
      <c r="BJ68" s="271"/>
      <c r="BK68" s="272"/>
      <c r="BL68" s="263"/>
      <c r="BM68" s="266"/>
      <c r="BN68" s="273"/>
      <c r="BO68" s="250">
        <f t="shared" si="5"/>
        <v>0</v>
      </c>
    </row>
    <row r="69" spans="1:67" ht="25.5" customHeight="1" x14ac:dyDescent="0.2">
      <c r="A69" s="142">
        <f t="shared" si="6"/>
        <v>54</v>
      </c>
      <c r="B69" s="251"/>
      <c r="C69" s="252"/>
      <c r="D69" s="253"/>
      <c r="E69" s="254"/>
      <c r="F69" s="274"/>
      <c r="G69" s="256"/>
      <c r="H69" s="257"/>
      <c r="I69" s="231" t="str">
        <f t="shared" si="1"/>
        <v/>
      </c>
      <c r="J69" s="258">
        <f t="shared" si="2"/>
        <v>0</v>
      </c>
      <c r="K69" s="279"/>
      <c r="L69" s="260"/>
      <c r="M69" s="260"/>
      <c r="N69" s="235" t="str">
        <f t="shared" si="3"/>
        <v/>
      </c>
      <c r="O69" s="236" t="str">
        <f>IF('Data Set up'!$G$40="JUNE",IF(OR($N69=7,$N69=8,$N69=9),1,IF(OR($N69=10,$N69=11,$N69=12),2,IF(OR($N69=1,$N69=2,$N69=3),3,IF(OR($N69=4,$N69=5,$N69=6),4,"")))),IF(OR($N69=9,$N69=10,$N69=11),1,IF(OR($N69=12,$N69=1,$N69=2),2,IF(OR($N69=3,$N69=4,$N69=5),3,IF(OR($N69=6,$N69=7,$N69=8),4,"")))))</f>
        <v/>
      </c>
      <c r="P69" s="261"/>
      <c r="Q69" s="262"/>
      <c r="R69" s="263"/>
      <c r="S69" s="264">
        <f t="shared" si="4"/>
        <v>0</v>
      </c>
      <c r="T69" s="263"/>
      <c r="U69" s="263"/>
      <c r="V69" s="263"/>
      <c r="W69" s="263"/>
      <c r="X69" s="263"/>
      <c r="Y69" s="263"/>
      <c r="Z69" s="263"/>
      <c r="AA69" s="263"/>
      <c r="AB69" s="265"/>
      <c r="AC69" s="266"/>
      <c r="AD69" s="267"/>
      <c r="AE69" s="263"/>
      <c r="AF69" s="263"/>
      <c r="AG69" s="263"/>
      <c r="AH69" s="263"/>
      <c r="AI69" s="265"/>
      <c r="AJ69" s="265"/>
      <c r="AK69" s="263"/>
      <c r="AL69" s="262"/>
      <c r="AM69" s="267"/>
      <c r="AN69" s="263"/>
      <c r="AO69" s="268"/>
      <c r="AP69" s="268"/>
      <c r="AQ69" s="268"/>
      <c r="AR69" s="268"/>
      <c r="AS69" s="268"/>
      <c r="AT69" s="268"/>
      <c r="AU69" s="269"/>
      <c r="AV69" s="267"/>
      <c r="AW69" s="263"/>
      <c r="AX69" s="263"/>
      <c r="AY69" s="263"/>
      <c r="AZ69" s="263"/>
      <c r="BA69" s="263"/>
      <c r="BB69" s="263"/>
      <c r="BC69" s="265"/>
      <c r="BD69" s="266"/>
      <c r="BE69" s="267"/>
      <c r="BF69" s="263"/>
      <c r="BG69" s="271"/>
      <c r="BH69" s="272"/>
      <c r="BI69" s="263"/>
      <c r="BJ69" s="271"/>
      <c r="BK69" s="272"/>
      <c r="BL69" s="263"/>
      <c r="BM69" s="266"/>
      <c r="BN69" s="273"/>
      <c r="BO69" s="250">
        <f t="shared" si="5"/>
        <v>0</v>
      </c>
    </row>
    <row r="70" spans="1:67" ht="25.5" customHeight="1" x14ac:dyDescent="0.2">
      <c r="A70" s="142">
        <f t="shared" si="6"/>
        <v>55</v>
      </c>
      <c r="B70" s="251"/>
      <c r="C70" s="252"/>
      <c r="D70" s="253"/>
      <c r="E70" s="254"/>
      <c r="F70" s="274"/>
      <c r="G70" s="256"/>
      <c r="H70" s="257"/>
      <c r="I70" s="231" t="str">
        <f t="shared" si="1"/>
        <v/>
      </c>
      <c r="J70" s="258">
        <f t="shared" si="2"/>
        <v>0</v>
      </c>
      <c r="K70" s="279"/>
      <c r="L70" s="260"/>
      <c r="M70" s="260"/>
      <c r="N70" s="235" t="str">
        <f t="shared" si="3"/>
        <v/>
      </c>
      <c r="O70" s="236" t="str">
        <f>IF('Data Set up'!$G$40="JUNE",IF(OR($N70=7,$N70=8,$N70=9),1,IF(OR($N70=10,$N70=11,$N70=12),2,IF(OR($N70=1,$N70=2,$N70=3),3,IF(OR($N70=4,$N70=5,$N70=6),4,"")))),IF(OR($N70=9,$N70=10,$N70=11),1,IF(OR($N70=12,$N70=1,$N70=2),2,IF(OR($N70=3,$N70=4,$N70=5),3,IF(OR($N70=6,$N70=7,$N70=8),4,"")))))</f>
        <v/>
      </c>
      <c r="P70" s="261"/>
      <c r="Q70" s="262"/>
      <c r="R70" s="263"/>
      <c r="S70" s="264">
        <f t="shared" si="4"/>
        <v>0</v>
      </c>
      <c r="T70" s="263"/>
      <c r="U70" s="263"/>
      <c r="V70" s="263"/>
      <c r="W70" s="263"/>
      <c r="X70" s="263"/>
      <c r="Y70" s="263"/>
      <c r="Z70" s="263"/>
      <c r="AA70" s="263"/>
      <c r="AB70" s="265"/>
      <c r="AC70" s="266"/>
      <c r="AD70" s="267"/>
      <c r="AE70" s="263"/>
      <c r="AF70" s="263"/>
      <c r="AG70" s="263"/>
      <c r="AH70" s="263"/>
      <c r="AI70" s="265"/>
      <c r="AJ70" s="265"/>
      <c r="AK70" s="263"/>
      <c r="AL70" s="262"/>
      <c r="AM70" s="267"/>
      <c r="AN70" s="263"/>
      <c r="AO70" s="268"/>
      <c r="AP70" s="268"/>
      <c r="AQ70" s="268"/>
      <c r="AR70" s="268"/>
      <c r="AS70" s="268"/>
      <c r="AT70" s="268"/>
      <c r="AU70" s="269"/>
      <c r="AV70" s="267"/>
      <c r="AW70" s="263"/>
      <c r="AX70" s="263"/>
      <c r="AY70" s="263"/>
      <c r="AZ70" s="263"/>
      <c r="BA70" s="263"/>
      <c r="BB70" s="263"/>
      <c r="BC70" s="265"/>
      <c r="BD70" s="266"/>
      <c r="BE70" s="267"/>
      <c r="BF70" s="263"/>
      <c r="BG70" s="271"/>
      <c r="BH70" s="272"/>
      <c r="BI70" s="263"/>
      <c r="BJ70" s="271"/>
      <c r="BK70" s="272"/>
      <c r="BL70" s="263"/>
      <c r="BM70" s="266"/>
      <c r="BN70" s="273"/>
      <c r="BO70" s="250">
        <f t="shared" si="5"/>
        <v>0</v>
      </c>
    </row>
    <row r="71" spans="1:67" ht="25.5" customHeight="1" x14ac:dyDescent="0.2">
      <c r="A71" s="142">
        <f t="shared" si="6"/>
        <v>56</v>
      </c>
      <c r="B71" s="251"/>
      <c r="C71" s="252"/>
      <c r="D71" s="253"/>
      <c r="E71" s="254"/>
      <c r="F71" s="274"/>
      <c r="G71" s="256"/>
      <c r="H71" s="257"/>
      <c r="I71" s="231" t="str">
        <f t="shared" si="1"/>
        <v/>
      </c>
      <c r="J71" s="258">
        <f t="shared" si="2"/>
        <v>0</v>
      </c>
      <c r="K71" s="279"/>
      <c r="L71" s="260"/>
      <c r="M71" s="260"/>
      <c r="N71" s="235" t="str">
        <f t="shared" si="3"/>
        <v/>
      </c>
      <c r="O71" s="236" t="str">
        <f>IF('Data Set up'!$G$40="JUNE",IF(OR($N71=7,$N71=8,$N71=9),1,IF(OR($N71=10,$N71=11,$N71=12),2,IF(OR($N71=1,$N71=2,$N71=3),3,IF(OR($N71=4,$N71=5,$N71=6),4,"")))),IF(OR($N71=9,$N71=10,$N71=11),1,IF(OR($N71=12,$N71=1,$N71=2),2,IF(OR($N71=3,$N71=4,$N71=5),3,IF(OR($N71=6,$N71=7,$N71=8),4,"")))))</f>
        <v/>
      </c>
      <c r="P71" s="261"/>
      <c r="Q71" s="262"/>
      <c r="R71" s="263"/>
      <c r="S71" s="264">
        <f t="shared" si="4"/>
        <v>0</v>
      </c>
      <c r="T71" s="263"/>
      <c r="U71" s="263"/>
      <c r="V71" s="263"/>
      <c r="W71" s="263"/>
      <c r="X71" s="263"/>
      <c r="Y71" s="263"/>
      <c r="Z71" s="263"/>
      <c r="AA71" s="263"/>
      <c r="AB71" s="265"/>
      <c r="AC71" s="266"/>
      <c r="AD71" s="267"/>
      <c r="AE71" s="263"/>
      <c r="AF71" s="263"/>
      <c r="AG71" s="263"/>
      <c r="AH71" s="263"/>
      <c r="AI71" s="265"/>
      <c r="AJ71" s="265"/>
      <c r="AK71" s="263"/>
      <c r="AL71" s="262"/>
      <c r="AM71" s="267"/>
      <c r="AN71" s="263"/>
      <c r="AO71" s="256"/>
      <c r="AP71" s="268"/>
      <c r="AQ71" s="268"/>
      <c r="AR71" s="268"/>
      <c r="AS71" s="268"/>
      <c r="AT71" s="268"/>
      <c r="AU71" s="269"/>
      <c r="AV71" s="267"/>
      <c r="AW71" s="263"/>
      <c r="AX71" s="263"/>
      <c r="AY71" s="263"/>
      <c r="AZ71" s="263"/>
      <c r="BA71" s="263"/>
      <c r="BB71" s="263"/>
      <c r="BC71" s="265"/>
      <c r="BD71" s="266"/>
      <c r="BE71" s="267"/>
      <c r="BF71" s="263"/>
      <c r="BG71" s="271"/>
      <c r="BH71" s="272"/>
      <c r="BI71" s="263"/>
      <c r="BJ71" s="271"/>
      <c r="BK71" s="272"/>
      <c r="BL71" s="263"/>
      <c r="BM71" s="266"/>
      <c r="BN71" s="273"/>
      <c r="BO71" s="250">
        <f t="shared" si="5"/>
        <v>0</v>
      </c>
    </row>
    <row r="72" spans="1:67" ht="25.5" customHeight="1" x14ac:dyDescent="0.2">
      <c r="A72" s="142">
        <f t="shared" si="6"/>
        <v>57</v>
      </c>
      <c r="B72" s="251"/>
      <c r="C72" s="252"/>
      <c r="D72" s="253"/>
      <c r="E72" s="254"/>
      <c r="F72" s="278"/>
      <c r="G72" s="256"/>
      <c r="H72" s="257"/>
      <c r="I72" s="231" t="str">
        <f t="shared" si="1"/>
        <v/>
      </c>
      <c r="J72" s="258">
        <f t="shared" si="2"/>
        <v>0</v>
      </c>
      <c r="K72" s="279"/>
      <c r="L72" s="260"/>
      <c r="M72" s="260"/>
      <c r="N72" s="235" t="str">
        <f t="shared" si="3"/>
        <v/>
      </c>
      <c r="O72" s="236" t="str">
        <f>IF('Data Set up'!$G$40="JUNE",IF(OR($N72=7,$N72=8,$N72=9),1,IF(OR($N72=10,$N72=11,$N72=12),2,IF(OR($N72=1,$N72=2,$N72=3),3,IF(OR($N72=4,$N72=5,$N72=6),4,"")))),IF(OR($N72=9,$N72=10,$N72=11),1,IF(OR($N72=12,$N72=1,$N72=2),2,IF(OR($N72=3,$N72=4,$N72=5),3,IF(OR($N72=6,$N72=7,$N72=8),4,"")))))</f>
        <v/>
      </c>
      <c r="P72" s="261"/>
      <c r="Q72" s="281"/>
      <c r="R72" s="268"/>
      <c r="S72" s="264">
        <f t="shared" si="4"/>
        <v>0</v>
      </c>
      <c r="T72" s="268"/>
      <c r="U72" s="268"/>
      <c r="V72" s="268"/>
      <c r="W72" s="268"/>
      <c r="X72" s="268"/>
      <c r="Y72" s="268"/>
      <c r="Z72" s="268"/>
      <c r="AA72" s="268"/>
      <c r="AB72" s="282"/>
      <c r="AC72" s="269"/>
      <c r="AD72" s="267"/>
      <c r="AE72" s="263"/>
      <c r="AF72" s="263"/>
      <c r="AG72" s="263"/>
      <c r="AH72" s="263"/>
      <c r="AI72" s="265"/>
      <c r="AJ72" s="265"/>
      <c r="AK72" s="263"/>
      <c r="AL72" s="262"/>
      <c r="AM72" s="267"/>
      <c r="AN72" s="263"/>
      <c r="AO72" s="268"/>
      <c r="AP72" s="268"/>
      <c r="AQ72" s="268"/>
      <c r="AR72" s="268"/>
      <c r="AS72" s="268"/>
      <c r="AT72" s="268"/>
      <c r="AU72" s="269"/>
      <c r="AV72" s="267"/>
      <c r="AW72" s="263"/>
      <c r="AX72" s="263"/>
      <c r="AY72" s="263"/>
      <c r="AZ72" s="263"/>
      <c r="BA72" s="263"/>
      <c r="BB72" s="263"/>
      <c r="BC72" s="265"/>
      <c r="BD72" s="266"/>
      <c r="BE72" s="267"/>
      <c r="BF72" s="263"/>
      <c r="BG72" s="271"/>
      <c r="BH72" s="272"/>
      <c r="BI72" s="263"/>
      <c r="BJ72" s="271"/>
      <c r="BK72" s="272"/>
      <c r="BL72" s="263"/>
      <c r="BM72" s="266"/>
      <c r="BN72" s="273"/>
      <c r="BO72" s="250">
        <f t="shared" si="5"/>
        <v>0</v>
      </c>
    </row>
    <row r="73" spans="1:67" ht="25.5" customHeight="1" x14ac:dyDescent="0.2">
      <c r="A73" s="142">
        <f t="shared" si="6"/>
        <v>58</v>
      </c>
      <c r="B73" s="251"/>
      <c r="C73" s="252"/>
      <c r="D73" s="253"/>
      <c r="E73" s="254"/>
      <c r="F73" s="278"/>
      <c r="G73" s="256"/>
      <c r="H73" s="257"/>
      <c r="I73" s="231" t="str">
        <f t="shared" si="1"/>
        <v/>
      </c>
      <c r="J73" s="258">
        <f t="shared" si="2"/>
        <v>0</v>
      </c>
      <c r="K73" s="279"/>
      <c r="L73" s="260"/>
      <c r="M73" s="260"/>
      <c r="N73" s="235" t="str">
        <f t="shared" si="3"/>
        <v/>
      </c>
      <c r="O73" s="236" t="str">
        <f>IF('Data Set up'!$G$40="JUNE",IF(OR($N73=7,$N73=8,$N73=9),1,IF(OR($N73=10,$N73=11,$N73=12),2,IF(OR($N73=1,$N73=2,$N73=3),3,IF(OR($N73=4,$N73=5,$N73=6),4,"")))),IF(OR($N73=9,$N73=10,$N73=11),1,IF(OR($N73=12,$N73=1,$N73=2),2,IF(OR($N73=3,$N73=4,$N73=5),3,IF(OR($N73=6,$N73=7,$N73=8),4,"")))))</f>
        <v/>
      </c>
      <c r="P73" s="261"/>
      <c r="Q73" s="281"/>
      <c r="R73" s="268"/>
      <c r="S73" s="264">
        <f t="shared" si="4"/>
        <v>0</v>
      </c>
      <c r="T73" s="268"/>
      <c r="U73" s="268"/>
      <c r="V73" s="268"/>
      <c r="W73" s="268"/>
      <c r="X73" s="268"/>
      <c r="Y73" s="268"/>
      <c r="Z73" s="268"/>
      <c r="AA73" s="268"/>
      <c r="AB73" s="282"/>
      <c r="AC73" s="269"/>
      <c r="AD73" s="267"/>
      <c r="AE73" s="263"/>
      <c r="AF73" s="263"/>
      <c r="AG73" s="263"/>
      <c r="AH73" s="263"/>
      <c r="AI73" s="265"/>
      <c r="AJ73" s="265"/>
      <c r="AK73" s="263"/>
      <c r="AL73" s="262"/>
      <c r="AM73" s="267"/>
      <c r="AN73" s="263"/>
      <c r="AO73" s="268"/>
      <c r="AP73" s="268"/>
      <c r="AQ73" s="268"/>
      <c r="AR73" s="268"/>
      <c r="AS73" s="268"/>
      <c r="AT73" s="268"/>
      <c r="AU73" s="269"/>
      <c r="AV73" s="267"/>
      <c r="AW73" s="263"/>
      <c r="AX73" s="263"/>
      <c r="AY73" s="263"/>
      <c r="AZ73" s="263"/>
      <c r="BA73" s="263"/>
      <c r="BB73" s="263"/>
      <c r="BC73" s="265"/>
      <c r="BD73" s="266"/>
      <c r="BE73" s="267"/>
      <c r="BF73" s="263"/>
      <c r="BG73" s="271"/>
      <c r="BH73" s="272"/>
      <c r="BI73" s="263"/>
      <c r="BJ73" s="271"/>
      <c r="BK73" s="272"/>
      <c r="BL73" s="263"/>
      <c r="BM73" s="266"/>
      <c r="BN73" s="273"/>
      <c r="BO73" s="250">
        <f t="shared" si="5"/>
        <v>0</v>
      </c>
    </row>
    <row r="74" spans="1:67" ht="25.5" customHeight="1" x14ac:dyDescent="0.2">
      <c r="A74" s="142">
        <f t="shared" si="6"/>
        <v>59</v>
      </c>
      <c r="B74" s="251"/>
      <c r="C74" s="252"/>
      <c r="D74" s="253"/>
      <c r="E74" s="254"/>
      <c r="F74" s="278"/>
      <c r="G74" s="256"/>
      <c r="H74" s="257"/>
      <c r="I74" s="231" t="str">
        <f t="shared" si="1"/>
        <v/>
      </c>
      <c r="J74" s="258">
        <f t="shared" si="2"/>
        <v>0</v>
      </c>
      <c r="K74" s="279"/>
      <c r="L74" s="260"/>
      <c r="M74" s="260"/>
      <c r="N74" s="235" t="str">
        <f t="shared" si="3"/>
        <v/>
      </c>
      <c r="O74" s="236" t="str">
        <f>IF('Data Set up'!$G$40="JUNE",IF(OR($N74=7,$N74=8,$N74=9),1,IF(OR($N74=10,$N74=11,$N74=12),2,IF(OR($N74=1,$N74=2,$N74=3),3,IF(OR($N74=4,$N74=5,$N74=6),4,"")))),IF(OR($N74=9,$N74=10,$N74=11),1,IF(OR($N74=12,$N74=1,$N74=2),2,IF(OR($N74=3,$N74=4,$N74=5),3,IF(OR($N74=6,$N74=7,$N74=8),4,"")))))</f>
        <v/>
      </c>
      <c r="P74" s="261"/>
      <c r="Q74" s="281"/>
      <c r="R74" s="268"/>
      <c r="S74" s="264">
        <f t="shared" si="4"/>
        <v>0</v>
      </c>
      <c r="T74" s="268"/>
      <c r="U74" s="268"/>
      <c r="V74" s="268"/>
      <c r="W74" s="268"/>
      <c r="X74" s="268"/>
      <c r="Y74" s="268"/>
      <c r="Z74" s="268"/>
      <c r="AA74" s="268"/>
      <c r="AB74" s="282"/>
      <c r="AC74" s="269"/>
      <c r="AD74" s="267"/>
      <c r="AE74" s="263"/>
      <c r="AF74" s="263"/>
      <c r="AG74" s="263"/>
      <c r="AH74" s="263"/>
      <c r="AI74" s="265"/>
      <c r="AJ74" s="265"/>
      <c r="AK74" s="263"/>
      <c r="AL74" s="262"/>
      <c r="AM74" s="267"/>
      <c r="AN74" s="263"/>
      <c r="AO74" s="268"/>
      <c r="AP74" s="268"/>
      <c r="AQ74" s="268"/>
      <c r="AR74" s="268"/>
      <c r="AS74" s="268"/>
      <c r="AT74" s="268"/>
      <c r="AU74" s="269"/>
      <c r="AV74" s="267"/>
      <c r="AW74" s="263"/>
      <c r="AX74" s="263"/>
      <c r="AY74" s="263"/>
      <c r="AZ74" s="263"/>
      <c r="BA74" s="263"/>
      <c r="BB74" s="263"/>
      <c r="BC74" s="265"/>
      <c r="BD74" s="266"/>
      <c r="BE74" s="267"/>
      <c r="BF74" s="263"/>
      <c r="BG74" s="271"/>
      <c r="BH74" s="272"/>
      <c r="BI74" s="263"/>
      <c r="BJ74" s="271"/>
      <c r="BK74" s="272"/>
      <c r="BL74" s="263"/>
      <c r="BM74" s="266"/>
      <c r="BN74" s="273"/>
      <c r="BO74" s="250">
        <f t="shared" si="5"/>
        <v>0</v>
      </c>
    </row>
    <row r="75" spans="1:67" ht="25.5" customHeight="1" x14ac:dyDescent="0.2">
      <c r="A75" s="142">
        <f t="shared" si="6"/>
        <v>60</v>
      </c>
      <c r="B75" s="251"/>
      <c r="C75" s="252"/>
      <c r="D75" s="253"/>
      <c r="E75" s="254"/>
      <c r="F75" s="278"/>
      <c r="G75" s="256"/>
      <c r="H75" s="257"/>
      <c r="I75" s="231" t="str">
        <f t="shared" si="1"/>
        <v/>
      </c>
      <c r="J75" s="258">
        <f t="shared" si="2"/>
        <v>0</v>
      </c>
      <c r="K75" s="279"/>
      <c r="L75" s="260"/>
      <c r="M75" s="260"/>
      <c r="N75" s="235" t="str">
        <f t="shared" si="3"/>
        <v/>
      </c>
      <c r="O75" s="236" t="str">
        <f>IF('Data Set up'!$G$40="JUNE",IF(OR($N75=7,$N75=8,$N75=9),1,IF(OR($N75=10,$N75=11,$N75=12),2,IF(OR($N75=1,$N75=2,$N75=3),3,IF(OR($N75=4,$N75=5,$N75=6),4,"")))),IF(OR($N75=9,$N75=10,$N75=11),1,IF(OR($N75=12,$N75=1,$N75=2),2,IF(OR($N75=3,$N75=4,$N75=5),3,IF(OR($N75=6,$N75=7,$N75=8),4,"")))))</f>
        <v/>
      </c>
      <c r="P75" s="261"/>
      <c r="Q75" s="281"/>
      <c r="R75" s="268"/>
      <c r="S75" s="264">
        <f t="shared" si="4"/>
        <v>0</v>
      </c>
      <c r="T75" s="268"/>
      <c r="U75" s="268"/>
      <c r="V75" s="268"/>
      <c r="W75" s="268"/>
      <c r="X75" s="268"/>
      <c r="Y75" s="268"/>
      <c r="Z75" s="268"/>
      <c r="AA75" s="268"/>
      <c r="AB75" s="282"/>
      <c r="AC75" s="269"/>
      <c r="AD75" s="267"/>
      <c r="AE75" s="263"/>
      <c r="AF75" s="263"/>
      <c r="AG75" s="263"/>
      <c r="AH75" s="263"/>
      <c r="AI75" s="265"/>
      <c r="AJ75" s="265"/>
      <c r="AK75" s="263"/>
      <c r="AL75" s="262"/>
      <c r="AM75" s="267"/>
      <c r="AN75" s="263"/>
      <c r="AO75" s="268"/>
      <c r="AP75" s="268"/>
      <c r="AQ75" s="268"/>
      <c r="AR75" s="268"/>
      <c r="AS75" s="268"/>
      <c r="AT75" s="268"/>
      <c r="AU75" s="269"/>
      <c r="AV75" s="267"/>
      <c r="AW75" s="263"/>
      <c r="AX75" s="263"/>
      <c r="AY75" s="263"/>
      <c r="AZ75" s="263"/>
      <c r="BA75" s="263"/>
      <c r="BB75" s="263"/>
      <c r="BC75" s="265"/>
      <c r="BD75" s="266"/>
      <c r="BE75" s="267"/>
      <c r="BF75" s="263"/>
      <c r="BG75" s="271"/>
      <c r="BH75" s="272"/>
      <c r="BI75" s="263"/>
      <c r="BJ75" s="271"/>
      <c r="BK75" s="272"/>
      <c r="BL75" s="263"/>
      <c r="BM75" s="266"/>
      <c r="BN75" s="273"/>
      <c r="BO75" s="250">
        <f t="shared" si="5"/>
        <v>0</v>
      </c>
    </row>
    <row r="76" spans="1:67" ht="25.5" customHeight="1" x14ac:dyDescent="0.2">
      <c r="A76" s="142">
        <f t="shared" si="6"/>
        <v>61</v>
      </c>
      <c r="B76" s="251"/>
      <c r="C76" s="252"/>
      <c r="D76" s="253"/>
      <c r="E76" s="254"/>
      <c r="F76" s="278"/>
      <c r="G76" s="256"/>
      <c r="H76" s="257"/>
      <c r="I76" s="231" t="str">
        <f t="shared" si="1"/>
        <v/>
      </c>
      <c r="J76" s="258">
        <f t="shared" si="2"/>
        <v>0</v>
      </c>
      <c r="K76" s="279"/>
      <c r="L76" s="260"/>
      <c r="M76" s="260"/>
      <c r="N76" s="235" t="str">
        <f t="shared" si="3"/>
        <v/>
      </c>
      <c r="O76" s="236" t="str">
        <f>IF('Data Set up'!$G$40="JUNE",IF(OR($N76=7,$N76=8,$N76=9),1,IF(OR($N76=10,$N76=11,$N76=12),2,IF(OR($N76=1,$N76=2,$N76=3),3,IF(OR($N76=4,$N76=5,$N76=6),4,"")))),IF(OR($N76=9,$N76=10,$N76=11),1,IF(OR($N76=12,$N76=1,$N76=2),2,IF(OR($N76=3,$N76=4,$N76=5),3,IF(OR($N76=6,$N76=7,$N76=8),4,"")))))</f>
        <v/>
      </c>
      <c r="P76" s="261"/>
      <c r="Q76" s="281"/>
      <c r="R76" s="268"/>
      <c r="S76" s="264">
        <f t="shared" si="4"/>
        <v>0</v>
      </c>
      <c r="T76" s="268"/>
      <c r="U76" s="268"/>
      <c r="V76" s="268"/>
      <c r="W76" s="268"/>
      <c r="X76" s="268"/>
      <c r="Y76" s="268"/>
      <c r="Z76" s="268"/>
      <c r="AA76" s="268"/>
      <c r="AB76" s="282"/>
      <c r="AC76" s="269"/>
      <c r="AD76" s="267"/>
      <c r="AE76" s="263"/>
      <c r="AF76" s="263"/>
      <c r="AG76" s="263"/>
      <c r="AH76" s="263"/>
      <c r="AI76" s="265"/>
      <c r="AJ76" s="265"/>
      <c r="AK76" s="263"/>
      <c r="AL76" s="262"/>
      <c r="AM76" s="267"/>
      <c r="AN76" s="263"/>
      <c r="AO76" s="268"/>
      <c r="AP76" s="268"/>
      <c r="AQ76" s="268"/>
      <c r="AR76" s="268"/>
      <c r="AS76" s="268"/>
      <c r="AT76" s="268"/>
      <c r="AU76" s="269"/>
      <c r="AV76" s="267"/>
      <c r="AW76" s="263"/>
      <c r="AX76" s="263"/>
      <c r="AY76" s="263"/>
      <c r="AZ76" s="263"/>
      <c r="BA76" s="263"/>
      <c r="BB76" s="263"/>
      <c r="BC76" s="265"/>
      <c r="BD76" s="266"/>
      <c r="BE76" s="267"/>
      <c r="BF76" s="263"/>
      <c r="BG76" s="271"/>
      <c r="BH76" s="272"/>
      <c r="BI76" s="263"/>
      <c r="BJ76" s="271"/>
      <c r="BK76" s="272"/>
      <c r="BL76" s="263"/>
      <c r="BM76" s="266"/>
      <c r="BN76" s="273"/>
      <c r="BO76" s="250">
        <f t="shared" si="5"/>
        <v>0</v>
      </c>
    </row>
    <row r="77" spans="1:67" ht="25.5" customHeight="1" x14ac:dyDescent="0.2">
      <c r="A77" s="142">
        <f t="shared" si="6"/>
        <v>62</v>
      </c>
      <c r="B77" s="251"/>
      <c r="C77" s="252"/>
      <c r="D77" s="253"/>
      <c r="E77" s="254"/>
      <c r="F77" s="278"/>
      <c r="G77" s="256"/>
      <c r="H77" s="257"/>
      <c r="I77" s="231" t="str">
        <f t="shared" si="1"/>
        <v/>
      </c>
      <c r="J77" s="258">
        <f t="shared" si="2"/>
        <v>0</v>
      </c>
      <c r="K77" s="279"/>
      <c r="L77" s="260"/>
      <c r="M77" s="260"/>
      <c r="N77" s="235" t="str">
        <f t="shared" si="3"/>
        <v/>
      </c>
      <c r="O77" s="236" t="str">
        <f>IF('Data Set up'!$G$40="JUNE",IF(OR($N77=7,$N77=8,$N77=9),1,IF(OR($N77=10,$N77=11,$N77=12),2,IF(OR($N77=1,$N77=2,$N77=3),3,IF(OR($N77=4,$N77=5,$N77=6),4,"")))),IF(OR($N77=9,$N77=10,$N77=11),1,IF(OR($N77=12,$N77=1,$N77=2),2,IF(OR($N77=3,$N77=4,$N77=5),3,IF(OR($N77=6,$N77=7,$N77=8),4,"")))))</f>
        <v/>
      </c>
      <c r="P77" s="261"/>
      <c r="Q77" s="281"/>
      <c r="R77" s="268"/>
      <c r="S77" s="264">
        <f t="shared" si="4"/>
        <v>0</v>
      </c>
      <c r="T77" s="268"/>
      <c r="U77" s="268"/>
      <c r="V77" s="268"/>
      <c r="W77" s="268"/>
      <c r="X77" s="268"/>
      <c r="Y77" s="268"/>
      <c r="Z77" s="268"/>
      <c r="AA77" s="268"/>
      <c r="AB77" s="282"/>
      <c r="AC77" s="269"/>
      <c r="AD77" s="267"/>
      <c r="AE77" s="263"/>
      <c r="AF77" s="263"/>
      <c r="AG77" s="263"/>
      <c r="AH77" s="263"/>
      <c r="AI77" s="265"/>
      <c r="AJ77" s="265"/>
      <c r="AK77" s="263"/>
      <c r="AL77" s="262"/>
      <c r="AM77" s="267"/>
      <c r="AN77" s="263"/>
      <c r="AO77" s="268"/>
      <c r="AP77" s="268"/>
      <c r="AQ77" s="268"/>
      <c r="AR77" s="268"/>
      <c r="AS77" s="268"/>
      <c r="AT77" s="268"/>
      <c r="AU77" s="269"/>
      <c r="AV77" s="267"/>
      <c r="AW77" s="263"/>
      <c r="AX77" s="263"/>
      <c r="AY77" s="263"/>
      <c r="AZ77" s="263"/>
      <c r="BA77" s="263"/>
      <c r="BB77" s="263"/>
      <c r="BC77" s="265"/>
      <c r="BD77" s="266"/>
      <c r="BE77" s="267"/>
      <c r="BF77" s="263"/>
      <c r="BG77" s="271"/>
      <c r="BH77" s="272"/>
      <c r="BI77" s="263"/>
      <c r="BJ77" s="271"/>
      <c r="BK77" s="272"/>
      <c r="BL77" s="263"/>
      <c r="BM77" s="266"/>
      <c r="BN77" s="273"/>
      <c r="BO77" s="250">
        <f t="shared" si="5"/>
        <v>0</v>
      </c>
    </row>
    <row r="78" spans="1:67" ht="25.5" customHeight="1" x14ac:dyDescent="0.2">
      <c r="A78" s="142">
        <f t="shared" si="6"/>
        <v>63</v>
      </c>
      <c r="B78" s="251"/>
      <c r="C78" s="252"/>
      <c r="D78" s="253"/>
      <c r="E78" s="254"/>
      <c r="F78" s="278"/>
      <c r="G78" s="256"/>
      <c r="H78" s="257"/>
      <c r="I78" s="231" t="str">
        <f t="shared" si="1"/>
        <v/>
      </c>
      <c r="J78" s="258">
        <f t="shared" si="2"/>
        <v>0</v>
      </c>
      <c r="K78" s="279"/>
      <c r="L78" s="260"/>
      <c r="M78" s="260"/>
      <c r="N78" s="235" t="str">
        <f t="shared" si="3"/>
        <v/>
      </c>
      <c r="O78" s="236" t="str">
        <f>IF('Data Set up'!$G$40="JUNE",IF(OR($N78=7,$N78=8,$N78=9),1,IF(OR($N78=10,$N78=11,$N78=12),2,IF(OR($N78=1,$N78=2,$N78=3),3,IF(OR($N78=4,$N78=5,$N78=6),4,"")))),IF(OR($N78=9,$N78=10,$N78=11),1,IF(OR($N78=12,$N78=1,$N78=2),2,IF(OR($N78=3,$N78=4,$N78=5),3,IF(OR($N78=6,$N78=7,$N78=8),4,"")))))</f>
        <v/>
      </c>
      <c r="P78" s="261"/>
      <c r="Q78" s="281"/>
      <c r="R78" s="268"/>
      <c r="S78" s="264">
        <f t="shared" si="4"/>
        <v>0</v>
      </c>
      <c r="T78" s="268"/>
      <c r="U78" s="268"/>
      <c r="V78" s="268"/>
      <c r="W78" s="268"/>
      <c r="X78" s="268"/>
      <c r="Y78" s="268"/>
      <c r="Z78" s="268"/>
      <c r="AA78" s="268"/>
      <c r="AB78" s="282"/>
      <c r="AC78" s="269"/>
      <c r="AD78" s="267"/>
      <c r="AE78" s="263"/>
      <c r="AF78" s="263"/>
      <c r="AG78" s="263"/>
      <c r="AH78" s="263"/>
      <c r="AI78" s="265"/>
      <c r="AJ78" s="265"/>
      <c r="AK78" s="263"/>
      <c r="AL78" s="262"/>
      <c r="AM78" s="267"/>
      <c r="AN78" s="263"/>
      <c r="AO78" s="268"/>
      <c r="AP78" s="268"/>
      <c r="AQ78" s="268"/>
      <c r="AR78" s="268"/>
      <c r="AS78" s="268"/>
      <c r="AT78" s="268"/>
      <c r="AU78" s="269"/>
      <c r="AV78" s="267"/>
      <c r="AW78" s="263"/>
      <c r="AX78" s="263"/>
      <c r="AY78" s="263"/>
      <c r="AZ78" s="263"/>
      <c r="BA78" s="263"/>
      <c r="BB78" s="263"/>
      <c r="BC78" s="265"/>
      <c r="BD78" s="266"/>
      <c r="BE78" s="267"/>
      <c r="BF78" s="263"/>
      <c r="BG78" s="271"/>
      <c r="BH78" s="272"/>
      <c r="BI78" s="263"/>
      <c r="BJ78" s="271"/>
      <c r="BK78" s="272"/>
      <c r="BL78" s="263"/>
      <c r="BM78" s="266"/>
      <c r="BN78" s="273"/>
      <c r="BO78" s="250">
        <f t="shared" si="5"/>
        <v>0</v>
      </c>
    </row>
    <row r="79" spans="1:67" ht="25.5" customHeight="1" x14ac:dyDescent="0.2">
      <c r="A79" s="142">
        <f t="shared" si="6"/>
        <v>64</v>
      </c>
      <c r="B79" s="251"/>
      <c r="C79" s="252"/>
      <c r="D79" s="253"/>
      <c r="E79" s="254"/>
      <c r="F79" s="278"/>
      <c r="G79" s="256"/>
      <c r="H79" s="257"/>
      <c r="I79" s="231" t="str">
        <f t="shared" si="1"/>
        <v/>
      </c>
      <c r="J79" s="258">
        <f t="shared" si="2"/>
        <v>0</v>
      </c>
      <c r="K79" s="279"/>
      <c r="L79" s="260"/>
      <c r="M79" s="260"/>
      <c r="N79" s="235" t="str">
        <f t="shared" si="3"/>
        <v/>
      </c>
      <c r="O79" s="236" t="str">
        <f>IF('Data Set up'!$G$40="JUNE",IF(OR($N79=7,$N79=8,$N79=9),1,IF(OR($N79=10,$N79=11,$N79=12),2,IF(OR($N79=1,$N79=2,$N79=3),3,IF(OR($N79=4,$N79=5,$N79=6),4,"")))),IF(OR($N79=9,$N79=10,$N79=11),1,IF(OR($N79=12,$N79=1,$N79=2),2,IF(OR($N79=3,$N79=4,$N79=5),3,IF(OR($N79=6,$N79=7,$N79=8),4,"")))))</f>
        <v/>
      </c>
      <c r="P79" s="261"/>
      <c r="Q79" s="281"/>
      <c r="R79" s="268"/>
      <c r="S79" s="264">
        <f t="shared" si="4"/>
        <v>0</v>
      </c>
      <c r="T79" s="268"/>
      <c r="U79" s="268"/>
      <c r="V79" s="268"/>
      <c r="W79" s="268"/>
      <c r="X79" s="268"/>
      <c r="Y79" s="268"/>
      <c r="Z79" s="268"/>
      <c r="AA79" s="268"/>
      <c r="AB79" s="282"/>
      <c r="AC79" s="269"/>
      <c r="AD79" s="267"/>
      <c r="AE79" s="263"/>
      <c r="AF79" s="263"/>
      <c r="AG79" s="263"/>
      <c r="AH79" s="263"/>
      <c r="AI79" s="265"/>
      <c r="AJ79" s="265"/>
      <c r="AK79" s="263"/>
      <c r="AL79" s="262"/>
      <c r="AM79" s="267"/>
      <c r="AN79" s="263"/>
      <c r="AO79" s="268"/>
      <c r="AP79" s="268"/>
      <c r="AQ79" s="268"/>
      <c r="AR79" s="268"/>
      <c r="AS79" s="268"/>
      <c r="AT79" s="268"/>
      <c r="AU79" s="269"/>
      <c r="AV79" s="267"/>
      <c r="AW79" s="263"/>
      <c r="AX79" s="263"/>
      <c r="AY79" s="263"/>
      <c r="AZ79" s="263"/>
      <c r="BA79" s="263"/>
      <c r="BB79" s="263"/>
      <c r="BC79" s="265"/>
      <c r="BD79" s="266"/>
      <c r="BE79" s="267"/>
      <c r="BF79" s="263"/>
      <c r="BG79" s="271"/>
      <c r="BH79" s="272"/>
      <c r="BI79" s="263"/>
      <c r="BJ79" s="271"/>
      <c r="BK79" s="272"/>
      <c r="BL79" s="263"/>
      <c r="BM79" s="266"/>
      <c r="BN79" s="273"/>
      <c r="BO79" s="250">
        <f t="shared" si="5"/>
        <v>0</v>
      </c>
    </row>
    <row r="80" spans="1:67" ht="25.5" customHeight="1" x14ac:dyDescent="0.2">
      <c r="A80" s="142">
        <f t="shared" si="6"/>
        <v>65</v>
      </c>
      <c r="B80" s="251"/>
      <c r="C80" s="252"/>
      <c r="D80" s="253"/>
      <c r="E80" s="254"/>
      <c r="F80" s="278"/>
      <c r="G80" s="256"/>
      <c r="H80" s="257"/>
      <c r="I80" s="231" t="str">
        <f t="shared" ref="I80:I143" si="7">LEFT(H80,4)</f>
        <v/>
      </c>
      <c r="J80" s="258">
        <f t="shared" ref="J80:J143" si="8">G80-BO80</f>
        <v>0</v>
      </c>
      <c r="K80" s="279"/>
      <c r="L80" s="260"/>
      <c r="M80" s="260"/>
      <c r="N80" s="235" t="str">
        <f t="shared" ref="N80:N143" si="9">IF($E80="","",MONTH($E80))</f>
        <v/>
      </c>
      <c r="O80" s="236" t="str">
        <f>IF('Data Set up'!$G$40="JUNE",IF(OR($N80=7,$N80=8,$N80=9),1,IF(OR($N80=10,$N80=11,$N80=12),2,IF(OR($N80=1,$N80=2,$N80=3),3,IF(OR($N80=4,$N80=5,$N80=6),4,"")))),IF(OR($N80=9,$N80=10,$N80=11),1,IF(OR($N80=12,$N80=1,$N80=2),2,IF(OR($N80=3,$N80=4,$N80=5),3,IF(OR($N80=6,$N80=7,$N80=8),4,"")))))</f>
        <v/>
      </c>
      <c r="P80" s="261"/>
      <c r="Q80" s="281"/>
      <c r="R80" s="268"/>
      <c r="S80" s="264">
        <f t="shared" ref="S80:S143" si="10">SUM(T80:W80)</f>
        <v>0</v>
      </c>
      <c r="T80" s="268"/>
      <c r="U80" s="268"/>
      <c r="V80" s="268"/>
      <c r="W80" s="268"/>
      <c r="X80" s="268"/>
      <c r="Y80" s="268"/>
      <c r="Z80" s="268"/>
      <c r="AA80" s="268"/>
      <c r="AB80" s="282"/>
      <c r="AC80" s="269"/>
      <c r="AD80" s="267"/>
      <c r="AE80" s="263"/>
      <c r="AF80" s="263"/>
      <c r="AG80" s="263"/>
      <c r="AH80" s="263"/>
      <c r="AI80" s="265"/>
      <c r="AJ80" s="265"/>
      <c r="AK80" s="263"/>
      <c r="AL80" s="262"/>
      <c r="AM80" s="267"/>
      <c r="AN80" s="263"/>
      <c r="AO80" s="268"/>
      <c r="AP80" s="268"/>
      <c r="AQ80" s="268"/>
      <c r="AR80" s="268"/>
      <c r="AS80" s="268"/>
      <c r="AT80" s="268"/>
      <c r="AU80" s="269"/>
      <c r="AV80" s="267"/>
      <c r="AW80" s="263"/>
      <c r="AX80" s="263"/>
      <c r="AY80" s="263"/>
      <c r="AZ80" s="263"/>
      <c r="BA80" s="263"/>
      <c r="BB80" s="263"/>
      <c r="BC80" s="265"/>
      <c r="BD80" s="266"/>
      <c r="BE80" s="267"/>
      <c r="BF80" s="263"/>
      <c r="BG80" s="271"/>
      <c r="BH80" s="272"/>
      <c r="BI80" s="263"/>
      <c r="BJ80" s="271"/>
      <c r="BK80" s="272"/>
      <c r="BL80" s="263"/>
      <c r="BM80" s="266"/>
      <c r="BN80" s="273"/>
      <c r="BO80" s="250">
        <f t="shared" ref="BO80:BO143" si="11">SUM(Q80:R80,T80:BN80)</f>
        <v>0</v>
      </c>
    </row>
    <row r="81" spans="1:67" ht="25.5" customHeight="1" x14ac:dyDescent="0.2">
      <c r="A81" s="142">
        <f t="shared" ref="A81:A144" si="12">$A80+1</f>
        <v>66</v>
      </c>
      <c r="B81" s="251"/>
      <c r="C81" s="252"/>
      <c r="D81" s="253"/>
      <c r="E81" s="254"/>
      <c r="F81" s="278"/>
      <c r="G81" s="256"/>
      <c r="H81" s="257"/>
      <c r="I81" s="231" t="str">
        <f t="shared" si="7"/>
        <v/>
      </c>
      <c r="J81" s="258">
        <f t="shared" si="8"/>
        <v>0</v>
      </c>
      <c r="K81" s="279"/>
      <c r="L81" s="260"/>
      <c r="M81" s="260"/>
      <c r="N81" s="235" t="str">
        <f t="shared" si="9"/>
        <v/>
      </c>
      <c r="O81" s="236" t="str">
        <f>IF('Data Set up'!$G$40="JUNE",IF(OR($N81=7,$N81=8,$N81=9),1,IF(OR($N81=10,$N81=11,$N81=12),2,IF(OR($N81=1,$N81=2,$N81=3),3,IF(OR($N81=4,$N81=5,$N81=6),4,"")))),IF(OR($N81=9,$N81=10,$N81=11),1,IF(OR($N81=12,$N81=1,$N81=2),2,IF(OR($N81=3,$N81=4,$N81=5),3,IF(OR($N81=6,$N81=7,$N81=8),4,"")))))</f>
        <v/>
      </c>
      <c r="P81" s="261"/>
      <c r="Q81" s="281"/>
      <c r="R81" s="268"/>
      <c r="S81" s="264">
        <f t="shared" si="10"/>
        <v>0</v>
      </c>
      <c r="T81" s="268"/>
      <c r="U81" s="268"/>
      <c r="V81" s="268"/>
      <c r="W81" s="268"/>
      <c r="X81" s="268"/>
      <c r="Y81" s="268"/>
      <c r="Z81" s="268"/>
      <c r="AA81" s="268"/>
      <c r="AB81" s="282"/>
      <c r="AC81" s="269"/>
      <c r="AD81" s="267"/>
      <c r="AE81" s="263"/>
      <c r="AF81" s="263"/>
      <c r="AG81" s="263"/>
      <c r="AH81" s="263"/>
      <c r="AI81" s="265"/>
      <c r="AJ81" s="265"/>
      <c r="AK81" s="263"/>
      <c r="AL81" s="262"/>
      <c r="AM81" s="267"/>
      <c r="AN81" s="263"/>
      <c r="AO81" s="268"/>
      <c r="AP81" s="268"/>
      <c r="AQ81" s="268"/>
      <c r="AR81" s="268"/>
      <c r="AS81" s="268"/>
      <c r="AT81" s="268"/>
      <c r="AU81" s="269"/>
      <c r="AV81" s="267"/>
      <c r="AW81" s="263"/>
      <c r="AX81" s="263"/>
      <c r="AY81" s="263"/>
      <c r="AZ81" s="263"/>
      <c r="BA81" s="263"/>
      <c r="BB81" s="263"/>
      <c r="BC81" s="265"/>
      <c r="BD81" s="266"/>
      <c r="BE81" s="267"/>
      <c r="BF81" s="263"/>
      <c r="BG81" s="271"/>
      <c r="BH81" s="272"/>
      <c r="BI81" s="263"/>
      <c r="BJ81" s="271"/>
      <c r="BK81" s="272"/>
      <c r="BL81" s="263"/>
      <c r="BM81" s="266"/>
      <c r="BN81" s="273"/>
      <c r="BO81" s="250">
        <f t="shared" si="11"/>
        <v>0</v>
      </c>
    </row>
    <row r="82" spans="1:67" ht="25.5" customHeight="1" x14ac:dyDescent="0.2">
      <c r="A82" s="142">
        <f t="shared" si="12"/>
        <v>67</v>
      </c>
      <c r="B82" s="251"/>
      <c r="C82" s="252"/>
      <c r="D82" s="253"/>
      <c r="E82" s="254"/>
      <c r="F82" s="278"/>
      <c r="G82" s="256"/>
      <c r="H82" s="257"/>
      <c r="I82" s="231" t="str">
        <f t="shared" si="7"/>
        <v/>
      </c>
      <c r="J82" s="258">
        <f t="shared" si="8"/>
        <v>0</v>
      </c>
      <c r="K82" s="279"/>
      <c r="L82" s="260"/>
      <c r="M82" s="260"/>
      <c r="N82" s="235" t="str">
        <f t="shared" si="9"/>
        <v/>
      </c>
      <c r="O82" s="236" t="str">
        <f>IF('Data Set up'!$G$40="JUNE",IF(OR($N82=7,$N82=8,$N82=9),1,IF(OR($N82=10,$N82=11,$N82=12),2,IF(OR($N82=1,$N82=2,$N82=3),3,IF(OR($N82=4,$N82=5,$N82=6),4,"")))),IF(OR($N82=9,$N82=10,$N82=11),1,IF(OR($N82=12,$N82=1,$N82=2),2,IF(OR($N82=3,$N82=4,$N82=5),3,IF(OR($N82=6,$N82=7,$N82=8),4,"")))))</f>
        <v/>
      </c>
      <c r="P82" s="261"/>
      <c r="Q82" s="281"/>
      <c r="R82" s="268"/>
      <c r="S82" s="264">
        <f t="shared" si="10"/>
        <v>0</v>
      </c>
      <c r="T82" s="268"/>
      <c r="U82" s="268"/>
      <c r="V82" s="268"/>
      <c r="W82" s="268"/>
      <c r="X82" s="268"/>
      <c r="Y82" s="268"/>
      <c r="Z82" s="268"/>
      <c r="AA82" s="268"/>
      <c r="AB82" s="282"/>
      <c r="AC82" s="269"/>
      <c r="AD82" s="267"/>
      <c r="AE82" s="263"/>
      <c r="AF82" s="263"/>
      <c r="AG82" s="263"/>
      <c r="AH82" s="263"/>
      <c r="AI82" s="265"/>
      <c r="AJ82" s="265"/>
      <c r="AK82" s="263"/>
      <c r="AL82" s="262"/>
      <c r="AM82" s="267"/>
      <c r="AN82" s="263"/>
      <c r="AO82" s="268"/>
      <c r="AP82" s="268"/>
      <c r="AQ82" s="268"/>
      <c r="AR82" s="268"/>
      <c r="AS82" s="268"/>
      <c r="AT82" s="268"/>
      <c r="AU82" s="269"/>
      <c r="AV82" s="267"/>
      <c r="AW82" s="263"/>
      <c r="AX82" s="263"/>
      <c r="AY82" s="263"/>
      <c r="AZ82" s="263"/>
      <c r="BA82" s="263"/>
      <c r="BB82" s="263"/>
      <c r="BC82" s="265"/>
      <c r="BD82" s="266"/>
      <c r="BE82" s="267"/>
      <c r="BF82" s="263"/>
      <c r="BG82" s="271"/>
      <c r="BH82" s="272"/>
      <c r="BI82" s="263"/>
      <c r="BJ82" s="271"/>
      <c r="BK82" s="272"/>
      <c r="BL82" s="263"/>
      <c r="BM82" s="266"/>
      <c r="BN82" s="273"/>
      <c r="BO82" s="250">
        <f t="shared" si="11"/>
        <v>0</v>
      </c>
    </row>
    <row r="83" spans="1:67" ht="25.5" customHeight="1" x14ac:dyDescent="0.2">
      <c r="A83" s="142">
        <f t="shared" si="12"/>
        <v>68</v>
      </c>
      <c r="B83" s="251"/>
      <c r="C83" s="252"/>
      <c r="D83" s="253"/>
      <c r="E83" s="254"/>
      <c r="F83" s="278"/>
      <c r="G83" s="256"/>
      <c r="H83" s="257"/>
      <c r="I83" s="231" t="str">
        <f t="shared" si="7"/>
        <v/>
      </c>
      <c r="J83" s="258">
        <f t="shared" si="8"/>
        <v>0</v>
      </c>
      <c r="K83" s="279"/>
      <c r="L83" s="260"/>
      <c r="M83" s="260"/>
      <c r="N83" s="235" t="str">
        <f t="shared" si="9"/>
        <v/>
      </c>
      <c r="O83" s="236" t="str">
        <f>IF('Data Set up'!$G$40="JUNE",IF(OR($N83=7,$N83=8,$N83=9),1,IF(OR($N83=10,$N83=11,$N83=12),2,IF(OR($N83=1,$N83=2,$N83=3),3,IF(OR($N83=4,$N83=5,$N83=6),4,"")))),IF(OR($N83=9,$N83=10,$N83=11),1,IF(OR($N83=12,$N83=1,$N83=2),2,IF(OR($N83=3,$N83=4,$N83=5),3,IF(OR($N83=6,$N83=7,$N83=8),4,"")))))</f>
        <v/>
      </c>
      <c r="P83" s="261"/>
      <c r="Q83" s="281"/>
      <c r="R83" s="268"/>
      <c r="S83" s="264">
        <f t="shared" si="10"/>
        <v>0</v>
      </c>
      <c r="T83" s="268"/>
      <c r="U83" s="268"/>
      <c r="V83" s="268"/>
      <c r="W83" s="268"/>
      <c r="X83" s="268"/>
      <c r="Y83" s="268"/>
      <c r="Z83" s="268"/>
      <c r="AA83" s="268"/>
      <c r="AB83" s="282"/>
      <c r="AC83" s="269"/>
      <c r="AD83" s="267"/>
      <c r="AE83" s="263"/>
      <c r="AF83" s="263"/>
      <c r="AG83" s="263"/>
      <c r="AH83" s="263"/>
      <c r="AI83" s="265"/>
      <c r="AJ83" s="265"/>
      <c r="AK83" s="263"/>
      <c r="AL83" s="262"/>
      <c r="AM83" s="267"/>
      <c r="AN83" s="263"/>
      <c r="AO83" s="268"/>
      <c r="AP83" s="268"/>
      <c r="AQ83" s="268"/>
      <c r="AR83" s="268"/>
      <c r="AS83" s="268"/>
      <c r="AT83" s="268"/>
      <c r="AU83" s="269"/>
      <c r="AV83" s="267"/>
      <c r="AW83" s="263"/>
      <c r="AX83" s="263"/>
      <c r="AY83" s="263"/>
      <c r="AZ83" s="263"/>
      <c r="BA83" s="263"/>
      <c r="BB83" s="263"/>
      <c r="BC83" s="265"/>
      <c r="BD83" s="266"/>
      <c r="BE83" s="267"/>
      <c r="BF83" s="263"/>
      <c r="BG83" s="271"/>
      <c r="BH83" s="272"/>
      <c r="BI83" s="263"/>
      <c r="BJ83" s="271"/>
      <c r="BK83" s="272"/>
      <c r="BL83" s="263"/>
      <c r="BM83" s="266"/>
      <c r="BN83" s="273"/>
      <c r="BO83" s="250">
        <f t="shared" si="11"/>
        <v>0</v>
      </c>
    </row>
    <row r="84" spans="1:67" ht="25.5" customHeight="1" x14ac:dyDescent="0.2">
      <c r="A84" s="142">
        <f t="shared" si="12"/>
        <v>69</v>
      </c>
      <c r="B84" s="251"/>
      <c r="C84" s="252"/>
      <c r="D84" s="253"/>
      <c r="E84" s="254"/>
      <c r="F84" s="278"/>
      <c r="G84" s="256"/>
      <c r="H84" s="257"/>
      <c r="I84" s="231" t="str">
        <f t="shared" si="7"/>
        <v/>
      </c>
      <c r="J84" s="258">
        <f t="shared" si="8"/>
        <v>0</v>
      </c>
      <c r="K84" s="279"/>
      <c r="L84" s="260"/>
      <c r="M84" s="260"/>
      <c r="N84" s="235" t="str">
        <f t="shared" si="9"/>
        <v/>
      </c>
      <c r="O84" s="236" t="str">
        <f>IF('Data Set up'!$G$40="JUNE",IF(OR($N84=7,$N84=8,$N84=9),1,IF(OR($N84=10,$N84=11,$N84=12),2,IF(OR($N84=1,$N84=2,$N84=3),3,IF(OR($N84=4,$N84=5,$N84=6),4,"")))),IF(OR($N84=9,$N84=10,$N84=11),1,IF(OR($N84=12,$N84=1,$N84=2),2,IF(OR($N84=3,$N84=4,$N84=5),3,IF(OR($N84=6,$N84=7,$N84=8),4,"")))))</f>
        <v/>
      </c>
      <c r="P84" s="261"/>
      <c r="Q84" s="281"/>
      <c r="R84" s="268"/>
      <c r="S84" s="264">
        <f t="shared" si="10"/>
        <v>0</v>
      </c>
      <c r="T84" s="268"/>
      <c r="U84" s="268"/>
      <c r="V84" s="268"/>
      <c r="W84" s="268"/>
      <c r="X84" s="268"/>
      <c r="Y84" s="268"/>
      <c r="Z84" s="268"/>
      <c r="AA84" s="268"/>
      <c r="AB84" s="282"/>
      <c r="AC84" s="269"/>
      <c r="AD84" s="267"/>
      <c r="AE84" s="263"/>
      <c r="AF84" s="263"/>
      <c r="AG84" s="263"/>
      <c r="AH84" s="263"/>
      <c r="AI84" s="265"/>
      <c r="AJ84" s="265"/>
      <c r="AK84" s="263"/>
      <c r="AL84" s="262"/>
      <c r="AM84" s="267"/>
      <c r="AN84" s="263"/>
      <c r="AO84" s="268"/>
      <c r="AP84" s="268"/>
      <c r="AQ84" s="268"/>
      <c r="AR84" s="268"/>
      <c r="AS84" s="268"/>
      <c r="AT84" s="268"/>
      <c r="AU84" s="269"/>
      <c r="AV84" s="267"/>
      <c r="AW84" s="263"/>
      <c r="AX84" s="263"/>
      <c r="AY84" s="263"/>
      <c r="AZ84" s="263"/>
      <c r="BA84" s="263"/>
      <c r="BB84" s="263"/>
      <c r="BC84" s="265"/>
      <c r="BD84" s="266"/>
      <c r="BE84" s="267"/>
      <c r="BF84" s="263"/>
      <c r="BG84" s="271"/>
      <c r="BH84" s="272"/>
      <c r="BI84" s="263"/>
      <c r="BJ84" s="271"/>
      <c r="BK84" s="272"/>
      <c r="BL84" s="263"/>
      <c r="BM84" s="266"/>
      <c r="BN84" s="273"/>
      <c r="BO84" s="250">
        <f t="shared" si="11"/>
        <v>0</v>
      </c>
    </row>
    <row r="85" spans="1:67" ht="25.5" customHeight="1" x14ac:dyDescent="0.2">
      <c r="A85" s="142">
        <f t="shared" si="12"/>
        <v>70</v>
      </c>
      <c r="B85" s="251"/>
      <c r="C85" s="252"/>
      <c r="D85" s="253"/>
      <c r="E85" s="254"/>
      <c r="F85" s="278"/>
      <c r="G85" s="256"/>
      <c r="H85" s="257"/>
      <c r="I85" s="231" t="str">
        <f t="shared" si="7"/>
        <v/>
      </c>
      <c r="J85" s="258">
        <f t="shared" si="8"/>
        <v>0</v>
      </c>
      <c r="K85" s="279"/>
      <c r="L85" s="260"/>
      <c r="M85" s="260"/>
      <c r="N85" s="235" t="str">
        <f t="shared" si="9"/>
        <v/>
      </c>
      <c r="O85" s="236" t="str">
        <f>IF('Data Set up'!$G$40="JUNE",IF(OR($N85=7,$N85=8,$N85=9),1,IF(OR($N85=10,$N85=11,$N85=12),2,IF(OR($N85=1,$N85=2,$N85=3),3,IF(OR($N85=4,$N85=5,$N85=6),4,"")))),IF(OR($N85=9,$N85=10,$N85=11),1,IF(OR($N85=12,$N85=1,$N85=2),2,IF(OR($N85=3,$N85=4,$N85=5),3,IF(OR($N85=6,$N85=7,$N85=8),4,"")))))</f>
        <v/>
      </c>
      <c r="P85" s="261"/>
      <c r="Q85" s="281"/>
      <c r="R85" s="268"/>
      <c r="S85" s="264">
        <f t="shared" si="10"/>
        <v>0</v>
      </c>
      <c r="T85" s="268"/>
      <c r="U85" s="268"/>
      <c r="V85" s="268"/>
      <c r="W85" s="268"/>
      <c r="X85" s="268"/>
      <c r="Y85" s="268"/>
      <c r="Z85" s="268"/>
      <c r="AA85" s="268"/>
      <c r="AB85" s="282"/>
      <c r="AC85" s="269"/>
      <c r="AD85" s="267"/>
      <c r="AE85" s="263"/>
      <c r="AF85" s="263"/>
      <c r="AG85" s="263"/>
      <c r="AH85" s="263"/>
      <c r="AI85" s="265"/>
      <c r="AJ85" s="265"/>
      <c r="AK85" s="263"/>
      <c r="AL85" s="262"/>
      <c r="AM85" s="267"/>
      <c r="AN85" s="263"/>
      <c r="AO85" s="268"/>
      <c r="AP85" s="268"/>
      <c r="AQ85" s="268"/>
      <c r="AR85" s="268"/>
      <c r="AS85" s="268"/>
      <c r="AT85" s="268"/>
      <c r="AU85" s="269"/>
      <c r="AV85" s="267"/>
      <c r="AW85" s="263"/>
      <c r="AX85" s="263"/>
      <c r="AY85" s="263"/>
      <c r="AZ85" s="263"/>
      <c r="BA85" s="263"/>
      <c r="BB85" s="263"/>
      <c r="BC85" s="265"/>
      <c r="BD85" s="266"/>
      <c r="BE85" s="267"/>
      <c r="BF85" s="263"/>
      <c r="BG85" s="271"/>
      <c r="BH85" s="272"/>
      <c r="BI85" s="263"/>
      <c r="BJ85" s="271"/>
      <c r="BK85" s="272"/>
      <c r="BL85" s="263"/>
      <c r="BM85" s="266"/>
      <c r="BN85" s="273"/>
      <c r="BO85" s="250">
        <f t="shared" si="11"/>
        <v>0</v>
      </c>
    </row>
    <row r="86" spans="1:67" ht="25.5" customHeight="1" x14ac:dyDescent="0.2">
      <c r="A86" s="142">
        <f t="shared" si="12"/>
        <v>71</v>
      </c>
      <c r="B86" s="251"/>
      <c r="C86" s="252"/>
      <c r="D86" s="253"/>
      <c r="E86" s="254"/>
      <c r="F86" s="278"/>
      <c r="G86" s="256"/>
      <c r="H86" s="257"/>
      <c r="I86" s="231" t="str">
        <f t="shared" si="7"/>
        <v/>
      </c>
      <c r="J86" s="258">
        <f t="shared" si="8"/>
        <v>0</v>
      </c>
      <c r="K86" s="279"/>
      <c r="L86" s="260"/>
      <c r="M86" s="260"/>
      <c r="N86" s="235" t="str">
        <f t="shared" si="9"/>
        <v/>
      </c>
      <c r="O86" s="236" t="str">
        <f>IF('Data Set up'!$G$40="JUNE",IF(OR($N86=7,$N86=8,$N86=9),1,IF(OR($N86=10,$N86=11,$N86=12),2,IF(OR($N86=1,$N86=2,$N86=3),3,IF(OR($N86=4,$N86=5,$N86=6),4,"")))),IF(OR($N86=9,$N86=10,$N86=11),1,IF(OR($N86=12,$N86=1,$N86=2),2,IF(OR($N86=3,$N86=4,$N86=5),3,IF(OR($N86=6,$N86=7,$N86=8),4,"")))))</f>
        <v/>
      </c>
      <c r="P86" s="261"/>
      <c r="Q86" s="281"/>
      <c r="R86" s="268"/>
      <c r="S86" s="264">
        <f t="shared" si="10"/>
        <v>0</v>
      </c>
      <c r="T86" s="268"/>
      <c r="U86" s="268"/>
      <c r="V86" s="268"/>
      <c r="W86" s="268"/>
      <c r="X86" s="268"/>
      <c r="Y86" s="268"/>
      <c r="Z86" s="268"/>
      <c r="AA86" s="268"/>
      <c r="AB86" s="282"/>
      <c r="AC86" s="269"/>
      <c r="AD86" s="267"/>
      <c r="AE86" s="263"/>
      <c r="AF86" s="263"/>
      <c r="AG86" s="263"/>
      <c r="AH86" s="263"/>
      <c r="AI86" s="265"/>
      <c r="AJ86" s="265"/>
      <c r="AK86" s="263"/>
      <c r="AL86" s="262"/>
      <c r="AM86" s="267"/>
      <c r="AN86" s="263"/>
      <c r="AO86" s="268"/>
      <c r="AP86" s="268"/>
      <c r="AQ86" s="268"/>
      <c r="AR86" s="268"/>
      <c r="AS86" s="268"/>
      <c r="AT86" s="268"/>
      <c r="AU86" s="269"/>
      <c r="AV86" s="267"/>
      <c r="AW86" s="263"/>
      <c r="AX86" s="263"/>
      <c r="AY86" s="263"/>
      <c r="AZ86" s="263"/>
      <c r="BA86" s="263"/>
      <c r="BB86" s="263"/>
      <c r="BC86" s="265"/>
      <c r="BD86" s="266"/>
      <c r="BE86" s="267"/>
      <c r="BF86" s="263"/>
      <c r="BG86" s="271"/>
      <c r="BH86" s="272"/>
      <c r="BI86" s="263"/>
      <c r="BJ86" s="271"/>
      <c r="BK86" s="272"/>
      <c r="BL86" s="263"/>
      <c r="BM86" s="266"/>
      <c r="BN86" s="273"/>
      <c r="BO86" s="250">
        <f t="shared" si="11"/>
        <v>0</v>
      </c>
    </row>
    <row r="87" spans="1:67" ht="25.5" customHeight="1" x14ac:dyDescent="0.2">
      <c r="A87" s="142">
        <f t="shared" si="12"/>
        <v>72</v>
      </c>
      <c r="B87" s="251"/>
      <c r="C87" s="252"/>
      <c r="D87" s="253"/>
      <c r="E87" s="254"/>
      <c r="F87" s="278"/>
      <c r="G87" s="256"/>
      <c r="H87" s="257"/>
      <c r="I87" s="231" t="str">
        <f t="shared" si="7"/>
        <v/>
      </c>
      <c r="J87" s="258">
        <f t="shared" si="8"/>
        <v>0</v>
      </c>
      <c r="K87" s="279"/>
      <c r="L87" s="260"/>
      <c r="M87" s="260"/>
      <c r="N87" s="235" t="str">
        <f t="shared" si="9"/>
        <v/>
      </c>
      <c r="O87" s="236" t="str">
        <f>IF('Data Set up'!$G$40="JUNE",IF(OR($N87=7,$N87=8,$N87=9),1,IF(OR($N87=10,$N87=11,$N87=12),2,IF(OR($N87=1,$N87=2,$N87=3),3,IF(OR($N87=4,$N87=5,$N87=6),4,"")))),IF(OR($N87=9,$N87=10,$N87=11),1,IF(OR($N87=12,$N87=1,$N87=2),2,IF(OR($N87=3,$N87=4,$N87=5),3,IF(OR($N87=6,$N87=7,$N87=8),4,"")))))</f>
        <v/>
      </c>
      <c r="P87" s="261"/>
      <c r="Q87" s="281"/>
      <c r="R87" s="268"/>
      <c r="S87" s="264">
        <f t="shared" si="10"/>
        <v>0</v>
      </c>
      <c r="T87" s="268"/>
      <c r="U87" s="268"/>
      <c r="V87" s="268"/>
      <c r="W87" s="268"/>
      <c r="X87" s="268"/>
      <c r="Y87" s="268"/>
      <c r="Z87" s="268"/>
      <c r="AA87" s="268"/>
      <c r="AB87" s="282"/>
      <c r="AC87" s="269"/>
      <c r="AD87" s="267"/>
      <c r="AE87" s="263"/>
      <c r="AF87" s="263"/>
      <c r="AG87" s="263"/>
      <c r="AH87" s="263"/>
      <c r="AI87" s="265"/>
      <c r="AJ87" s="265"/>
      <c r="AK87" s="263"/>
      <c r="AL87" s="262"/>
      <c r="AM87" s="267"/>
      <c r="AN87" s="263"/>
      <c r="AO87" s="268"/>
      <c r="AP87" s="268"/>
      <c r="AQ87" s="268"/>
      <c r="AR87" s="268"/>
      <c r="AS87" s="268"/>
      <c r="AT87" s="268"/>
      <c r="AU87" s="269"/>
      <c r="AV87" s="267"/>
      <c r="AW87" s="263"/>
      <c r="AX87" s="263"/>
      <c r="AY87" s="263"/>
      <c r="AZ87" s="263"/>
      <c r="BA87" s="263"/>
      <c r="BB87" s="263"/>
      <c r="BC87" s="265"/>
      <c r="BD87" s="266"/>
      <c r="BE87" s="267"/>
      <c r="BF87" s="263"/>
      <c r="BG87" s="271"/>
      <c r="BH87" s="272"/>
      <c r="BI87" s="263"/>
      <c r="BJ87" s="271"/>
      <c r="BK87" s="272"/>
      <c r="BL87" s="263"/>
      <c r="BM87" s="266"/>
      <c r="BN87" s="273"/>
      <c r="BO87" s="250">
        <f t="shared" si="11"/>
        <v>0</v>
      </c>
    </row>
    <row r="88" spans="1:67" ht="25.5" customHeight="1" x14ac:dyDescent="0.2">
      <c r="A88" s="142">
        <f t="shared" si="12"/>
        <v>73</v>
      </c>
      <c r="B88" s="251"/>
      <c r="C88" s="252"/>
      <c r="D88" s="253"/>
      <c r="E88" s="254"/>
      <c r="F88" s="278"/>
      <c r="G88" s="256"/>
      <c r="H88" s="257"/>
      <c r="I88" s="231" t="str">
        <f t="shared" si="7"/>
        <v/>
      </c>
      <c r="J88" s="258">
        <f t="shared" si="8"/>
        <v>0</v>
      </c>
      <c r="K88" s="279"/>
      <c r="L88" s="260"/>
      <c r="M88" s="260"/>
      <c r="N88" s="235" t="str">
        <f t="shared" si="9"/>
        <v/>
      </c>
      <c r="O88" s="236" t="str">
        <f>IF('Data Set up'!$G$40="JUNE",IF(OR($N88=7,$N88=8,$N88=9),1,IF(OR($N88=10,$N88=11,$N88=12),2,IF(OR($N88=1,$N88=2,$N88=3),3,IF(OR($N88=4,$N88=5,$N88=6),4,"")))),IF(OR($N88=9,$N88=10,$N88=11),1,IF(OR($N88=12,$N88=1,$N88=2),2,IF(OR($N88=3,$N88=4,$N88=5),3,IF(OR($N88=6,$N88=7,$N88=8),4,"")))))</f>
        <v/>
      </c>
      <c r="P88" s="261"/>
      <c r="Q88" s="281"/>
      <c r="R88" s="268"/>
      <c r="S88" s="264">
        <f t="shared" si="10"/>
        <v>0</v>
      </c>
      <c r="T88" s="268"/>
      <c r="U88" s="268"/>
      <c r="V88" s="268"/>
      <c r="W88" s="268"/>
      <c r="X88" s="268"/>
      <c r="Y88" s="268"/>
      <c r="Z88" s="268"/>
      <c r="AA88" s="268"/>
      <c r="AB88" s="282"/>
      <c r="AC88" s="269"/>
      <c r="AD88" s="267"/>
      <c r="AE88" s="263"/>
      <c r="AF88" s="263"/>
      <c r="AG88" s="263"/>
      <c r="AH88" s="263"/>
      <c r="AI88" s="265"/>
      <c r="AJ88" s="265"/>
      <c r="AK88" s="263"/>
      <c r="AL88" s="262"/>
      <c r="AM88" s="267"/>
      <c r="AN88" s="263"/>
      <c r="AO88" s="268"/>
      <c r="AP88" s="268"/>
      <c r="AQ88" s="268"/>
      <c r="AR88" s="268"/>
      <c r="AS88" s="268"/>
      <c r="AT88" s="268"/>
      <c r="AU88" s="269"/>
      <c r="AV88" s="267"/>
      <c r="AW88" s="263"/>
      <c r="AX88" s="263"/>
      <c r="AY88" s="263"/>
      <c r="AZ88" s="263"/>
      <c r="BA88" s="263"/>
      <c r="BB88" s="263"/>
      <c r="BC88" s="265"/>
      <c r="BD88" s="266"/>
      <c r="BE88" s="267"/>
      <c r="BF88" s="263"/>
      <c r="BG88" s="271"/>
      <c r="BH88" s="272"/>
      <c r="BI88" s="263"/>
      <c r="BJ88" s="271"/>
      <c r="BK88" s="272"/>
      <c r="BL88" s="263"/>
      <c r="BM88" s="266"/>
      <c r="BN88" s="273"/>
      <c r="BO88" s="250">
        <f t="shared" si="11"/>
        <v>0</v>
      </c>
    </row>
    <row r="89" spans="1:67" ht="25.5" customHeight="1" x14ac:dyDescent="0.2">
      <c r="A89" s="142">
        <f t="shared" si="12"/>
        <v>74</v>
      </c>
      <c r="B89" s="251"/>
      <c r="C89" s="252"/>
      <c r="D89" s="253"/>
      <c r="E89" s="254"/>
      <c r="F89" s="278"/>
      <c r="G89" s="256"/>
      <c r="H89" s="257"/>
      <c r="I89" s="231" t="str">
        <f t="shared" si="7"/>
        <v/>
      </c>
      <c r="J89" s="258">
        <f t="shared" si="8"/>
        <v>0</v>
      </c>
      <c r="K89" s="279"/>
      <c r="L89" s="260"/>
      <c r="M89" s="260"/>
      <c r="N89" s="235" t="str">
        <f t="shared" si="9"/>
        <v/>
      </c>
      <c r="O89" s="236" t="str">
        <f>IF('Data Set up'!$G$40="JUNE",IF(OR($N89=7,$N89=8,$N89=9),1,IF(OR($N89=10,$N89=11,$N89=12),2,IF(OR($N89=1,$N89=2,$N89=3),3,IF(OR($N89=4,$N89=5,$N89=6),4,"")))),IF(OR($N89=9,$N89=10,$N89=11),1,IF(OR($N89=12,$N89=1,$N89=2),2,IF(OR($N89=3,$N89=4,$N89=5),3,IF(OR($N89=6,$N89=7,$N89=8),4,"")))))</f>
        <v/>
      </c>
      <c r="P89" s="261"/>
      <c r="Q89" s="281"/>
      <c r="R89" s="268"/>
      <c r="S89" s="264">
        <f t="shared" si="10"/>
        <v>0</v>
      </c>
      <c r="T89" s="268"/>
      <c r="U89" s="268"/>
      <c r="V89" s="268"/>
      <c r="W89" s="268"/>
      <c r="X89" s="268"/>
      <c r="Y89" s="268"/>
      <c r="Z89" s="268"/>
      <c r="AA89" s="268"/>
      <c r="AB89" s="282"/>
      <c r="AC89" s="269"/>
      <c r="AD89" s="267"/>
      <c r="AE89" s="263"/>
      <c r="AF89" s="263"/>
      <c r="AG89" s="263"/>
      <c r="AH89" s="263"/>
      <c r="AI89" s="265"/>
      <c r="AJ89" s="265"/>
      <c r="AK89" s="263"/>
      <c r="AL89" s="262"/>
      <c r="AM89" s="267"/>
      <c r="AN89" s="263"/>
      <c r="AO89" s="268"/>
      <c r="AP89" s="268"/>
      <c r="AQ89" s="268"/>
      <c r="AR89" s="268"/>
      <c r="AS89" s="268"/>
      <c r="AT89" s="268"/>
      <c r="AU89" s="269"/>
      <c r="AV89" s="267"/>
      <c r="AW89" s="263"/>
      <c r="AX89" s="263"/>
      <c r="AY89" s="263"/>
      <c r="AZ89" s="263"/>
      <c r="BA89" s="263"/>
      <c r="BB89" s="263"/>
      <c r="BC89" s="265"/>
      <c r="BD89" s="266"/>
      <c r="BE89" s="267"/>
      <c r="BF89" s="263"/>
      <c r="BG89" s="271"/>
      <c r="BH89" s="272"/>
      <c r="BI89" s="263"/>
      <c r="BJ89" s="271"/>
      <c r="BK89" s="272"/>
      <c r="BL89" s="263"/>
      <c r="BM89" s="266"/>
      <c r="BN89" s="273"/>
      <c r="BO89" s="250">
        <f t="shared" si="11"/>
        <v>0</v>
      </c>
    </row>
    <row r="90" spans="1:67" ht="25.5" customHeight="1" x14ac:dyDescent="0.2">
      <c r="A90" s="142">
        <f t="shared" si="12"/>
        <v>75</v>
      </c>
      <c r="B90" s="251"/>
      <c r="C90" s="252"/>
      <c r="D90" s="253"/>
      <c r="E90" s="254"/>
      <c r="F90" s="278"/>
      <c r="G90" s="256"/>
      <c r="H90" s="257"/>
      <c r="I90" s="231" t="str">
        <f t="shared" si="7"/>
        <v/>
      </c>
      <c r="J90" s="258">
        <f t="shared" si="8"/>
        <v>0</v>
      </c>
      <c r="K90" s="279"/>
      <c r="L90" s="260"/>
      <c r="M90" s="260"/>
      <c r="N90" s="235" t="str">
        <f t="shared" si="9"/>
        <v/>
      </c>
      <c r="O90" s="236" t="str">
        <f>IF('Data Set up'!$G$40="JUNE",IF(OR($N90=7,$N90=8,$N90=9),1,IF(OR($N90=10,$N90=11,$N90=12),2,IF(OR($N90=1,$N90=2,$N90=3),3,IF(OR($N90=4,$N90=5,$N90=6),4,"")))),IF(OR($N90=9,$N90=10,$N90=11),1,IF(OR($N90=12,$N90=1,$N90=2),2,IF(OR($N90=3,$N90=4,$N90=5),3,IF(OR($N90=6,$N90=7,$N90=8),4,"")))))</f>
        <v/>
      </c>
      <c r="P90" s="261"/>
      <c r="Q90" s="281"/>
      <c r="R90" s="268"/>
      <c r="S90" s="264">
        <f t="shared" si="10"/>
        <v>0</v>
      </c>
      <c r="T90" s="268"/>
      <c r="U90" s="268"/>
      <c r="V90" s="268"/>
      <c r="W90" s="268"/>
      <c r="X90" s="268"/>
      <c r="Y90" s="268"/>
      <c r="Z90" s="268"/>
      <c r="AA90" s="268"/>
      <c r="AB90" s="282"/>
      <c r="AC90" s="269"/>
      <c r="AD90" s="267"/>
      <c r="AE90" s="263"/>
      <c r="AF90" s="263"/>
      <c r="AG90" s="263"/>
      <c r="AH90" s="263"/>
      <c r="AI90" s="265"/>
      <c r="AJ90" s="265"/>
      <c r="AK90" s="263"/>
      <c r="AL90" s="262"/>
      <c r="AM90" s="267"/>
      <c r="AN90" s="263"/>
      <c r="AO90" s="268"/>
      <c r="AP90" s="268"/>
      <c r="AQ90" s="268"/>
      <c r="AR90" s="268"/>
      <c r="AS90" s="268"/>
      <c r="AT90" s="268"/>
      <c r="AU90" s="269"/>
      <c r="AV90" s="267"/>
      <c r="AW90" s="263"/>
      <c r="AX90" s="263"/>
      <c r="AY90" s="263"/>
      <c r="AZ90" s="263"/>
      <c r="BA90" s="263"/>
      <c r="BB90" s="263"/>
      <c r="BC90" s="265"/>
      <c r="BD90" s="266"/>
      <c r="BE90" s="267"/>
      <c r="BF90" s="263"/>
      <c r="BG90" s="271"/>
      <c r="BH90" s="272"/>
      <c r="BI90" s="263"/>
      <c r="BJ90" s="271"/>
      <c r="BK90" s="272"/>
      <c r="BL90" s="263"/>
      <c r="BM90" s="266"/>
      <c r="BN90" s="273"/>
      <c r="BO90" s="250">
        <f t="shared" si="11"/>
        <v>0</v>
      </c>
    </row>
    <row r="91" spans="1:67" ht="25.5" customHeight="1" x14ac:dyDescent="0.2">
      <c r="A91" s="142">
        <f t="shared" si="12"/>
        <v>76</v>
      </c>
      <c r="B91" s="251"/>
      <c r="C91" s="252"/>
      <c r="D91" s="253"/>
      <c r="E91" s="254"/>
      <c r="F91" s="278"/>
      <c r="G91" s="256"/>
      <c r="H91" s="257"/>
      <c r="I91" s="231" t="str">
        <f t="shared" si="7"/>
        <v/>
      </c>
      <c r="J91" s="258">
        <f t="shared" si="8"/>
        <v>0</v>
      </c>
      <c r="K91" s="279"/>
      <c r="L91" s="260"/>
      <c r="M91" s="260"/>
      <c r="N91" s="235" t="str">
        <f t="shared" si="9"/>
        <v/>
      </c>
      <c r="O91" s="236" t="str">
        <f>IF('Data Set up'!$G$40="JUNE",IF(OR($N91=7,$N91=8,$N91=9),1,IF(OR($N91=10,$N91=11,$N91=12),2,IF(OR($N91=1,$N91=2,$N91=3),3,IF(OR($N91=4,$N91=5,$N91=6),4,"")))),IF(OR($N91=9,$N91=10,$N91=11),1,IF(OR($N91=12,$N91=1,$N91=2),2,IF(OR($N91=3,$N91=4,$N91=5),3,IF(OR($N91=6,$N91=7,$N91=8),4,"")))))</f>
        <v/>
      </c>
      <c r="P91" s="261"/>
      <c r="Q91" s="281"/>
      <c r="R91" s="268"/>
      <c r="S91" s="264">
        <f t="shared" si="10"/>
        <v>0</v>
      </c>
      <c r="T91" s="268"/>
      <c r="U91" s="268"/>
      <c r="V91" s="268"/>
      <c r="W91" s="268"/>
      <c r="X91" s="268"/>
      <c r="Y91" s="268"/>
      <c r="Z91" s="268"/>
      <c r="AA91" s="268"/>
      <c r="AB91" s="282"/>
      <c r="AC91" s="269"/>
      <c r="AD91" s="267"/>
      <c r="AE91" s="263"/>
      <c r="AF91" s="263"/>
      <c r="AG91" s="263"/>
      <c r="AH91" s="263"/>
      <c r="AI91" s="265"/>
      <c r="AJ91" s="265"/>
      <c r="AK91" s="263"/>
      <c r="AL91" s="262"/>
      <c r="AM91" s="267"/>
      <c r="AN91" s="263"/>
      <c r="AO91" s="268"/>
      <c r="AP91" s="268"/>
      <c r="AQ91" s="268"/>
      <c r="AR91" s="268"/>
      <c r="AS91" s="268"/>
      <c r="AT91" s="268"/>
      <c r="AU91" s="269"/>
      <c r="AV91" s="267"/>
      <c r="AW91" s="263"/>
      <c r="AX91" s="263"/>
      <c r="AY91" s="263"/>
      <c r="AZ91" s="263"/>
      <c r="BA91" s="263"/>
      <c r="BB91" s="263"/>
      <c r="BC91" s="265"/>
      <c r="BD91" s="266"/>
      <c r="BE91" s="267"/>
      <c r="BF91" s="263"/>
      <c r="BG91" s="271"/>
      <c r="BH91" s="272"/>
      <c r="BI91" s="263"/>
      <c r="BJ91" s="271"/>
      <c r="BK91" s="272"/>
      <c r="BL91" s="263"/>
      <c r="BM91" s="266"/>
      <c r="BN91" s="273"/>
      <c r="BO91" s="250">
        <f t="shared" si="11"/>
        <v>0</v>
      </c>
    </row>
    <row r="92" spans="1:67" ht="25.5" customHeight="1" x14ac:dyDescent="0.2">
      <c r="A92" s="142">
        <f t="shared" si="12"/>
        <v>77</v>
      </c>
      <c r="B92" s="251"/>
      <c r="C92" s="252"/>
      <c r="D92" s="253"/>
      <c r="E92" s="254"/>
      <c r="F92" s="278"/>
      <c r="G92" s="256"/>
      <c r="H92" s="257"/>
      <c r="I92" s="231" t="str">
        <f t="shared" si="7"/>
        <v/>
      </c>
      <c r="J92" s="258">
        <f t="shared" si="8"/>
        <v>0</v>
      </c>
      <c r="K92" s="279"/>
      <c r="L92" s="260"/>
      <c r="M92" s="260"/>
      <c r="N92" s="235" t="str">
        <f t="shared" si="9"/>
        <v/>
      </c>
      <c r="O92" s="236" t="str">
        <f>IF('Data Set up'!$G$40="JUNE",IF(OR($N92=7,$N92=8,$N92=9),1,IF(OR($N92=10,$N92=11,$N92=12),2,IF(OR($N92=1,$N92=2,$N92=3),3,IF(OR($N92=4,$N92=5,$N92=6),4,"")))),IF(OR($N92=9,$N92=10,$N92=11),1,IF(OR($N92=12,$N92=1,$N92=2),2,IF(OR($N92=3,$N92=4,$N92=5),3,IF(OR($N92=6,$N92=7,$N92=8),4,"")))))</f>
        <v/>
      </c>
      <c r="P92" s="261"/>
      <c r="Q92" s="281"/>
      <c r="R92" s="268"/>
      <c r="S92" s="264">
        <f t="shared" si="10"/>
        <v>0</v>
      </c>
      <c r="T92" s="268"/>
      <c r="U92" s="268"/>
      <c r="V92" s="268"/>
      <c r="W92" s="268"/>
      <c r="X92" s="268"/>
      <c r="Y92" s="268"/>
      <c r="Z92" s="268"/>
      <c r="AA92" s="268"/>
      <c r="AB92" s="282"/>
      <c r="AC92" s="269"/>
      <c r="AD92" s="267"/>
      <c r="AE92" s="263"/>
      <c r="AF92" s="263"/>
      <c r="AG92" s="263"/>
      <c r="AH92" s="263"/>
      <c r="AI92" s="265"/>
      <c r="AJ92" s="265"/>
      <c r="AK92" s="263"/>
      <c r="AL92" s="262"/>
      <c r="AM92" s="267"/>
      <c r="AN92" s="263"/>
      <c r="AO92" s="268"/>
      <c r="AP92" s="268"/>
      <c r="AQ92" s="268"/>
      <c r="AR92" s="268"/>
      <c r="AS92" s="268"/>
      <c r="AT92" s="268"/>
      <c r="AU92" s="269"/>
      <c r="AV92" s="267"/>
      <c r="AW92" s="263"/>
      <c r="AX92" s="263"/>
      <c r="AY92" s="263"/>
      <c r="AZ92" s="263"/>
      <c r="BA92" s="263"/>
      <c r="BB92" s="263"/>
      <c r="BC92" s="265"/>
      <c r="BD92" s="266"/>
      <c r="BE92" s="267"/>
      <c r="BF92" s="263"/>
      <c r="BG92" s="271"/>
      <c r="BH92" s="272"/>
      <c r="BI92" s="263"/>
      <c r="BJ92" s="271"/>
      <c r="BK92" s="272"/>
      <c r="BL92" s="263"/>
      <c r="BM92" s="266"/>
      <c r="BN92" s="273"/>
      <c r="BO92" s="250">
        <f t="shared" si="11"/>
        <v>0</v>
      </c>
    </row>
    <row r="93" spans="1:67" ht="25.5" customHeight="1" x14ac:dyDescent="0.2">
      <c r="A93" s="142">
        <f t="shared" si="12"/>
        <v>78</v>
      </c>
      <c r="B93" s="251"/>
      <c r="C93" s="252"/>
      <c r="D93" s="253"/>
      <c r="E93" s="254"/>
      <c r="F93" s="278"/>
      <c r="G93" s="256"/>
      <c r="H93" s="257"/>
      <c r="I93" s="231" t="str">
        <f t="shared" si="7"/>
        <v/>
      </c>
      <c r="J93" s="258">
        <f t="shared" si="8"/>
        <v>0</v>
      </c>
      <c r="K93" s="279"/>
      <c r="L93" s="260"/>
      <c r="M93" s="260"/>
      <c r="N93" s="235" t="str">
        <f t="shared" si="9"/>
        <v/>
      </c>
      <c r="O93" s="236" t="str">
        <f>IF('Data Set up'!$G$40="JUNE",IF(OR($N93=7,$N93=8,$N93=9),1,IF(OR($N93=10,$N93=11,$N93=12),2,IF(OR($N93=1,$N93=2,$N93=3),3,IF(OR($N93=4,$N93=5,$N93=6),4,"")))),IF(OR($N93=9,$N93=10,$N93=11),1,IF(OR($N93=12,$N93=1,$N93=2),2,IF(OR($N93=3,$N93=4,$N93=5),3,IF(OR($N93=6,$N93=7,$N93=8),4,"")))))</f>
        <v/>
      </c>
      <c r="P93" s="261"/>
      <c r="Q93" s="281"/>
      <c r="R93" s="268"/>
      <c r="S93" s="264">
        <f t="shared" si="10"/>
        <v>0</v>
      </c>
      <c r="T93" s="268"/>
      <c r="U93" s="268"/>
      <c r="V93" s="268"/>
      <c r="W93" s="268"/>
      <c r="X93" s="268"/>
      <c r="Y93" s="268"/>
      <c r="Z93" s="268"/>
      <c r="AA93" s="268"/>
      <c r="AB93" s="282"/>
      <c r="AC93" s="269"/>
      <c r="AD93" s="267"/>
      <c r="AE93" s="263"/>
      <c r="AF93" s="263"/>
      <c r="AG93" s="263"/>
      <c r="AH93" s="263"/>
      <c r="AI93" s="265"/>
      <c r="AJ93" s="265"/>
      <c r="AK93" s="263"/>
      <c r="AL93" s="262"/>
      <c r="AM93" s="267"/>
      <c r="AN93" s="263"/>
      <c r="AO93" s="268"/>
      <c r="AP93" s="268"/>
      <c r="AQ93" s="268"/>
      <c r="AR93" s="268"/>
      <c r="AS93" s="268"/>
      <c r="AT93" s="268"/>
      <c r="AU93" s="269"/>
      <c r="AV93" s="267"/>
      <c r="AW93" s="263"/>
      <c r="AX93" s="263"/>
      <c r="AY93" s="263"/>
      <c r="AZ93" s="263"/>
      <c r="BA93" s="263"/>
      <c r="BB93" s="263"/>
      <c r="BC93" s="265"/>
      <c r="BD93" s="266"/>
      <c r="BE93" s="267"/>
      <c r="BF93" s="263"/>
      <c r="BG93" s="271"/>
      <c r="BH93" s="272"/>
      <c r="BI93" s="263"/>
      <c r="BJ93" s="271"/>
      <c r="BK93" s="272"/>
      <c r="BL93" s="263"/>
      <c r="BM93" s="266"/>
      <c r="BN93" s="273"/>
      <c r="BO93" s="250">
        <f t="shared" si="11"/>
        <v>0</v>
      </c>
    </row>
    <row r="94" spans="1:67" ht="25.5" customHeight="1" x14ac:dyDescent="0.2">
      <c r="A94" s="142">
        <f t="shared" si="12"/>
        <v>79</v>
      </c>
      <c r="B94" s="251"/>
      <c r="C94" s="252"/>
      <c r="D94" s="253"/>
      <c r="E94" s="254"/>
      <c r="F94" s="278"/>
      <c r="G94" s="256"/>
      <c r="H94" s="257"/>
      <c r="I94" s="231" t="str">
        <f t="shared" si="7"/>
        <v/>
      </c>
      <c r="J94" s="258">
        <f t="shared" si="8"/>
        <v>0</v>
      </c>
      <c r="K94" s="279"/>
      <c r="L94" s="260"/>
      <c r="M94" s="260"/>
      <c r="N94" s="235" t="str">
        <f t="shared" si="9"/>
        <v/>
      </c>
      <c r="O94" s="236" t="str">
        <f>IF('Data Set up'!$G$40="JUNE",IF(OR($N94=7,$N94=8,$N94=9),1,IF(OR($N94=10,$N94=11,$N94=12),2,IF(OR($N94=1,$N94=2,$N94=3),3,IF(OR($N94=4,$N94=5,$N94=6),4,"")))),IF(OR($N94=9,$N94=10,$N94=11),1,IF(OR($N94=12,$N94=1,$N94=2),2,IF(OR($N94=3,$N94=4,$N94=5),3,IF(OR($N94=6,$N94=7,$N94=8),4,"")))))</f>
        <v/>
      </c>
      <c r="P94" s="261"/>
      <c r="Q94" s="281"/>
      <c r="R94" s="268"/>
      <c r="S94" s="264">
        <f t="shared" si="10"/>
        <v>0</v>
      </c>
      <c r="T94" s="268"/>
      <c r="U94" s="268"/>
      <c r="V94" s="268"/>
      <c r="W94" s="268"/>
      <c r="X94" s="268"/>
      <c r="Y94" s="268"/>
      <c r="Z94" s="268"/>
      <c r="AA94" s="268"/>
      <c r="AB94" s="282"/>
      <c r="AC94" s="269"/>
      <c r="AD94" s="267"/>
      <c r="AE94" s="263"/>
      <c r="AF94" s="263"/>
      <c r="AG94" s="263"/>
      <c r="AH94" s="263"/>
      <c r="AI94" s="265"/>
      <c r="AJ94" s="265"/>
      <c r="AK94" s="263"/>
      <c r="AL94" s="262"/>
      <c r="AM94" s="267"/>
      <c r="AN94" s="263"/>
      <c r="AO94" s="268"/>
      <c r="AP94" s="268"/>
      <c r="AQ94" s="268"/>
      <c r="AR94" s="268"/>
      <c r="AS94" s="268"/>
      <c r="AT94" s="268"/>
      <c r="AU94" s="269"/>
      <c r="AV94" s="267"/>
      <c r="AW94" s="263"/>
      <c r="AX94" s="263"/>
      <c r="AY94" s="263"/>
      <c r="AZ94" s="263"/>
      <c r="BA94" s="263"/>
      <c r="BB94" s="263"/>
      <c r="BC94" s="265"/>
      <c r="BD94" s="266"/>
      <c r="BE94" s="267"/>
      <c r="BF94" s="263"/>
      <c r="BG94" s="271"/>
      <c r="BH94" s="272"/>
      <c r="BI94" s="263"/>
      <c r="BJ94" s="271"/>
      <c r="BK94" s="272"/>
      <c r="BL94" s="263"/>
      <c r="BM94" s="266"/>
      <c r="BN94" s="273"/>
      <c r="BO94" s="250">
        <f t="shared" si="11"/>
        <v>0</v>
      </c>
    </row>
    <row r="95" spans="1:67" ht="25.5" customHeight="1" x14ac:dyDescent="0.2">
      <c r="A95" s="142">
        <f t="shared" si="12"/>
        <v>80</v>
      </c>
      <c r="B95" s="251"/>
      <c r="C95" s="252"/>
      <c r="D95" s="253"/>
      <c r="E95" s="254"/>
      <c r="F95" s="278"/>
      <c r="G95" s="256"/>
      <c r="H95" s="257"/>
      <c r="I95" s="231" t="str">
        <f t="shared" si="7"/>
        <v/>
      </c>
      <c r="J95" s="258">
        <f t="shared" si="8"/>
        <v>0</v>
      </c>
      <c r="K95" s="279"/>
      <c r="L95" s="260"/>
      <c r="M95" s="260"/>
      <c r="N95" s="235" t="str">
        <f t="shared" si="9"/>
        <v/>
      </c>
      <c r="O95" s="236" t="str">
        <f>IF('Data Set up'!$G$40="JUNE",IF(OR($N95=7,$N95=8,$N95=9),1,IF(OR($N95=10,$N95=11,$N95=12),2,IF(OR($N95=1,$N95=2,$N95=3),3,IF(OR($N95=4,$N95=5,$N95=6),4,"")))),IF(OR($N95=9,$N95=10,$N95=11),1,IF(OR($N95=12,$N95=1,$N95=2),2,IF(OR($N95=3,$N95=4,$N95=5),3,IF(OR($N95=6,$N95=7,$N95=8),4,"")))))</f>
        <v/>
      </c>
      <c r="P95" s="261"/>
      <c r="Q95" s="281"/>
      <c r="R95" s="268"/>
      <c r="S95" s="264">
        <f t="shared" si="10"/>
        <v>0</v>
      </c>
      <c r="T95" s="268"/>
      <c r="U95" s="268"/>
      <c r="V95" s="268"/>
      <c r="W95" s="268"/>
      <c r="X95" s="268"/>
      <c r="Y95" s="268"/>
      <c r="Z95" s="268"/>
      <c r="AA95" s="268"/>
      <c r="AB95" s="282"/>
      <c r="AC95" s="269"/>
      <c r="AD95" s="267"/>
      <c r="AE95" s="263"/>
      <c r="AF95" s="263"/>
      <c r="AG95" s="263"/>
      <c r="AH95" s="263"/>
      <c r="AI95" s="265"/>
      <c r="AJ95" s="265"/>
      <c r="AK95" s="263"/>
      <c r="AL95" s="262"/>
      <c r="AM95" s="267"/>
      <c r="AN95" s="263"/>
      <c r="AO95" s="268"/>
      <c r="AP95" s="268"/>
      <c r="AQ95" s="268"/>
      <c r="AR95" s="268"/>
      <c r="AS95" s="268"/>
      <c r="AT95" s="268"/>
      <c r="AU95" s="269"/>
      <c r="AV95" s="267"/>
      <c r="AW95" s="263"/>
      <c r="AX95" s="263"/>
      <c r="AY95" s="263"/>
      <c r="AZ95" s="263"/>
      <c r="BA95" s="263"/>
      <c r="BB95" s="263"/>
      <c r="BC95" s="265"/>
      <c r="BD95" s="266"/>
      <c r="BE95" s="267"/>
      <c r="BF95" s="263"/>
      <c r="BG95" s="271"/>
      <c r="BH95" s="272"/>
      <c r="BI95" s="263"/>
      <c r="BJ95" s="271"/>
      <c r="BK95" s="272"/>
      <c r="BL95" s="263"/>
      <c r="BM95" s="266"/>
      <c r="BN95" s="273"/>
      <c r="BO95" s="250">
        <f t="shared" si="11"/>
        <v>0</v>
      </c>
    </row>
    <row r="96" spans="1:67" ht="25.5" customHeight="1" x14ac:dyDescent="0.2">
      <c r="A96" s="142">
        <f t="shared" si="12"/>
        <v>81</v>
      </c>
      <c r="B96" s="251"/>
      <c r="C96" s="252"/>
      <c r="D96" s="253"/>
      <c r="E96" s="254"/>
      <c r="F96" s="278"/>
      <c r="G96" s="256"/>
      <c r="H96" s="257"/>
      <c r="I96" s="231" t="str">
        <f t="shared" si="7"/>
        <v/>
      </c>
      <c r="J96" s="258">
        <f t="shared" si="8"/>
        <v>0</v>
      </c>
      <c r="K96" s="279"/>
      <c r="L96" s="260"/>
      <c r="M96" s="260"/>
      <c r="N96" s="235" t="str">
        <f t="shared" si="9"/>
        <v/>
      </c>
      <c r="O96" s="236" t="str">
        <f>IF('Data Set up'!$G$40="JUNE",IF(OR($N96=7,$N96=8,$N96=9),1,IF(OR($N96=10,$N96=11,$N96=12),2,IF(OR($N96=1,$N96=2,$N96=3),3,IF(OR($N96=4,$N96=5,$N96=6),4,"")))),IF(OR($N96=9,$N96=10,$N96=11),1,IF(OR($N96=12,$N96=1,$N96=2),2,IF(OR($N96=3,$N96=4,$N96=5),3,IF(OR($N96=6,$N96=7,$N96=8),4,"")))))</f>
        <v/>
      </c>
      <c r="P96" s="261"/>
      <c r="Q96" s="281"/>
      <c r="R96" s="268"/>
      <c r="S96" s="264">
        <f t="shared" si="10"/>
        <v>0</v>
      </c>
      <c r="T96" s="268"/>
      <c r="U96" s="268"/>
      <c r="V96" s="268"/>
      <c r="W96" s="268"/>
      <c r="X96" s="268"/>
      <c r="Y96" s="268"/>
      <c r="Z96" s="268"/>
      <c r="AA96" s="268"/>
      <c r="AB96" s="282"/>
      <c r="AC96" s="269"/>
      <c r="AD96" s="267"/>
      <c r="AE96" s="263"/>
      <c r="AF96" s="263"/>
      <c r="AG96" s="263"/>
      <c r="AH96" s="263"/>
      <c r="AI96" s="265"/>
      <c r="AJ96" s="265"/>
      <c r="AK96" s="263"/>
      <c r="AL96" s="262"/>
      <c r="AM96" s="267"/>
      <c r="AN96" s="263"/>
      <c r="AO96" s="268"/>
      <c r="AP96" s="268"/>
      <c r="AQ96" s="268"/>
      <c r="AR96" s="268"/>
      <c r="AS96" s="268"/>
      <c r="AT96" s="268"/>
      <c r="AU96" s="269"/>
      <c r="AV96" s="267"/>
      <c r="AW96" s="263"/>
      <c r="AX96" s="263"/>
      <c r="AY96" s="263"/>
      <c r="AZ96" s="263"/>
      <c r="BA96" s="263"/>
      <c r="BB96" s="263"/>
      <c r="BC96" s="265"/>
      <c r="BD96" s="266"/>
      <c r="BE96" s="267"/>
      <c r="BF96" s="263"/>
      <c r="BG96" s="271"/>
      <c r="BH96" s="272"/>
      <c r="BI96" s="263"/>
      <c r="BJ96" s="271"/>
      <c r="BK96" s="272"/>
      <c r="BL96" s="263"/>
      <c r="BM96" s="266"/>
      <c r="BN96" s="273"/>
      <c r="BO96" s="250">
        <f t="shared" si="11"/>
        <v>0</v>
      </c>
    </row>
    <row r="97" spans="1:67" ht="25.5" customHeight="1" x14ac:dyDescent="0.2">
      <c r="A97" s="142">
        <f t="shared" si="12"/>
        <v>82</v>
      </c>
      <c r="B97" s="251"/>
      <c r="C97" s="252"/>
      <c r="D97" s="253"/>
      <c r="E97" s="254"/>
      <c r="F97" s="278"/>
      <c r="G97" s="256"/>
      <c r="H97" s="257"/>
      <c r="I97" s="231" t="str">
        <f t="shared" si="7"/>
        <v/>
      </c>
      <c r="J97" s="258">
        <f t="shared" si="8"/>
        <v>0</v>
      </c>
      <c r="K97" s="279"/>
      <c r="L97" s="260"/>
      <c r="M97" s="260"/>
      <c r="N97" s="235" t="str">
        <f t="shared" si="9"/>
        <v/>
      </c>
      <c r="O97" s="236" t="str">
        <f>IF('Data Set up'!$G$40="JUNE",IF(OR($N97=7,$N97=8,$N97=9),1,IF(OR($N97=10,$N97=11,$N97=12),2,IF(OR($N97=1,$N97=2,$N97=3),3,IF(OR($N97=4,$N97=5,$N97=6),4,"")))),IF(OR($N97=9,$N97=10,$N97=11),1,IF(OR($N97=12,$N97=1,$N97=2),2,IF(OR($N97=3,$N97=4,$N97=5),3,IF(OR($N97=6,$N97=7,$N97=8),4,"")))))</f>
        <v/>
      </c>
      <c r="P97" s="261"/>
      <c r="Q97" s="281"/>
      <c r="R97" s="268"/>
      <c r="S97" s="264">
        <f t="shared" si="10"/>
        <v>0</v>
      </c>
      <c r="T97" s="268"/>
      <c r="U97" s="268"/>
      <c r="V97" s="268"/>
      <c r="W97" s="268"/>
      <c r="X97" s="268"/>
      <c r="Y97" s="268"/>
      <c r="Z97" s="268"/>
      <c r="AA97" s="268"/>
      <c r="AB97" s="282"/>
      <c r="AC97" s="269"/>
      <c r="AD97" s="267"/>
      <c r="AE97" s="263"/>
      <c r="AF97" s="263"/>
      <c r="AG97" s="263"/>
      <c r="AH97" s="263"/>
      <c r="AI97" s="265"/>
      <c r="AJ97" s="265"/>
      <c r="AK97" s="263"/>
      <c r="AL97" s="262"/>
      <c r="AM97" s="267"/>
      <c r="AN97" s="263"/>
      <c r="AO97" s="268"/>
      <c r="AP97" s="268"/>
      <c r="AQ97" s="268"/>
      <c r="AR97" s="268"/>
      <c r="AS97" s="268"/>
      <c r="AT97" s="268"/>
      <c r="AU97" s="269"/>
      <c r="AV97" s="267"/>
      <c r="AW97" s="263"/>
      <c r="AX97" s="263"/>
      <c r="AY97" s="263"/>
      <c r="AZ97" s="263"/>
      <c r="BA97" s="263"/>
      <c r="BB97" s="263"/>
      <c r="BC97" s="265"/>
      <c r="BD97" s="266"/>
      <c r="BE97" s="267"/>
      <c r="BF97" s="263"/>
      <c r="BG97" s="271"/>
      <c r="BH97" s="272"/>
      <c r="BI97" s="263"/>
      <c r="BJ97" s="271"/>
      <c r="BK97" s="272"/>
      <c r="BL97" s="263"/>
      <c r="BM97" s="266"/>
      <c r="BN97" s="273"/>
      <c r="BO97" s="250">
        <f t="shared" si="11"/>
        <v>0</v>
      </c>
    </row>
    <row r="98" spans="1:67" ht="25.5" customHeight="1" x14ac:dyDescent="0.2">
      <c r="A98" s="142">
        <f t="shared" si="12"/>
        <v>83</v>
      </c>
      <c r="B98" s="251"/>
      <c r="C98" s="252"/>
      <c r="D98" s="253"/>
      <c r="E98" s="254"/>
      <c r="F98" s="278"/>
      <c r="G98" s="256"/>
      <c r="H98" s="257"/>
      <c r="I98" s="231" t="str">
        <f t="shared" si="7"/>
        <v/>
      </c>
      <c r="J98" s="258">
        <f t="shared" si="8"/>
        <v>0</v>
      </c>
      <c r="K98" s="279"/>
      <c r="L98" s="260"/>
      <c r="M98" s="260"/>
      <c r="N98" s="235" t="str">
        <f t="shared" si="9"/>
        <v/>
      </c>
      <c r="O98" s="236" t="str">
        <f>IF('Data Set up'!$G$40="JUNE",IF(OR($N98=7,$N98=8,$N98=9),1,IF(OR($N98=10,$N98=11,$N98=12),2,IF(OR($N98=1,$N98=2,$N98=3),3,IF(OR($N98=4,$N98=5,$N98=6),4,"")))),IF(OR($N98=9,$N98=10,$N98=11),1,IF(OR($N98=12,$N98=1,$N98=2),2,IF(OR($N98=3,$N98=4,$N98=5),3,IF(OR($N98=6,$N98=7,$N98=8),4,"")))))</f>
        <v/>
      </c>
      <c r="P98" s="261"/>
      <c r="Q98" s="281"/>
      <c r="R98" s="268"/>
      <c r="S98" s="264">
        <f t="shared" si="10"/>
        <v>0</v>
      </c>
      <c r="T98" s="268"/>
      <c r="U98" s="268"/>
      <c r="V98" s="268"/>
      <c r="W98" s="268"/>
      <c r="X98" s="268"/>
      <c r="Y98" s="268"/>
      <c r="Z98" s="268"/>
      <c r="AA98" s="268"/>
      <c r="AB98" s="282"/>
      <c r="AC98" s="269"/>
      <c r="AD98" s="267"/>
      <c r="AE98" s="263"/>
      <c r="AF98" s="263"/>
      <c r="AG98" s="263"/>
      <c r="AH98" s="263"/>
      <c r="AI98" s="265"/>
      <c r="AJ98" s="265"/>
      <c r="AK98" s="263"/>
      <c r="AL98" s="262"/>
      <c r="AM98" s="267"/>
      <c r="AN98" s="263"/>
      <c r="AO98" s="268"/>
      <c r="AP98" s="268"/>
      <c r="AQ98" s="268"/>
      <c r="AR98" s="268"/>
      <c r="AS98" s="268"/>
      <c r="AT98" s="268"/>
      <c r="AU98" s="269"/>
      <c r="AV98" s="267"/>
      <c r="AW98" s="263"/>
      <c r="AX98" s="263"/>
      <c r="AY98" s="263"/>
      <c r="AZ98" s="263"/>
      <c r="BA98" s="263"/>
      <c r="BB98" s="263"/>
      <c r="BC98" s="265"/>
      <c r="BD98" s="266"/>
      <c r="BE98" s="267"/>
      <c r="BF98" s="263"/>
      <c r="BG98" s="271"/>
      <c r="BH98" s="272"/>
      <c r="BI98" s="263"/>
      <c r="BJ98" s="271"/>
      <c r="BK98" s="272"/>
      <c r="BL98" s="263"/>
      <c r="BM98" s="266"/>
      <c r="BN98" s="273"/>
      <c r="BO98" s="250">
        <f t="shared" si="11"/>
        <v>0</v>
      </c>
    </row>
    <row r="99" spans="1:67" ht="25.5" customHeight="1" x14ac:dyDescent="0.2">
      <c r="A99" s="142">
        <f t="shared" si="12"/>
        <v>84</v>
      </c>
      <c r="B99" s="251"/>
      <c r="C99" s="252"/>
      <c r="D99" s="253"/>
      <c r="E99" s="254"/>
      <c r="F99" s="274"/>
      <c r="G99" s="256"/>
      <c r="H99" s="257"/>
      <c r="I99" s="231" t="str">
        <f t="shared" si="7"/>
        <v/>
      </c>
      <c r="J99" s="258">
        <f t="shared" si="8"/>
        <v>0</v>
      </c>
      <c r="K99" s="279"/>
      <c r="L99" s="260"/>
      <c r="M99" s="260"/>
      <c r="N99" s="235" t="str">
        <f t="shared" si="9"/>
        <v/>
      </c>
      <c r="O99" s="236" t="str">
        <f>IF('Data Set up'!$G$40="JUNE",IF(OR($N99=7,$N99=8,$N99=9),1,IF(OR($N99=10,$N99=11,$N99=12),2,IF(OR($N99=1,$N99=2,$N99=3),3,IF(OR($N99=4,$N99=5,$N99=6),4,"")))),IF(OR($N99=9,$N99=10,$N99=11),1,IF(OR($N99=12,$N99=1,$N99=2),2,IF(OR($N99=3,$N99=4,$N99=5),3,IF(OR($N99=6,$N99=7,$N99=8),4,"")))))</f>
        <v/>
      </c>
      <c r="P99" s="261"/>
      <c r="Q99" s="281"/>
      <c r="R99" s="268"/>
      <c r="S99" s="264">
        <f t="shared" si="10"/>
        <v>0</v>
      </c>
      <c r="T99" s="268"/>
      <c r="U99" s="268"/>
      <c r="V99" s="268"/>
      <c r="W99" s="268"/>
      <c r="X99" s="268"/>
      <c r="Y99" s="268"/>
      <c r="Z99" s="268"/>
      <c r="AA99" s="268"/>
      <c r="AB99" s="282"/>
      <c r="AC99" s="269"/>
      <c r="AD99" s="267"/>
      <c r="AE99" s="263"/>
      <c r="AF99" s="263"/>
      <c r="AG99" s="263"/>
      <c r="AH99" s="263"/>
      <c r="AI99" s="265"/>
      <c r="AJ99" s="265"/>
      <c r="AK99" s="263"/>
      <c r="AL99" s="262"/>
      <c r="AM99" s="267"/>
      <c r="AN99" s="263"/>
      <c r="AO99" s="268"/>
      <c r="AP99" s="268"/>
      <c r="AQ99" s="268"/>
      <c r="AR99" s="268"/>
      <c r="AS99" s="268"/>
      <c r="AT99" s="268"/>
      <c r="AU99" s="269"/>
      <c r="AV99" s="267"/>
      <c r="AW99" s="263"/>
      <c r="AX99" s="263"/>
      <c r="AY99" s="263"/>
      <c r="AZ99" s="263"/>
      <c r="BA99" s="263"/>
      <c r="BB99" s="263"/>
      <c r="BC99" s="265"/>
      <c r="BD99" s="266"/>
      <c r="BE99" s="267"/>
      <c r="BF99" s="263"/>
      <c r="BG99" s="271"/>
      <c r="BH99" s="272"/>
      <c r="BI99" s="263"/>
      <c r="BJ99" s="271"/>
      <c r="BK99" s="272"/>
      <c r="BL99" s="263"/>
      <c r="BM99" s="266"/>
      <c r="BN99" s="273"/>
      <c r="BO99" s="250">
        <f t="shared" si="11"/>
        <v>0</v>
      </c>
    </row>
    <row r="100" spans="1:67" ht="25.5" customHeight="1" x14ac:dyDescent="0.2">
      <c r="A100" s="142">
        <f t="shared" si="12"/>
        <v>85</v>
      </c>
      <c r="B100" s="251"/>
      <c r="C100" s="252"/>
      <c r="D100" s="253"/>
      <c r="E100" s="254"/>
      <c r="F100" s="278"/>
      <c r="G100" s="256"/>
      <c r="H100" s="257"/>
      <c r="I100" s="231" t="str">
        <f t="shared" si="7"/>
        <v/>
      </c>
      <c r="J100" s="258">
        <f t="shared" si="8"/>
        <v>0</v>
      </c>
      <c r="K100" s="279"/>
      <c r="L100" s="260"/>
      <c r="M100" s="260"/>
      <c r="N100" s="235" t="str">
        <f t="shared" si="9"/>
        <v/>
      </c>
      <c r="O100" s="236" t="str">
        <f>IF('Data Set up'!$G$40="JUNE",IF(OR($N100=7,$N100=8,$N100=9),1,IF(OR($N100=10,$N100=11,$N100=12),2,IF(OR($N100=1,$N100=2,$N100=3),3,IF(OR($N100=4,$N100=5,$N100=6),4,"")))),IF(OR($N100=9,$N100=10,$N100=11),1,IF(OR($N100=12,$N100=1,$N100=2),2,IF(OR($N100=3,$N100=4,$N100=5),3,IF(OR($N100=6,$N100=7,$N100=8),4,"")))))</f>
        <v/>
      </c>
      <c r="P100" s="261"/>
      <c r="Q100" s="281"/>
      <c r="R100" s="268"/>
      <c r="S100" s="264">
        <f t="shared" si="10"/>
        <v>0</v>
      </c>
      <c r="T100" s="268"/>
      <c r="U100" s="268"/>
      <c r="V100" s="268"/>
      <c r="W100" s="268"/>
      <c r="X100" s="268"/>
      <c r="Y100" s="268"/>
      <c r="Z100" s="268"/>
      <c r="AA100" s="268"/>
      <c r="AB100" s="282"/>
      <c r="AC100" s="269"/>
      <c r="AD100" s="267"/>
      <c r="AE100" s="263"/>
      <c r="AF100" s="263"/>
      <c r="AG100" s="263"/>
      <c r="AH100" s="263"/>
      <c r="AI100" s="265"/>
      <c r="AJ100" s="265"/>
      <c r="AK100" s="263"/>
      <c r="AL100" s="262"/>
      <c r="AM100" s="267"/>
      <c r="AN100" s="263"/>
      <c r="AO100" s="268"/>
      <c r="AP100" s="268"/>
      <c r="AQ100" s="268"/>
      <c r="AR100" s="268"/>
      <c r="AS100" s="268"/>
      <c r="AT100" s="268"/>
      <c r="AU100" s="269"/>
      <c r="AV100" s="267"/>
      <c r="AW100" s="263"/>
      <c r="AX100" s="263"/>
      <c r="AY100" s="263"/>
      <c r="AZ100" s="263"/>
      <c r="BA100" s="263"/>
      <c r="BB100" s="263"/>
      <c r="BC100" s="265"/>
      <c r="BD100" s="266"/>
      <c r="BE100" s="267"/>
      <c r="BF100" s="263"/>
      <c r="BG100" s="271"/>
      <c r="BH100" s="272"/>
      <c r="BI100" s="263"/>
      <c r="BJ100" s="271"/>
      <c r="BK100" s="272"/>
      <c r="BL100" s="263"/>
      <c r="BM100" s="266"/>
      <c r="BN100" s="273"/>
      <c r="BO100" s="250">
        <f t="shared" si="11"/>
        <v>0</v>
      </c>
    </row>
    <row r="101" spans="1:67" ht="25.5" customHeight="1" x14ac:dyDescent="0.2">
      <c r="A101" s="142">
        <f t="shared" si="12"/>
        <v>86</v>
      </c>
      <c r="B101" s="251"/>
      <c r="C101" s="252"/>
      <c r="D101" s="253"/>
      <c r="E101" s="254"/>
      <c r="F101" s="274"/>
      <c r="G101" s="256"/>
      <c r="H101" s="257"/>
      <c r="I101" s="231" t="str">
        <f t="shared" si="7"/>
        <v/>
      </c>
      <c r="J101" s="258">
        <f t="shared" si="8"/>
        <v>0</v>
      </c>
      <c r="K101" s="279"/>
      <c r="L101" s="260"/>
      <c r="M101" s="260"/>
      <c r="N101" s="235" t="str">
        <f t="shared" si="9"/>
        <v/>
      </c>
      <c r="O101" s="236" t="str">
        <f>IF('Data Set up'!$G$40="JUNE",IF(OR($N101=7,$N101=8,$N101=9),1,IF(OR($N101=10,$N101=11,$N101=12),2,IF(OR($N101=1,$N101=2,$N101=3),3,IF(OR($N101=4,$N101=5,$N101=6),4,"")))),IF(OR($N101=9,$N101=10,$N101=11),1,IF(OR($N101=12,$N101=1,$N101=2),2,IF(OR($N101=3,$N101=4,$N101=5),3,IF(OR($N101=6,$N101=7,$N101=8),4,"")))))</f>
        <v/>
      </c>
      <c r="P101" s="261"/>
      <c r="Q101" s="281"/>
      <c r="R101" s="268"/>
      <c r="S101" s="264">
        <f t="shared" si="10"/>
        <v>0</v>
      </c>
      <c r="T101" s="268"/>
      <c r="U101" s="268"/>
      <c r="V101" s="268"/>
      <c r="W101" s="268"/>
      <c r="X101" s="268"/>
      <c r="Y101" s="268"/>
      <c r="Z101" s="268"/>
      <c r="AA101" s="268"/>
      <c r="AB101" s="282"/>
      <c r="AC101" s="269"/>
      <c r="AD101" s="267"/>
      <c r="AE101" s="263"/>
      <c r="AF101" s="263"/>
      <c r="AG101" s="263"/>
      <c r="AH101" s="263"/>
      <c r="AI101" s="265"/>
      <c r="AJ101" s="265"/>
      <c r="AK101" s="263"/>
      <c r="AL101" s="262"/>
      <c r="AM101" s="267"/>
      <c r="AN101" s="263"/>
      <c r="AO101" s="268"/>
      <c r="AP101" s="268"/>
      <c r="AQ101" s="268"/>
      <c r="AR101" s="268"/>
      <c r="AS101" s="268"/>
      <c r="AT101" s="268"/>
      <c r="AU101" s="269"/>
      <c r="AV101" s="267"/>
      <c r="AW101" s="263"/>
      <c r="AX101" s="263"/>
      <c r="AY101" s="263"/>
      <c r="AZ101" s="263"/>
      <c r="BA101" s="263"/>
      <c r="BB101" s="263"/>
      <c r="BC101" s="265"/>
      <c r="BD101" s="266"/>
      <c r="BE101" s="267"/>
      <c r="BF101" s="263"/>
      <c r="BG101" s="271"/>
      <c r="BH101" s="272"/>
      <c r="BI101" s="263"/>
      <c r="BJ101" s="271"/>
      <c r="BK101" s="272"/>
      <c r="BL101" s="263"/>
      <c r="BM101" s="266"/>
      <c r="BN101" s="273"/>
      <c r="BO101" s="250">
        <f t="shared" si="11"/>
        <v>0</v>
      </c>
    </row>
    <row r="102" spans="1:67" ht="25.5" customHeight="1" x14ac:dyDescent="0.2">
      <c r="A102" s="142">
        <f t="shared" si="12"/>
        <v>87</v>
      </c>
      <c r="B102" s="251"/>
      <c r="C102" s="252"/>
      <c r="D102" s="253"/>
      <c r="E102" s="254"/>
      <c r="F102" s="274"/>
      <c r="G102" s="256"/>
      <c r="H102" s="257"/>
      <c r="I102" s="231" t="str">
        <f t="shared" si="7"/>
        <v/>
      </c>
      <c r="J102" s="258">
        <f t="shared" si="8"/>
        <v>0</v>
      </c>
      <c r="K102" s="279"/>
      <c r="L102" s="260"/>
      <c r="M102" s="260"/>
      <c r="N102" s="235" t="str">
        <f t="shared" si="9"/>
        <v/>
      </c>
      <c r="O102" s="236" t="str">
        <f>IF('Data Set up'!$G$40="JUNE",IF(OR($N102=7,$N102=8,$N102=9),1,IF(OR($N102=10,$N102=11,$N102=12),2,IF(OR($N102=1,$N102=2,$N102=3),3,IF(OR($N102=4,$N102=5,$N102=6),4,"")))),IF(OR($N102=9,$N102=10,$N102=11),1,IF(OR($N102=12,$N102=1,$N102=2),2,IF(OR($N102=3,$N102=4,$N102=5),3,IF(OR($N102=6,$N102=7,$N102=8),4,"")))))</f>
        <v/>
      </c>
      <c r="P102" s="261"/>
      <c r="Q102" s="281"/>
      <c r="R102" s="268"/>
      <c r="S102" s="264">
        <f t="shared" si="10"/>
        <v>0</v>
      </c>
      <c r="T102" s="268"/>
      <c r="U102" s="268"/>
      <c r="V102" s="268"/>
      <c r="W102" s="268"/>
      <c r="X102" s="268"/>
      <c r="Y102" s="268"/>
      <c r="Z102" s="268"/>
      <c r="AA102" s="268"/>
      <c r="AB102" s="282"/>
      <c r="AC102" s="269"/>
      <c r="AD102" s="267"/>
      <c r="AE102" s="263"/>
      <c r="AF102" s="263"/>
      <c r="AG102" s="263"/>
      <c r="AH102" s="263"/>
      <c r="AI102" s="265"/>
      <c r="AJ102" s="265"/>
      <c r="AK102" s="263"/>
      <c r="AL102" s="262"/>
      <c r="AM102" s="267"/>
      <c r="AN102" s="263"/>
      <c r="AO102" s="268"/>
      <c r="AP102" s="268"/>
      <c r="AQ102" s="268"/>
      <c r="AR102" s="268"/>
      <c r="AS102" s="268"/>
      <c r="AT102" s="268"/>
      <c r="AU102" s="269"/>
      <c r="AV102" s="267"/>
      <c r="AW102" s="263"/>
      <c r="AX102" s="263"/>
      <c r="AY102" s="263"/>
      <c r="AZ102" s="263"/>
      <c r="BA102" s="263"/>
      <c r="BB102" s="263"/>
      <c r="BC102" s="265"/>
      <c r="BD102" s="266"/>
      <c r="BE102" s="267"/>
      <c r="BF102" s="263"/>
      <c r="BG102" s="271"/>
      <c r="BH102" s="272"/>
      <c r="BI102" s="263"/>
      <c r="BJ102" s="271"/>
      <c r="BK102" s="272"/>
      <c r="BL102" s="263"/>
      <c r="BM102" s="266"/>
      <c r="BN102" s="273"/>
      <c r="BO102" s="250">
        <f t="shared" si="11"/>
        <v>0</v>
      </c>
    </row>
    <row r="103" spans="1:67" ht="25.5" customHeight="1" x14ac:dyDescent="0.2">
      <c r="A103" s="142">
        <f t="shared" si="12"/>
        <v>88</v>
      </c>
      <c r="B103" s="251"/>
      <c r="C103" s="252"/>
      <c r="D103" s="253"/>
      <c r="E103" s="254"/>
      <c r="F103" s="274"/>
      <c r="G103" s="256"/>
      <c r="H103" s="257"/>
      <c r="I103" s="231" t="str">
        <f t="shared" si="7"/>
        <v/>
      </c>
      <c r="J103" s="258">
        <f t="shared" si="8"/>
        <v>0</v>
      </c>
      <c r="K103" s="279"/>
      <c r="L103" s="260"/>
      <c r="M103" s="260"/>
      <c r="N103" s="235" t="str">
        <f t="shared" si="9"/>
        <v/>
      </c>
      <c r="O103" s="236" t="str">
        <f>IF('Data Set up'!$G$40="JUNE",IF(OR($N103=7,$N103=8,$N103=9),1,IF(OR($N103=10,$N103=11,$N103=12),2,IF(OR($N103=1,$N103=2,$N103=3),3,IF(OR($N103=4,$N103=5,$N103=6),4,"")))),IF(OR($N103=9,$N103=10,$N103=11),1,IF(OR($N103=12,$N103=1,$N103=2),2,IF(OR($N103=3,$N103=4,$N103=5),3,IF(OR($N103=6,$N103=7,$N103=8),4,"")))))</f>
        <v/>
      </c>
      <c r="P103" s="261"/>
      <c r="Q103" s="281"/>
      <c r="R103" s="268"/>
      <c r="S103" s="264">
        <f t="shared" si="10"/>
        <v>0</v>
      </c>
      <c r="T103" s="268"/>
      <c r="U103" s="268"/>
      <c r="V103" s="268"/>
      <c r="W103" s="268"/>
      <c r="X103" s="268"/>
      <c r="Y103" s="268"/>
      <c r="Z103" s="268"/>
      <c r="AA103" s="268"/>
      <c r="AB103" s="282"/>
      <c r="AC103" s="269"/>
      <c r="AD103" s="267"/>
      <c r="AE103" s="263"/>
      <c r="AF103" s="263"/>
      <c r="AG103" s="263"/>
      <c r="AH103" s="263"/>
      <c r="AI103" s="265"/>
      <c r="AJ103" s="265"/>
      <c r="AK103" s="263"/>
      <c r="AL103" s="262"/>
      <c r="AM103" s="267"/>
      <c r="AN103" s="263"/>
      <c r="AO103" s="268"/>
      <c r="AP103" s="268"/>
      <c r="AQ103" s="268"/>
      <c r="AR103" s="268"/>
      <c r="AS103" s="268"/>
      <c r="AT103" s="268"/>
      <c r="AU103" s="269"/>
      <c r="AV103" s="267"/>
      <c r="AW103" s="263"/>
      <c r="AX103" s="263"/>
      <c r="AY103" s="263"/>
      <c r="AZ103" s="263"/>
      <c r="BA103" s="263"/>
      <c r="BB103" s="263"/>
      <c r="BC103" s="265"/>
      <c r="BD103" s="266"/>
      <c r="BE103" s="267"/>
      <c r="BF103" s="263"/>
      <c r="BG103" s="271"/>
      <c r="BH103" s="272"/>
      <c r="BI103" s="263"/>
      <c r="BJ103" s="271"/>
      <c r="BK103" s="272"/>
      <c r="BL103" s="263"/>
      <c r="BM103" s="266"/>
      <c r="BN103" s="273"/>
      <c r="BO103" s="250">
        <f t="shared" si="11"/>
        <v>0</v>
      </c>
    </row>
    <row r="104" spans="1:67" ht="25.5" customHeight="1" x14ac:dyDescent="0.2">
      <c r="A104" s="142">
        <f t="shared" si="12"/>
        <v>89</v>
      </c>
      <c r="B104" s="251"/>
      <c r="C104" s="252"/>
      <c r="D104" s="253"/>
      <c r="E104" s="254"/>
      <c r="F104" s="278"/>
      <c r="G104" s="256"/>
      <c r="H104" s="257"/>
      <c r="I104" s="231" t="str">
        <f t="shared" si="7"/>
        <v/>
      </c>
      <c r="J104" s="258">
        <f t="shared" si="8"/>
        <v>0</v>
      </c>
      <c r="K104" s="279"/>
      <c r="L104" s="260"/>
      <c r="M104" s="260"/>
      <c r="N104" s="235" t="str">
        <f t="shared" si="9"/>
        <v/>
      </c>
      <c r="O104" s="236" t="str">
        <f>IF('Data Set up'!$G$40="JUNE",IF(OR($N104=7,$N104=8,$N104=9),1,IF(OR($N104=10,$N104=11,$N104=12),2,IF(OR($N104=1,$N104=2,$N104=3),3,IF(OR($N104=4,$N104=5,$N104=6),4,"")))),IF(OR($N104=9,$N104=10,$N104=11),1,IF(OR($N104=12,$N104=1,$N104=2),2,IF(OR($N104=3,$N104=4,$N104=5),3,IF(OR($N104=6,$N104=7,$N104=8),4,"")))))</f>
        <v/>
      </c>
      <c r="P104" s="261"/>
      <c r="Q104" s="281"/>
      <c r="R104" s="268"/>
      <c r="S104" s="264">
        <f t="shared" si="10"/>
        <v>0</v>
      </c>
      <c r="T104" s="268"/>
      <c r="U104" s="268"/>
      <c r="V104" s="268"/>
      <c r="W104" s="268"/>
      <c r="X104" s="268"/>
      <c r="Y104" s="268"/>
      <c r="Z104" s="268"/>
      <c r="AA104" s="268"/>
      <c r="AB104" s="282"/>
      <c r="AC104" s="269"/>
      <c r="AD104" s="283"/>
      <c r="AE104" s="275"/>
      <c r="AF104" s="275"/>
      <c r="AG104" s="268"/>
      <c r="AH104" s="268"/>
      <c r="AI104" s="282"/>
      <c r="AJ104" s="282"/>
      <c r="AK104" s="268"/>
      <c r="AL104" s="281"/>
      <c r="AM104" s="267"/>
      <c r="AN104" s="263"/>
      <c r="AO104" s="268"/>
      <c r="AP104" s="268"/>
      <c r="AQ104" s="268"/>
      <c r="AR104" s="268"/>
      <c r="AS104" s="268"/>
      <c r="AT104" s="268"/>
      <c r="AU104" s="269"/>
      <c r="AV104" s="267"/>
      <c r="AW104" s="263"/>
      <c r="AX104" s="263"/>
      <c r="AY104" s="263"/>
      <c r="AZ104" s="263"/>
      <c r="BA104" s="263"/>
      <c r="BB104" s="263"/>
      <c r="BC104" s="265"/>
      <c r="BD104" s="266"/>
      <c r="BE104" s="267"/>
      <c r="BF104" s="263"/>
      <c r="BG104" s="271"/>
      <c r="BH104" s="272"/>
      <c r="BI104" s="263"/>
      <c r="BJ104" s="271"/>
      <c r="BK104" s="272"/>
      <c r="BL104" s="263"/>
      <c r="BM104" s="266"/>
      <c r="BN104" s="273"/>
      <c r="BO104" s="250">
        <f t="shared" si="11"/>
        <v>0</v>
      </c>
    </row>
    <row r="105" spans="1:67" ht="25.5" customHeight="1" x14ac:dyDescent="0.2">
      <c r="A105" s="142">
        <f t="shared" si="12"/>
        <v>90</v>
      </c>
      <c r="B105" s="251"/>
      <c r="C105" s="252"/>
      <c r="D105" s="253"/>
      <c r="E105" s="254"/>
      <c r="F105" s="278"/>
      <c r="G105" s="256"/>
      <c r="H105" s="257"/>
      <c r="I105" s="231" t="str">
        <f t="shared" si="7"/>
        <v/>
      </c>
      <c r="J105" s="258">
        <f t="shared" si="8"/>
        <v>0</v>
      </c>
      <c r="K105" s="279"/>
      <c r="L105" s="260"/>
      <c r="M105" s="260"/>
      <c r="N105" s="235" t="str">
        <f t="shared" si="9"/>
        <v/>
      </c>
      <c r="O105" s="236" t="str">
        <f>IF('Data Set up'!$G$40="JUNE",IF(OR($N105=7,$N105=8,$N105=9),1,IF(OR($N105=10,$N105=11,$N105=12),2,IF(OR($N105=1,$N105=2,$N105=3),3,IF(OR($N105=4,$N105=5,$N105=6),4,"")))),IF(OR($N105=9,$N105=10,$N105=11),1,IF(OR($N105=12,$N105=1,$N105=2),2,IF(OR($N105=3,$N105=4,$N105=5),3,IF(OR($N105=6,$N105=7,$N105=8),4,"")))))</f>
        <v/>
      </c>
      <c r="P105" s="261"/>
      <c r="Q105" s="281"/>
      <c r="R105" s="268"/>
      <c r="S105" s="264">
        <f t="shared" si="10"/>
        <v>0</v>
      </c>
      <c r="T105" s="268"/>
      <c r="U105" s="268"/>
      <c r="V105" s="268"/>
      <c r="W105" s="268"/>
      <c r="X105" s="268"/>
      <c r="Y105" s="268"/>
      <c r="Z105" s="268"/>
      <c r="AA105" s="268"/>
      <c r="AB105" s="282"/>
      <c r="AC105" s="269"/>
      <c r="AD105" s="283"/>
      <c r="AE105" s="275"/>
      <c r="AF105" s="275"/>
      <c r="AG105" s="268"/>
      <c r="AH105" s="268"/>
      <c r="AI105" s="282"/>
      <c r="AJ105" s="282"/>
      <c r="AK105" s="268"/>
      <c r="AL105" s="281"/>
      <c r="AM105" s="267"/>
      <c r="AN105" s="263"/>
      <c r="AO105" s="268"/>
      <c r="AP105" s="268"/>
      <c r="AQ105" s="268"/>
      <c r="AR105" s="268"/>
      <c r="AS105" s="268"/>
      <c r="AT105" s="268"/>
      <c r="AU105" s="269"/>
      <c r="AV105" s="283"/>
      <c r="AW105" s="268"/>
      <c r="AX105" s="268"/>
      <c r="AY105" s="268"/>
      <c r="AZ105" s="268"/>
      <c r="BA105" s="268"/>
      <c r="BB105" s="268"/>
      <c r="BC105" s="282"/>
      <c r="BD105" s="269"/>
      <c r="BE105" s="267"/>
      <c r="BF105" s="263"/>
      <c r="BG105" s="271"/>
      <c r="BH105" s="272"/>
      <c r="BI105" s="268"/>
      <c r="BJ105" s="284"/>
      <c r="BK105" s="285"/>
      <c r="BL105" s="268"/>
      <c r="BM105" s="269"/>
      <c r="BN105" s="273"/>
      <c r="BO105" s="250">
        <f t="shared" si="11"/>
        <v>0</v>
      </c>
    </row>
    <row r="106" spans="1:67" ht="25.5" customHeight="1" x14ac:dyDescent="0.2">
      <c r="A106" s="142">
        <f t="shared" si="12"/>
        <v>91</v>
      </c>
      <c r="B106" s="251"/>
      <c r="C106" s="252"/>
      <c r="D106" s="253"/>
      <c r="E106" s="254"/>
      <c r="F106" s="278"/>
      <c r="G106" s="256"/>
      <c r="H106" s="257"/>
      <c r="I106" s="231" t="str">
        <f t="shared" si="7"/>
        <v/>
      </c>
      <c r="J106" s="258">
        <f t="shared" si="8"/>
        <v>0</v>
      </c>
      <c r="K106" s="279"/>
      <c r="L106" s="260"/>
      <c r="M106" s="260"/>
      <c r="N106" s="235" t="str">
        <f t="shared" si="9"/>
        <v/>
      </c>
      <c r="O106" s="236" t="str">
        <f>IF('Data Set up'!$G$40="JUNE",IF(OR($N106=7,$N106=8,$N106=9),1,IF(OR($N106=10,$N106=11,$N106=12),2,IF(OR($N106=1,$N106=2,$N106=3),3,IF(OR($N106=4,$N106=5,$N106=6),4,"")))),IF(OR($N106=9,$N106=10,$N106=11),1,IF(OR($N106=12,$N106=1,$N106=2),2,IF(OR($N106=3,$N106=4,$N106=5),3,IF(OR($N106=6,$N106=7,$N106=8),4,"")))))</f>
        <v/>
      </c>
      <c r="P106" s="261"/>
      <c r="Q106" s="281"/>
      <c r="R106" s="268"/>
      <c r="S106" s="264">
        <f t="shared" si="10"/>
        <v>0</v>
      </c>
      <c r="T106" s="268"/>
      <c r="U106" s="268"/>
      <c r="V106" s="268"/>
      <c r="W106" s="268"/>
      <c r="X106" s="268"/>
      <c r="Y106" s="268"/>
      <c r="Z106" s="268"/>
      <c r="AA106" s="268"/>
      <c r="AB106" s="282"/>
      <c r="AC106" s="269"/>
      <c r="AD106" s="283"/>
      <c r="AE106" s="275"/>
      <c r="AF106" s="275"/>
      <c r="AG106" s="268"/>
      <c r="AH106" s="268"/>
      <c r="AI106" s="282"/>
      <c r="AJ106" s="282"/>
      <c r="AK106" s="268"/>
      <c r="AL106" s="281"/>
      <c r="AM106" s="283"/>
      <c r="AN106" s="268"/>
      <c r="AO106" s="268"/>
      <c r="AP106" s="268"/>
      <c r="AQ106" s="268"/>
      <c r="AR106" s="268"/>
      <c r="AS106" s="268"/>
      <c r="AT106" s="268"/>
      <c r="AU106" s="269"/>
      <c r="AV106" s="283"/>
      <c r="AW106" s="268"/>
      <c r="AX106" s="268"/>
      <c r="AY106" s="268"/>
      <c r="AZ106" s="268"/>
      <c r="BA106" s="268"/>
      <c r="BB106" s="268"/>
      <c r="BC106" s="282"/>
      <c r="BD106" s="269"/>
      <c r="BE106" s="283"/>
      <c r="BF106" s="268"/>
      <c r="BG106" s="284"/>
      <c r="BH106" s="285"/>
      <c r="BI106" s="268"/>
      <c r="BJ106" s="284"/>
      <c r="BK106" s="285"/>
      <c r="BL106" s="268"/>
      <c r="BM106" s="269"/>
      <c r="BN106" s="273"/>
      <c r="BO106" s="250">
        <f t="shared" si="11"/>
        <v>0</v>
      </c>
    </row>
    <row r="107" spans="1:67" ht="25.5" customHeight="1" x14ac:dyDescent="0.2">
      <c r="A107" s="142">
        <f t="shared" si="12"/>
        <v>92</v>
      </c>
      <c r="B107" s="251"/>
      <c r="C107" s="252"/>
      <c r="D107" s="253"/>
      <c r="E107" s="254"/>
      <c r="F107" s="278"/>
      <c r="G107" s="256"/>
      <c r="H107" s="257"/>
      <c r="I107" s="231" t="str">
        <f t="shared" si="7"/>
        <v/>
      </c>
      <c r="J107" s="258">
        <f t="shared" si="8"/>
        <v>0</v>
      </c>
      <c r="K107" s="279"/>
      <c r="L107" s="260"/>
      <c r="M107" s="260"/>
      <c r="N107" s="235" t="str">
        <f t="shared" si="9"/>
        <v/>
      </c>
      <c r="O107" s="236" t="str">
        <f>IF('Data Set up'!$G$40="JUNE",IF(OR($N107=7,$N107=8,$N107=9),1,IF(OR($N107=10,$N107=11,$N107=12),2,IF(OR($N107=1,$N107=2,$N107=3),3,IF(OR($N107=4,$N107=5,$N107=6),4,"")))),IF(OR($N107=9,$N107=10,$N107=11),1,IF(OR($N107=12,$N107=1,$N107=2),2,IF(OR($N107=3,$N107=4,$N107=5),3,IF(OR($N107=6,$N107=7,$N107=8),4,"")))))</f>
        <v/>
      </c>
      <c r="P107" s="261"/>
      <c r="Q107" s="286"/>
      <c r="R107" s="287"/>
      <c r="S107" s="264">
        <f t="shared" si="10"/>
        <v>0</v>
      </c>
      <c r="T107" s="287"/>
      <c r="U107" s="287"/>
      <c r="V107" s="287"/>
      <c r="W107" s="287"/>
      <c r="X107" s="287"/>
      <c r="Y107" s="287"/>
      <c r="Z107" s="287"/>
      <c r="AA107" s="287"/>
      <c r="AB107" s="288"/>
      <c r="AC107" s="289"/>
      <c r="AD107" s="290"/>
      <c r="AE107" s="291"/>
      <c r="AF107" s="291"/>
      <c r="AG107" s="287"/>
      <c r="AH107" s="287"/>
      <c r="AI107" s="288"/>
      <c r="AJ107" s="288"/>
      <c r="AK107" s="287"/>
      <c r="AL107" s="286"/>
      <c r="AM107" s="290"/>
      <c r="AN107" s="287"/>
      <c r="AO107" s="287"/>
      <c r="AP107" s="287"/>
      <c r="AQ107" s="287"/>
      <c r="AR107" s="287"/>
      <c r="AS107" s="287"/>
      <c r="AT107" s="287"/>
      <c r="AU107" s="289"/>
      <c r="AV107" s="290"/>
      <c r="AW107" s="287"/>
      <c r="AX107" s="287"/>
      <c r="AY107" s="287"/>
      <c r="AZ107" s="287"/>
      <c r="BA107" s="287"/>
      <c r="BB107" s="287"/>
      <c r="BC107" s="288"/>
      <c r="BD107" s="289"/>
      <c r="BE107" s="290"/>
      <c r="BF107" s="287"/>
      <c r="BG107" s="292"/>
      <c r="BH107" s="293"/>
      <c r="BI107" s="287"/>
      <c r="BJ107" s="292"/>
      <c r="BK107" s="293"/>
      <c r="BL107" s="287"/>
      <c r="BM107" s="289"/>
      <c r="BN107" s="273"/>
      <c r="BO107" s="250">
        <f t="shared" si="11"/>
        <v>0</v>
      </c>
    </row>
    <row r="108" spans="1:67" ht="25.5" customHeight="1" x14ac:dyDescent="0.2">
      <c r="A108" s="142">
        <f t="shared" si="12"/>
        <v>93</v>
      </c>
      <c r="B108" s="251"/>
      <c r="C108" s="252"/>
      <c r="D108" s="253"/>
      <c r="E108" s="254"/>
      <c r="F108" s="278"/>
      <c r="G108" s="256"/>
      <c r="H108" s="257"/>
      <c r="I108" s="231" t="str">
        <f t="shared" si="7"/>
        <v/>
      </c>
      <c r="J108" s="258">
        <f t="shared" si="8"/>
        <v>0</v>
      </c>
      <c r="K108" s="279"/>
      <c r="L108" s="260"/>
      <c r="M108" s="260"/>
      <c r="N108" s="235" t="str">
        <f t="shared" si="9"/>
        <v/>
      </c>
      <c r="O108" s="236" t="str">
        <f>IF('Data Set up'!$G$40="JUNE",IF(OR($N108=7,$N108=8,$N108=9),1,IF(OR($N108=10,$N108=11,$N108=12),2,IF(OR($N108=1,$N108=2,$N108=3),3,IF(OR($N108=4,$N108=5,$N108=6),4,"")))),IF(OR($N108=9,$N108=10,$N108=11),1,IF(OR($N108=12,$N108=1,$N108=2),2,IF(OR($N108=3,$N108=4,$N108=5),3,IF(OR($N108=6,$N108=7,$N108=8),4,"")))))</f>
        <v/>
      </c>
      <c r="P108" s="261"/>
      <c r="Q108" s="286"/>
      <c r="R108" s="287"/>
      <c r="S108" s="264">
        <f t="shared" si="10"/>
        <v>0</v>
      </c>
      <c r="T108" s="287"/>
      <c r="U108" s="287"/>
      <c r="V108" s="287"/>
      <c r="W108" s="287"/>
      <c r="X108" s="287"/>
      <c r="Y108" s="287"/>
      <c r="Z108" s="287"/>
      <c r="AA108" s="287"/>
      <c r="AB108" s="288"/>
      <c r="AC108" s="289"/>
      <c r="AD108" s="290"/>
      <c r="AE108" s="291"/>
      <c r="AF108" s="291"/>
      <c r="AG108" s="287"/>
      <c r="AH108" s="287"/>
      <c r="AI108" s="288"/>
      <c r="AJ108" s="288"/>
      <c r="AK108" s="287"/>
      <c r="AL108" s="286"/>
      <c r="AM108" s="290"/>
      <c r="AN108" s="287"/>
      <c r="AO108" s="287"/>
      <c r="AP108" s="287"/>
      <c r="AQ108" s="287"/>
      <c r="AR108" s="287"/>
      <c r="AS108" s="287"/>
      <c r="AT108" s="287"/>
      <c r="AU108" s="289"/>
      <c r="AV108" s="290"/>
      <c r="AW108" s="287"/>
      <c r="AX108" s="287"/>
      <c r="AY108" s="287"/>
      <c r="AZ108" s="287"/>
      <c r="BA108" s="287"/>
      <c r="BB108" s="287"/>
      <c r="BC108" s="288"/>
      <c r="BD108" s="289"/>
      <c r="BE108" s="290"/>
      <c r="BF108" s="287"/>
      <c r="BG108" s="292"/>
      <c r="BH108" s="293"/>
      <c r="BI108" s="287"/>
      <c r="BJ108" s="292"/>
      <c r="BK108" s="293"/>
      <c r="BL108" s="287"/>
      <c r="BM108" s="289"/>
      <c r="BN108" s="273"/>
      <c r="BO108" s="250">
        <f t="shared" si="11"/>
        <v>0</v>
      </c>
    </row>
    <row r="109" spans="1:67" ht="25.5" customHeight="1" x14ac:dyDescent="0.2">
      <c r="A109" s="142">
        <f t="shared" si="12"/>
        <v>94</v>
      </c>
      <c r="B109" s="251"/>
      <c r="C109" s="252"/>
      <c r="D109" s="253"/>
      <c r="E109" s="254"/>
      <c r="F109" s="278"/>
      <c r="G109" s="256"/>
      <c r="H109" s="257"/>
      <c r="I109" s="231" t="str">
        <f t="shared" si="7"/>
        <v/>
      </c>
      <c r="J109" s="258">
        <f t="shared" si="8"/>
        <v>0</v>
      </c>
      <c r="K109" s="279"/>
      <c r="L109" s="260"/>
      <c r="M109" s="260"/>
      <c r="N109" s="235" t="str">
        <f t="shared" si="9"/>
        <v/>
      </c>
      <c r="O109" s="236" t="str">
        <f>IF('Data Set up'!$G$40="JUNE",IF(OR($N109=7,$N109=8,$N109=9),1,IF(OR($N109=10,$N109=11,$N109=12),2,IF(OR($N109=1,$N109=2,$N109=3),3,IF(OR($N109=4,$N109=5,$N109=6),4,"")))),IF(OR($N109=9,$N109=10,$N109=11),1,IF(OR($N109=12,$N109=1,$N109=2),2,IF(OR($N109=3,$N109=4,$N109=5),3,IF(OR($N109=6,$N109=7,$N109=8),4,"")))))</f>
        <v/>
      </c>
      <c r="P109" s="261"/>
      <c r="Q109" s="294"/>
      <c r="R109" s="295"/>
      <c r="S109" s="264">
        <f t="shared" si="10"/>
        <v>0</v>
      </c>
      <c r="T109" s="295"/>
      <c r="U109" s="295"/>
      <c r="V109" s="295"/>
      <c r="W109" s="295"/>
      <c r="X109" s="295"/>
      <c r="Y109" s="295"/>
      <c r="Z109" s="295"/>
      <c r="AA109" s="295"/>
      <c r="AB109" s="296"/>
      <c r="AC109" s="297"/>
      <c r="AD109" s="270"/>
      <c r="AE109" s="295"/>
      <c r="AF109" s="295"/>
      <c r="AG109" s="295"/>
      <c r="AH109" s="295"/>
      <c r="AI109" s="296"/>
      <c r="AJ109" s="296"/>
      <c r="AK109" s="295"/>
      <c r="AL109" s="294"/>
      <c r="AM109" s="270"/>
      <c r="AN109" s="295"/>
      <c r="AO109" s="295"/>
      <c r="AP109" s="295"/>
      <c r="AQ109" s="295"/>
      <c r="AR109" s="295"/>
      <c r="AS109" s="295"/>
      <c r="AT109" s="295"/>
      <c r="AU109" s="297"/>
      <c r="AV109" s="270"/>
      <c r="AW109" s="295"/>
      <c r="AX109" s="295"/>
      <c r="AY109" s="295"/>
      <c r="AZ109" s="295"/>
      <c r="BA109" s="295"/>
      <c r="BB109" s="295"/>
      <c r="BC109" s="296"/>
      <c r="BD109" s="297"/>
      <c r="BE109" s="270"/>
      <c r="BF109" s="295"/>
      <c r="BG109" s="298"/>
      <c r="BH109" s="299"/>
      <c r="BI109" s="295"/>
      <c r="BJ109" s="298"/>
      <c r="BK109" s="299"/>
      <c r="BL109" s="295"/>
      <c r="BM109" s="297"/>
      <c r="BN109" s="273"/>
      <c r="BO109" s="250">
        <f t="shared" si="11"/>
        <v>0</v>
      </c>
    </row>
    <row r="110" spans="1:67" ht="25.5" customHeight="1" x14ac:dyDescent="0.2">
      <c r="A110" s="142">
        <f t="shared" si="12"/>
        <v>95</v>
      </c>
      <c r="B110" s="251"/>
      <c r="C110" s="252"/>
      <c r="D110" s="253"/>
      <c r="E110" s="254"/>
      <c r="F110" s="278"/>
      <c r="G110" s="256"/>
      <c r="H110" s="257"/>
      <c r="I110" s="231" t="str">
        <f t="shared" si="7"/>
        <v/>
      </c>
      <c r="J110" s="258">
        <f t="shared" si="8"/>
        <v>0</v>
      </c>
      <c r="K110" s="279"/>
      <c r="L110" s="260"/>
      <c r="M110" s="260"/>
      <c r="N110" s="235" t="str">
        <f t="shared" si="9"/>
        <v/>
      </c>
      <c r="O110" s="236" t="str">
        <f>IF('Data Set up'!$G$40="JUNE",IF(OR($N110=7,$N110=8,$N110=9),1,IF(OR($N110=10,$N110=11,$N110=12),2,IF(OR($N110=1,$N110=2,$N110=3),3,IF(OR($N110=4,$N110=5,$N110=6),4,"")))),IF(OR($N110=9,$N110=10,$N110=11),1,IF(OR($N110=12,$N110=1,$N110=2),2,IF(OR($N110=3,$N110=4,$N110=5),3,IF(OR($N110=6,$N110=7,$N110=8),4,"")))))</f>
        <v/>
      </c>
      <c r="P110" s="261"/>
      <c r="Q110" s="294"/>
      <c r="R110" s="295"/>
      <c r="S110" s="264">
        <f t="shared" si="10"/>
        <v>0</v>
      </c>
      <c r="T110" s="295"/>
      <c r="U110" s="295"/>
      <c r="V110" s="295"/>
      <c r="W110" s="295"/>
      <c r="X110" s="295"/>
      <c r="Y110" s="295"/>
      <c r="Z110" s="295"/>
      <c r="AA110" s="295"/>
      <c r="AB110" s="296"/>
      <c r="AC110" s="297"/>
      <c r="AD110" s="270"/>
      <c r="AE110" s="295"/>
      <c r="AF110" s="295"/>
      <c r="AG110" s="295"/>
      <c r="AH110" s="295"/>
      <c r="AI110" s="296"/>
      <c r="AJ110" s="296"/>
      <c r="AK110" s="295"/>
      <c r="AL110" s="294"/>
      <c r="AM110" s="270"/>
      <c r="AN110" s="295"/>
      <c r="AO110" s="295"/>
      <c r="AP110" s="295"/>
      <c r="AQ110" s="295"/>
      <c r="AR110" s="295"/>
      <c r="AS110" s="295"/>
      <c r="AT110" s="295"/>
      <c r="AU110" s="297"/>
      <c r="AV110" s="270"/>
      <c r="AW110" s="295"/>
      <c r="AX110" s="295"/>
      <c r="AY110" s="295"/>
      <c r="AZ110" s="295"/>
      <c r="BA110" s="295"/>
      <c r="BB110" s="295"/>
      <c r="BC110" s="296"/>
      <c r="BD110" s="297"/>
      <c r="BE110" s="270"/>
      <c r="BF110" s="295"/>
      <c r="BG110" s="298"/>
      <c r="BH110" s="299"/>
      <c r="BI110" s="295"/>
      <c r="BJ110" s="298"/>
      <c r="BK110" s="299"/>
      <c r="BL110" s="295"/>
      <c r="BM110" s="297"/>
      <c r="BN110" s="273"/>
      <c r="BO110" s="250">
        <f t="shared" si="11"/>
        <v>0</v>
      </c>
    </row>
    <row r="111" spans="1:67" ht="25.5" customHeight="1" x14ac:dyDescent="0.2">
      <c r="A111" s="142">
        <f t="shared" si="12"/>
        <v>96</v>
      </c>
      <c r="B111" s="251"/>
      <c r="C111" s="252"/>
      <c r="D111" s="253"/>
      <c r="E111" s="254"/>
      <c r="F111" s="278"/>
      <c r="G111" s="256"/>
      <c r="H111" s="257"/>
      <c r="I111" s="231" t="str">
        <f t="shared" si="7"/>
        <v/>
      </c>
      <c r="J111" s="258">
        <f t="shared" si="8"/>
        <v>0</v>
      </c>
      <c r="K111" s="279"/>
      <c r="L111" s="260"/>
      <c r="M111" s="300"/>
      <c r="N111" s="235" t="str">
        <f t="shared" si="9"/>
        <v/>
      </c>
      <c r="O111" s="236" t="str">
        <f>IF('Data Set up'!$G$40="JUNE",IF(OR($N111=7,$N111=8,$N111=9),1,IF(OR($N111=10,$N111=11,$N111=12),2,IF(OR($N111=1,$N111=2,$N111=3),3,IF(OR($N111=4,$N111=5,$N111=6),4,"")))),IF(OR($N111=9,$N111=10,$N111=11),1,IF(OR($N111=12,$N111=1,$N111=2),2,IF(OR($N111=3,$N111=4,$N111=5),3,IF(OR($N111=6,$N111=7,$N111=8),4,"")))))</f>
        <v/>
      </c>
      <c r="P111" s="261"/>
      <c r="Q111" s="301"/>
      <c r="R111" s="302"/>
      <c r="S111" s="264">
        <f t="shared" si="10"/>
        <v>0</v>
      </c>
      <c r="T111" s="302"/>
      <c r="U111" s="302"/>
      <c r="V111" s="302"/>
      <c r="W111" s="302"/>
      <c r="X111" s="302"/>
      <c r="Y111" s="302"/>
      <c r="Z111" s="302"/>
      <c r="AA111" s="302"/>
      <c r="AB111" s="303"/>
      <c r="AC111" s="304"/>
      <c r="AD111" s="305"/>
      <c r="AE111" s="302"/>
      <c r="AF111" s="302"/>
      <c r="AG111" s="302"/>
      <c r="AH111" s="302"/>
      <c r="AI111" s="303"/>
      <c r="AJ111" s="303"/>
      <c r="AK111" s="295"/>
      <c r="AL111" s="301"/>
      <c r="AM111" s="305"/>
      <c r="AN111" s="302"/>
      <c r="AO111" s="302"/>
      <c r="AP111" s="302"/>
      <c r="AQ111" s="295"/>
      <c r="AR111" s="295"/>
      <c r="AS111" s="302"/>
      <c r="AT111" s="302"/>
      <c r="AU111" s="304"/>
      <c r="AV111" s="306"/>
      <c r="AW111" s="303"/>
      <c r="AX111" s="303"/>
      <c r="AY111" s="303"/>
      <c r="AZ111" s="303"/>
      <c r="BA111" s="303"/>
      <c r="BB111" s="303"/>
      <c r="BC111" s="303"/>
      <c r="BD111" s="304"/>
      <c r="BE111" s="305"/>
      <c r="BF111" s="302"/>
      <c r="BG111" s="307"/>
      <c r="BH111" s="308"/>
      <c r="BI111" s="302"/>
      <c r="BJ111" s="307"/>
      <c r="BK111" s="308"/>
      <c r="BL111" s="302"/>
      <c r="BM111" s="304"/>
      <c r="BN111" s="309"/>
      <c r="BO111" s="250">
        <f t="shared" si="11"/>
        <v>0</v>
      </c>
    </row>
    <row r="112" spans="1:67" ht="25.5" customHeight="1" x14ac:dyDescent="0.2">
      <c r="A112" s="142">
        <f t="shared" si="12"/>
        <v>97</v>
      </c>
      <c r="B112" s="251"/>
      <c r="C112" s="252"/>
      <c r="D112" s="253"/>
      <c r="E112" s="254"/>
      <c r="F112" s="278"/>
      <c r="G112" s="256"/>
      <c r="H112" s="257"/>
      <c r="I112" s="231" t="str">
        <f t="shared" si="7"/>
        <v/>
      </c>
      <c r="J112" s="258">
        <f t="shared" si="8"/>
        <v>0</v>
      </c>
      <c r="K112" s="279"/>
      <c r="L112" s="260"/>
      <c r="M112" s="300"/>
      <c r="N112" s="235" t="str">
        <f t="shared" si="9"/>
        <v/>
      </c>
      <c r="O112" s="236" t="str">
        <f>IF('Data Set up'!$G$40="JUNE",IF(OR($N112=7,$N112=8,$N112=9),1,IF(OR($N112=10,$N112=11,$N112=12),2,IF(OR($N112=1,$N112=2,$N112=3),3,IF(OR($N112=4,$N112=5,$N112=6),4,"")))),IF(OR($N112=9,$N112=10,$N112=11),1,IF(OR($N112=12,$N112=1,$N112=2),2,IF(OR($N112=3,$N112=4,$N112=5),3,IF(OR($N112=6,$N112=7,$N112=8),4,"")))))</f>
        <v/>
      </c>
      <c r="P112" s="261"/>
      <c r="Q112" s="301"/>
      <c r="R112" s="302"/>
      <c r="S112" s="264">
        <f t="shared" si="10"/>
        <v>0</v>
      </c>
      <c r="T112" s="302"/>
      <c r="U112" s="302"/>
      <c r="V112" s="302"/>
      <c r="W112" s="302"/>
      <c r="X112" s="302"/>
      <c r="Y112" s="302"/>
      <c r="Z112" s="302"/>
      <c r="AA112" s="302"/>
      <c r="AB112" s="303"/>
      <c r="AC112" s="304"/>
      <c r="AD112" s="305"/>
      <c r="AE112" s="302"/>
      <c r="AF112" s="302"/>
      <c r="AG112" s="302"/>
      <c r="AH112" s="302"/>
      <c r="AI112" s="303"/>
      <c r="AJ112" s="303"/>
      <c r="AK112" s="295"/>
      <c r="AL112" s="301"/>
      <c r="AM112" s="305"/>
      <c r="AN112" s="302"/>
      <c r="AO112" s="302"/>
      <c r="AP112" s="302"/>
      <c r="AQ112" s="295"/>
      <c r="AR112" s="295"/>
      <c r="AS112" s="302"/>
      <c r="AT112" s="302"/>
      <c r="AU112" s="304"/>
      <c r="AV112" s="306"/>
      <c r="AW112" s="303"/>
      <c r="AX112" s="303"/>
      <c r="AY112" s="303"/>
      <c r="AZ112" s="303"/>
      <c r="BA112" s="303"/>
      <c r="BB112" s="303"/>
      <c r="BC112" s="303"/>
      <c r="BD112" s="304"/>
      <c r="BE112" s="305"/>
      <c r="BF112" s="302"/>
      <c r="BG112" s="307"/>
      <c r="BH112" s="308"/>
      <c r="BI112" s="302"/>
      <c r="BJ112" s="307"/>
      <c r="BK112" s="308"/>
      <c r="BL112" s="302"/>
      <c r="BM112" s="304"/>
      <c r="BN112" s="309"/>
      <c r="BO112" s="250">
        <f t="shared" si="11"/>
        <v>0</v>
      </c>
    </row>
    <row r="113" spans="1:67" ht="25.5" customHeight="1" x14ac:dyDescent="0.2">
      <c r="A113" s="142">
        <f t="shared" si="12"/>
        <v>98</v>
      </c>
      <c r="B113" s="251"/>
      <c r="C113" s="252"/>
      <c r="D113" s="253"/>
      <c r="E113" s="254"/>
      <c r="F113" s="278"/>
      <c r="G113" s="256"/>
      <c r="H113" s="257"/>
      <c r="I113" s="231" t="str">
        <f t="shared" si="7"/>
        <v/>
      </c>
      <c r="J113" s="258">
        <f t="shared" si="8"/>
        <v>0</v>
      </c>
      <c r="K113" s="279"/>
      <c r="L113" s="260"/>
      <c r="M113" s="300"/>
      <c r="N113" s="235" t="str">
        <f t="shared" si="9"/>
        <v/>
      </c>
      <c r="O113" s="236" t="str">
        <f>IF('Data Set up'!$G$40="JUNE",IF(OR($N113=7,$N113=8,$N113=9),1,IF(OR($N113=10,$N113=11,$N113=12),2,IF(OR($N113=1,$N113=2,$N113=3),3,IF(OR($N113=4,$N113=5,$N113=6),4,"")))),IF(OR($N113=9,$N113=10,$N113=11),1,IF(OR($N113=12,$N113=1,$N113=2),2,IF(OR($N113=3,$N113=4,$N113=5),3,IF(OR($N113=6,$N113=7,$N113=8),4,"")))))</f>
        <v/>
      </c>
      <c r="P113" s="261"/>
      <c r="Q113" s="301"/>
      <c r="R113" s="302"/>
      <c r="S113" s="264">
        <f t="shared" si="10"/>
        <v>0</v>
      </c>
      <c r="T113" s="302"/>
      <c r="U113" s="302"/>
      <c r="V113" s="302"/>
      <c r="W113" s="302"/>
      <c r="X113" s="302"/>
      <c r="Y113" s="302"/>
      <c r="Z113" s="302"/>
      <c r="AA113" s="302"/>
      <c r="AB113" s="303"/>
      <c r="AC113" s="304"/>
      <c r="AD113" s="305"/>
      <c r="AE113" s="302"/>
      <c r="AF113" s="302"/>
      <c r="AG113" s="302"/>
      <c r="AH113" s="302"/>
      <c r="AI113" s="303"/>
      <c r="AJ113" s="303"/>
      <c r="AK113" s="295"/>
      <c r="AL113" s="301"/>
      <c r="AM113" s="305"/>
      <c r="AN113" s="302"/>
      <c r="AO113" s="302"/>
      <c r="AP113" s="302"/>
      <c r="AQ113" s="295"/>
      <c r="AR113" s="295"/>
      <c r="AS113" s="302"/>
      <c r="AT113" s="302"/>
      <c r="AU113" s="304"/>
      <c r="AV113" s="306"/>
      <c r="AW113" s="303"/>
      <c r="AX113" s="303"/>
      <c r="AY113" s="303"/>
      <c r="AZ113" s="303"/>
      <c r="BA113" s="303"/>
      <c r="BB113" s="303"/>
      <c r="BC113" s="303"/>
      <c r="BD113" s="304"/>
      <c r="BE113" s="305"/>
      <c r="BF113" s="302"/>
      <c r="BG113" s="307"/>
      <c r="BH113" s="308"/>
      <c r="BI113" s="302"/>
      <c r="BJ113" s="307"/>
      <c r="BK113" s="308"/>
      <c r="BL113" s="302"/>
      <c r="BM113" s="304"/>
      <c r="BN113" s="309"/>
      <c r="BO113" s="250">
        <f t="shared" si="11"/>
        <v>0</v>
      </c>
    </row>
    <row r="114" spans="1:67" ht="25.5" customHeight="1" x14ac:dyDescent="0.2">
      <c r="A114" s="142">
        <f t="shared" si="12"/>
        <v>99</v>
      </c>
      <c r="B114" s="251"/>
      <c r="C114" s="252"/>
      <c r="D114" s="253"/>
      <c r="E114" s="254"/>
      <c r="F114" s="278"/>
      <c r="G114" s="256"/>
      <c r="H114" s="257"/>
      <c r="I114" s="231" t="str">
        <f t="shared" si="7"/>
        <v/>
      </c>
      <c r="J114" s="258">
        <f t="shared" si="8"/>
        <v>0</v>
      </c>
      <c r="K114" s="279"/>
      <c r="L114" s="260"/>
      <c r="M114" s="300"/>
      <c r="N114" s="235" t="str">
        <f t="shared" si="9"/>
        <v/>
      </c>
      <c r="O114" s="236" t="str">
        <f>IF('Data Set up'!$G$40="JUNE",IF(OR($N114=7,$N114=8,$N114=9),1,IF(OR($N114=10,$N114=11,$N114=12),2,IF(OR($N114=1,$N114=2,$N114=3),3,IF(OR($N114=4,$N114=5,$N114=6),4,"")))),IF(OR($N114=9,$N114=10,$N114=11),1,IF(OR($N114=12,$N114=1,$N114=2),2,IF(OR($N114=3,$N114=4,$N114=5),3,IF(OR($N114=6,$N114=7,$N114=8),4,"")))))</f>
        <v/>
      </c>
      <c r="P114" s="261"/>
      <c r="Q114" s="301"/>
      <c r="R114" s="302"/>
      <c r="S114" s="264">
        <f t="shared" si="10"/>
        <v>0</v>
      </c>
      <c r="T114" s="302"/>
      <c r="U114" s="302"/>
      <c r="V114" s="302"/>
      <c r="W114" s="302"/>
      <c r="X114" s="302"/>
      <c r="Y114" s="302"/>
      <c r="Z114" s="302"/>
      <c r="AA114" s="302"/>
      <c r="AB114" s="303"/>
      <c r="AC114" s="304"/>
      <c r="AD114" s="305"/>
      <c r="AE114" s="302"/>
      <c r="AF114" s="302"/>
      <c r="AG114" s="302"/>
      <c r="AH114" s="302"/>
      <c r="AI114" s="303"/>
      <c r="AJ114" s="303"/>
      <c r="AK114" s="295"/>
      <c r="AL114" s="301"/>
      <c r="AM114" s="305"/>
      <c r="AN114" s="302"/>
      <c r="AO114" s="302"/>
      <c r="AP114" s="302"/>
      <c r="AQ114" s="295"/>
      <c r="AR114" s="295"/>
      <c r="AS114" s="302"/>
      <c r="AT114" s="302"/>
      <c r="AU114" s="304"/>
      <c r="AV114" s="306"/>
      <c r="AW114" s="303"/>
      <c r="AX114" s="303"/>
      <c r="AY114" s="303"/>
      <c r="AZ114" s="303"/>
      <c r="BA114" s="303"/>
      <c r="BB114" s="303"/>
      <c r="BC114" s="303"/>
      <c r="BD114" s="304"/>
      <c r="BE114" s="305"/>
      <c r="BF114" s="302"/>
      <c r="BG114" s="307"/>
      <c r="BH114" s="308"/>
      <c r="BI114" s="302"/>
      <c r="BJ114" s="307"/>
      <c r="BK114" s="308"/>
      <c r="BL114" s="302"/>
      <c r="BM114" s="304"/>
      <c r="BN114" s="309"/>
      <c r="BO114" s="250">
        <f t="shared" si="11"/>
        <v>0</v>
      </c>
    </row>
    <row r="115" spans="1:67" ht="25.5" customHeight="1" x14ac:dyDescent="0.2">
      <c r="A115" s="142">
        <f t="shared" si="12"/>
        <v>100</v>
      </c>
      <c r="B115" s="251"/>
      <c r="C115" s="252"/>
      <c r="D115" s="253"/>
      <c r="E115" s="254"/>
      <c r="F115" s="278"/>
      <c r="G115" s="256"/>
      <c r="H115" s="257"/>
      <c r="I115" s="231" t="str">
        <f t="shared" si="7"/>
        <v/>
      </c>
      <c r="J115" s="258">
        <f t="shared" si="8"/>
        <v>0</v>
      </c>
      <c r="K115" s="259"/>
      <c r="L115" s="260"/>
      <c r="M115" s="300"/>
      <c r="N115" s="235" t="str">
        <f t="shared" si="9"/>
        <v/>
      </c>
      <c r="O115" s="236" t="str">
        <f>IF('Data Set up'!$G$40="JUNE",IF(OR($N115=7,$N115=8,$N115=9),1,IF(OR($N115=10,$N115=11,$N115=12),2,IF(OR($N115=1,$N115=2,$N115=3),3,IF(OR($N115=4,$N115=5,$N115=6),4,"")))),IF(OR($N115=9,$N115=10,$N115=11),1,IF(OR($N115=12,$N115=1,$N115=2),2,IF(OR($N115=3,$N115=4,$N115=5),3,IF(OR($N115=6,$N115=7,$N115=8),4,"")))))</f>
        <v/>
      </c>
      <c r="P115" s="261"/>
      <c r="Q115" s="301"/>
      <c r="R115" s="302"/>
      <c r="S115" s="264">
        <f t="shared" si="10"/>
        <v>0</v>
      </c>
      <c r="T115" s="302"/>
      <c r="U115" s="302"/>
      <c r="V115" s="302"/>
      <c r="W115" s="302"/>
      <c r="X115" s="302"/>
      <c r="Y115" s="302"/>
      <c r="Z115" s="302"/>
      <c r="AA115" s="302"/>
      <c r="AB115" s="303"/>
      <c r="AC115" s="304"/>
      <c r="AD115" s="305"/>
      <c r="AE115" s="302"/>
      <c r="AF115" s="302"/>
      <c r="AG115" s="302"/>
      <c r="AH115" s="302"/>
      <c r="AI115" s="303"/>
      <c r="AJ115" s="303"/>
      <c r="AK115" s="295"/>
      <c r="AL115" s="301"/>
      <c r="AM115" s="305"/>
      <c r="AN115" s="302"/>
      <c r="AO115" s="302"/>
      <c r="AP115" s="302"/>
      <c r="AQ115" s="295"/>
      <c r="AR115" s="295"/>
      <c r="AS115" s="302"/>
      <c r="AT115" s="302"/>
      <c r="AU115" s="304"/>
      <c r="AV115" s="306"/>
      <c r="AW115" s="303"/>
      <c r="AX115" s="303"/>
      <c r="AY115" s="303"/>
      <c r="AZ115" s="303"/>
      <c r="BA115" s="303"/>
      <c r="BB115" s="303"/>
      <c r="BC115" s="303"/>
      <c r="BD115" s="304"/>
      <c r="BE115" s="305"/>
      <c r="BF115" s="302"/>
      <c r="BG115" s="307"/>
      <c r="BH115" s="308"/>
      <c r="BI115" s="302"/>
      <c r="BJ115" s="307"/>
      <c r="BK115" s="308"/>
      <c r="BL115" s="302"/>
      <c r="BM115" s="304"/>
      <c r="BN115" s="309"/>
      <c r="BO115" s="250">
        <f t="shared" si="11"/>
        <v>0</v>
      </c>
    </row>
    <row r="116" spans="1:67" ht="25.5" customHeight="1" x14ac:dyDescent="0.2">
      <c r="A116" s="142">
        <f t="shared" si="12"/>
        <v>101</v>
      </c>
      <c r="B116" s="251"/>
      <c r="C116" s="252"/>
      <c r="D116" s="253"/>
      <c r="E116" s="254"/>
      <c r="F116" s="278"/>
      <c r="G116" s="256"/>
      <c r="H116" s="257"/>
      <c r="I116" s="231" t="str">
        <f t="shared" si="7"/>
        <v/>
      </c>
      <c r="J116" s="258">
        <f t="shared" si="8"/>
        <v>0</v>
      </c>
      <c r="K116" s="259"/>
      <c r="L116" s="260"/>
      <c r="M116" s="300"/>
      <c r="N116" s="235" t="str">
        <f t="shared" si="9"/>
        <v/>
      </c>
      <c r="O116" s="236" t="str">
        <f>IF('Data Set up'!$G$40="JUNE",IF(OR($N116=7,$N116=8,$N116=9),1,IF(OR($N116=10,$N116=11,$N116=12),2,IF(OR($N116=1,$N116=2,$N116=3),3,IF(OR($N116=4,$N116=5,$N116=6),4,"")))),IF(OR($N116=9,$N116=10,$N116=11),1,IF(OR($N116=12,$N116=1,$N116=2),2,IF(OR($N116=3,$N116=4,$N116=5),3,IF(OR($N116=6,$N116=7,$N116=8),4,"")))))</f>
        <v/>
      </c>
      <c r="P116" s="261"/>
      <c r="Q116" s="301"/>
      <c r="R116" s="302"/>
      <c r="S116" s="264">
        <f t="shared" si="10"/>
        <v>0</v>
      </c>
      <c r="T116" s="302"/>
      <c r="U116" s="302"/>
      <c r="V116" s="302"/>
      <c r="W116" s="302"/>
      <c r="X116" s="302"/>
      <c r="Y116" s="302"/>
      <c r="Z116" s="302"/>
      <c r="AA116" s="302"/>
      <c r="AB116" s="303"/>
      <c r="AC116" s="304"/>
      <c r="AD116" s="305"/>
      <c r="AE116" s="302"/>
      <c r="AF116" s="302"/>
      <c r="AG116" s="302"/>
      <c r="AH116" s="302"/>
      <c r="AI116" s="303"/>
      <c r="AJ116" s="303"/>
      <c r="AK116" s="295"/>
      <c r="AL116" s="301"/>
      <c r="AM116" s="305"/>
      <c r="AN116" s="302"/>
      <c r="AO116" s="302"/>
      <c r="AP116" s="302"/>
      <c r="AQ116" s="295"/>
      <c r="AR116" s="295"/>
      <c r="AS116" s="302"/>
      <c r="AT116" s="302"/>
      <c r="AU116" s="304"/>
      <c r="AV116" s="306"/>
      <c r="AW116" s="303"/>
      <c r="AX116" s="303"/>
      <c r="AY116" s="303"/>
      <c r="AZ116" s="303"/>
      <c r="BA116" s="303"/>
      <c r="BB116" s="303"/>
      <c r="BC116" s="303"/>
      <c r="BD116" s="304"/>
      <c r="BE116" s="305"/>
      <c r="BF116" s="302"/>
      <c r="BG116" s="307"/>
      <c r="BH116" s="308"/>
      <c r="BI116" s="302"/>
      <c r="BJ116" s="307"/>
      <c r="BK116" s="308"/>
      <c r="BL116" s="302"/>
      <c r="BM116" s="304"/>
      <c r="BN116" s="309"/>
      <c r="BO116" s="250">
        <f t="shared" si="11"/>
        <v>0</v>
      </c>
    </row>
    <row r="117" spans="1:67" ht="25.5" customHeight="1" x14ac:dyDescent="0.2">
      <c r="A117" s="142">
        <f t="shared" si="12"/>
        <v>102</v>
      </c>
      <c r="B117" s="251"/>
      <c r="C117" s="252"/>
      <c r="D117" s="253"/>
      <c r="E117" s="254"/>
      <c r="F117" s="278"/>
      <c r="G117" s="256"/>
      <c r="H117" s="257"/>
      <c r="I117" s="231" t="str">
        <f t="shared" si="7"/>
        <v/>
      </c>
      <c r="J117" s="258">
        <f t="shared" si="8"/>
        <v>0</v>
      </c>
      <c r="K117" s="259"/>
      <c r="L117" s="260"/>
      <c r="M117" s="300"/>
      <c r="N117" s="235" t="str">
        <f t="shared" si="9"/>
        <v/>
      </c>
      <c r="O117" s="236" t="str">
        <f>IF('Data Set up'!$G$40="JUNE",IF(OR($N117=7,$N117=8,$N117=9),1,IF(OR($N117=10,$N117=11,$N117=12),2,IF(OR($N117=1,$N117=2,$N117=3),3,IF(OR($N117=4,$N117=5,$N117=6),4,"")))),IF(OR($N117=9,$N117=10,$N117=11),1,IF(OR($N117=12,$N117=1,$N117=2),2,IF(OR($N117=3,$N117=4,$N117=5),3,IF(OR($N117=6,$N117=7,$N117=8),4,"")))))</f>
        <v/>
      </c>
      <c r="P117" s="261"/>
      <c r="Q117" s="301"/>
      <c r="R117" s="302"/>
      <c r="S117" s="264">
        <f t="shared" si="10"/>
        <v>0</v>
      </c>
      <c r="T117" s="302"/>
      <c r="U117" s="302"/>
      <c r="V117" s="302"/>
      <c r="W117" s="302"/>
      <c r="X117" s="302"/>
      <c r="Y117" s="302"/>
      <c r="Z117" s="302"/>
      <c r="AA117" s="302"/>
      <c r="AB117" s="303"/>
      <c r="AC117" s="304"/>
      <c r="AD117" s="305"/>
      <c r="AE117" s="302"/>
      <c r="AF117" s="302"/>
      <c r="AG117" s="302"/>
      <c r="AH117" s="302"/>
      <c r="AI117" s="303"/>
      <c r="AJ117" s="303"/>
      <c r="AK117" s="295"/>
      <c r="AL117" s="301"/>
      <c r="AM117" s="305"/>
      <c r="AN117" s="302"/>
      <c r="AO117" s="302"/>
      <c r="AP117" s="302"/>
      <c r="AQ117" s="295"/>
      <c r="AR117" s="295"/>
      <c r="AS117" s="302"/>
      <c r="AT117" s="302"/>
      <c r="AU117" s="304"/>
      <c r="AV117" s="306"/>
      <c r="AW117" s="303"/>
      <c r="AX117" s="303"/>
      <c r="AY117" s="303"/>
      <c r="AZ117" s="303"/>
      <c r="BA117" s="303"/>
      <c r="BB117" s="303"/>
      <c r="BC117" s="303"/>
      <c r="BD117" s="304"/>
      <c r="BE117" s="305"/>
      <c r="BF117" s="302"/>
      <c r="BG117" s="307"/>
      <c r="BH117" s="308"/>
      <c r="BI117" s="302"/>
      <c r="BJ117" s="307"/>
      <c r="BK117" s="308"/>
      <c r="BL117" s="302"/>
      <c r="BM117" s="304"/>
      <c r="BN117" s="309"/>
      <c r="BO117" s="250">
        <f t="shared" si="11"/>
        <v>0</v>
      </c>
    </row>
    <row r="118" spans="1:67" ht="25.5" customHeight="1" x14ac:dyDescent="0.2">
      <c r="A118" s="142">
        <f t="shared" si="12"/>
        <v>103</v>
      </c>
      <c r="B118" s="251"/>
      <c r="C118" s="252"/>
      <c r="D118" s="253"/>
      <c r="E118" s="254"/>
      <c r="F118" s="278"/>
      <c r="G118" s="256"/>
      <c r="H118" s="257"/>
      <c r="I118" s="231" t="str">
        <f t="shared" si="7"/>
        <v/>
      </c>
      <c r="J118" s="258">
        <f t="shared" si="8"/>
        <v>0</v>
      </c>
      <c r="K118" s="259"/>
      <c r="L118" s="260"/>
      <c r="M118" s="300"/>
      <c r="N118" s="235" t="str">
        <f t="shared" si="9"/>
        <v/>
      </c>
      <c r="O118" s="236" t="str">
        <f>IF('Data Set up'!$G$40="JUNE",IF(OR($N118=7,$N118=8,$N118=9),1,IF(OR($N118=10,$N118=11,$N118=12),2,IF(OR($N118=1,$N118=2,$N118=3),3,IF(OR($N118=4,$N118=5,$N118=6),4,"")))),IF(OR($N118=9,$N118=10,$N118=11),1,IF(OR($N118=12,$N118=1,$N118=2),2,IF(OR($N118=3,$N118=4,$N118=5),3,IF(OR($N118=6,$N118=7,$N118=8),4,"")))))</f>
        <v/>
      </c>
      <c r="P118" s="261"/>
      <c r="Q118" s="301"/>
      <c r="R118" s="302"/>
      <c r="S118" s="264">
        <f t="shared" si="10"/>
        <v>0</v>
      </c>
      <c r="T118" s="302"/>
      <c r="U118" s="302"/>
      <c r="V118" s="302"/>
      <c r="W118" s="302"/>
      <c r="X118" s="302"/>
      <c r="Y118" s="302"/>
      <c r="Z118" s="302"/>
      <c r="AA118" s="302"/>
      <c r="AB118" s="303"/>
      <c r="AC118" s="304"/>
      <c r="AD118" s="305"/>
      <c r="AE118" s="302"/>
      <c r="AF118" s="302"/>
      <c r="AG118" s="302"/>
      <c r="AH118" s="302"/>
      <c r="AI118" s="303"/>
      <c r="AJ118" s="303"/>
      <c r="AK118" s="295"/>
      <c r="AL118" s="301"/>
      <c r="AM118" s="305"/>
      <c r="AN118" s="302"/>
      <c r="AO118" s="302"/>
      <c r="AP118" s="302"/>
      <c r="AQ118" s="295"/>
      <c r="AR118" s="295"/>
      <c r="AS118" s="302"/>
      <c r="AT118" s="302"/>
      <c r="AU118" s="304"/>
      <c r="AV118" s="306"/>
      <c r="AW118" s="303"/>
      <c r="AX118" s="303"/>
      <c r="AY118" s="303"/>
      <c r="AZ118" s="303"/>
      <c r="BA118" s="303"/>
      <c r="BB118" s="303"/>
      <c r="BC118" s="303"/>
      <c r="BD118" s="304"/>
      <c r="BE118" s="305"/>
      <c r="BF118" s="302"/>
      <c r="BG118" s="307"/>
      <c r="BH118" s="308"/>
      <c r="BI118" s="302"/>
      <c r="BJ118" s="307"/>
      <c r="BK118" s="308"/>
      <c r="BL118" s="302"/>
      <c r="BM118" s="304"/>
      <c r="BN118" s="309"/>
      <c r="BO118" s="250">
        <f t="shared" si="11"/>
        <v>0</v>
      </c>
    </row>
    <row r="119" spans="1:67" ht="25.5" customHeight="1" x14ac:dyDescent="0.2">
      <c r="A119" s="142">
        <f t="shared" si="12"/>
        <v>104</v>
      </c>
      <c r="B119" s="251"/>
      <c r="C119" s="252"/>
      <c r="D119" s="253"/>
      <c r="E119" s="254"/>
      <c r="F119" s="278"/>
      <c r="G119" s="256"/>
      <c r="H119" s="257"/>
      <c r="I119" s="231" t="str">
        <f t="shared" si="7"/>
        <v/>
      </c>
      <c r="J119" s="258">
        <f t="shared" si="8"/>
        <v>0</v>
      </c>
      <c r="K119" s="259"/>
      <c r="L119" s="260"/>
      <c r="M119" s="300"/>
      <c r="N119" s="235" t="str">
        <f t="shared" si="9"/>
        <v/>
      </c>
      <c r="O119" s="236" t="str">
        <f>IF('Data Set up'!$G$40="JUNE",IF(OR($N119=7,$N119=8,$N119=9),1,IF(OR($N119=10,$N119=11,$N119=12),2,IF(OR($N119=1,$N119=2,$N119=3),3,IF(OR($N119=4,$N119=5,$N119=6),4,"")))),IF(OR($N119=9,$N119=10,$N119=11),1,IF(OR($N119=12,$N119=1,$N119=2),2,IF(OR($N119=3,$N119=4,$N119=5),3,IF(OR($N119=6,$N119=7,$N119=8),4,"")))))</f>
        <v/>
      </c>
      <c r="P119" s="261"/>
      <c r="Q119" s="301"/>
      <c r="R119" s="302"/>
      <c r="S119" s="264">
        <f t="shared" si="10"/>
        <v>0</v>
      </c>
      <c r="T119" s="302"/>
      <c r="U119" s="302"/>
      <c r="V119" s="302"/>
      <c r="W119" s="302"/>
      <c r="X119" s="302"/>
      <c r="Y119" s="302"/>
      <c r="Z119" s="302"/>
      <c r="AA119" s="302"/>
      <c r="AB119" s="303"/>
      <c r="AC119" s="304"/>
      <c r="AD119" s="305"/>
      <c r="AE119" s="302"/>
      <c r="AF119" s="302"/>
      <c r="AG119" s="302"/>
      <c r="AH119" s="302"/>
      <c r="AI119" s="303"/>
      <c r="AJ119" s="303"/>
      <c r="AK119" s="295"/>
      <c r="AL119" s="301"/>
      <c r="AM119" s="305"/>
      <c r="AN119" s="302"/>
      <c r="AO119" s="302"/>
      <c r="AP119" s="302"/>
      <c r="AQ119" s="295"/>
      <c r="AR119" s="295"/>
      <c r="AS119" s="302"/>
      <c r="AT119" s="302"/>
      <c r="AU119" s="304"/>
      <c r="AV119" s="306"/>
      <c r="AW119" s="303"/>
      <c r="AX119" s="303"/>
      <c r="AY119" s="303"/>
      <c r="AZ119" s="303"/>
      <c r="BA119" s="303"/>
      <c r="BB119" s="303"/>
      <c r="BC119" s="303"/>
      <c r="BD119" s="304"/>
      <c r="BE119" s="305"/>
      <c r="BF119" s="302"/>
      <c r="BG119" s="307"/>
      <c r="BH119" s="308"/>
      <c r="BI119" s="302"/>
      <c r="BJ119" s="307"/>
      <c r="BK119" s="308"/>
      <c r="BL119" s="302"/>
      <c r="BM119" s="304"/>
      <c r="BN119" s="309"/>
      <c r="BO119" s="250">
        <f t="shared" si="11"/>
        <v>0</v>
      </c>
    </row>
    <row r="120" spans="1:67" ht="25.5" customHeight="1" x14ac:dyDescent="0.2">
      <c r="A120" s="142">
        <f t="shared" si="12"/>
        <v>105</v>
      </c>
      <c r="B120" s="251"/>
      <c r="C120" s="252"/>
      <c r="D120" s="253"/>
      <c r="E120" s="254"/>
      <c r="F120" s="278"/>
      <c r="G120" s="256"/>
      <c r="H120" s="257"/>
      <c r="I120" s="231" t="str">
        <f t="shared" si="7"/>
        <v/>
      </c>
      <c r="J120" s="258">
        <f t="shared" si="8"/>
        <v>0</v>
      </c>
      <c r="K120" s="259"/>
      <c r="L120" s="260"/>
      <c r="M120" s="300"/>
      <c r="N120" s="235" t="str">
        <f t="shared" si="9"/>
        <v/>
      </c>
      <c r="O120" s="236" t="str">
        <f>IF('Data Set up'!$G$40="JUNE",IF(OR($N120=7,$N120=8,$N120=9),1,IF(OR($N120=10,$N120=11,$N120=12),2,IF(OR($N120=1,$N120=2,$N120=3),3,IF(OR($N120=4,$N120=5,$N120=6),4,"")))),IF(OR($N120=9,$N120=10,$N120=11),1,IF(OR($N120=12,$N120=1,$N120=2),2,IF(OR($N120=3,$N120=4,$N120=5),3,IF(OR($N120=6,$N120=7,$N120=8),4,"")))))</f>
        <v/>
      </c>
      <c r="P120" s="261"/>
      <c r="Q120" s="301"/>
      <c r="R120" s="302"/>
      <c r="S120" s="264">
        <f t="shared" si="10"/>
        <v>0</v>
      </c>
      <c r="T120" s="302"/>
      <c r="U120" s="302"/>
      <c r="V120" s="302"/>
      <c r="W120" s="302"/>
      <c r="X120" s="302"/>
      <c r="Y120" s="302"/>
      <c r="Z120" s="302"/>
      <c r="AA120" s="302"/>
      <c r="AB120" s="303"/>
      <c r="AC120" s="304"/>
      <c r="AD120" s="305"/>
      <c r="AE120" s="302"/>
      <c r="AF120" s="302"/>
      <c r="AG120" s="302"/>
      <c r="AH120" s="302"/>
      <c r="AI120" s="303"/>
      <c r="AJ120" s="303"/>
      <c r="AK120" s="295"/>
      <c r="AL120" s="301"/>
      <c r="AM120" s="305"/>
      <c r="AN120" s="302"/>
      <c r="AO120" s="302"/>
      <c r="AP120" s="302"/>
      <c r="AQ120" s="295"/>
      <c r="AR120" s="295"/>
      <c r="AS120" s="302"/>
      <c r="AT120" s="302"/>
      <c r="AU120" s="304"/>
      <c r="AV120" s="306"/>
      <c r="AW120" s="303"/>
      <c r="AX120" s="303"/>
      <c r="AY120" s="303"/>
      <c r="AZ120" s="303"/>
      <c r="BA120" s="303"/>
      <c r="BB120" s="303"/>
      <c r="BC120" s="303"/>
      <c r="BD120" s="304"/>
      <c r="BE120" s="305"/>
      <c r="BF120" s="302"/>
      <c r="BG120" s="307"/>
      <c r="BH120" s="308"/>
      <c r="BI120" s="302"/>
      <c r="BJ120" s="307"/>
      <c r="BK120" s="308"/>
      <c r="BL120" s="302"/>
      <c r="BM120" s="304"/>
      <c r="BN120" s="309"/>
      <c r="BO120" s="250">
        <f t="shared" si="11"/>
        <v>0</v>
      </c>
    </row>
    <row r="121" spans="1:67" ht="25.5" customHeight="1" x14ac:dyDescent="0.2">
      <c r="A121" s="142">
        <f t="shared" si="12"/>
        <v>106</v>
      </c>
      <c r="B121" s="251"/>
      <c r="C121" s="252"/>
      <c r="D121" s="253"/>
      <c r="E121" s="254"/>
      <c r="F121" s="278"/>
      <c r="G121" s="256"/>
      <c r="H121" s="257"/>
      <c r="I121" s="231" t="str">
        <f t="shared" si="7"/>
        <v/>
      </c>
      <c r="J121" s="258">
        <f t="shared" si="8"/>
        <v>0</v>
      </c>
      <c r="K121" s="259"/>
      <c r="L121" s="260"/>
      <c r="M121" s="300"/>
      <c r="N121" s="235" t="str">
        <f t="shared" si="9"/>
        <v/>
      </c>
      <c r="O121" s="236" t="str">
        <f>IF('Data Set up'!$G$40="JUNE",IF(OR($N121=7,$N121=8,$N121=9),1,IF(OR($N121=10,$N121=11,$N121=12),2,IF(OR($N121=1,$N121=2,$N121=3),3,IF(OR($N121=4,$N121=5,$N121=6),4,"")))),IF(OR($N121=9,$N121=10,$N121=11),1,IF(OR($N121=12,$N121=1,$N121=2),2,IF(OR($N121=3,$N121=4,$N121=5),3,IF(OR($N121=6,$N121=7,$N121=8),4,"")))))</f>
        <v/>
      </c>
      <c r="P121" s="261"/>
      <c r="Q121" s="301"/>
      <c r="R121" s="302"/>
      <c r="S121" s="264">
        <f t="shared" si="10"/>
        <v>0</v>
      </c>
      <c r="T121" s="302"/>
      <c r="U121" s="302"/>
      <c r="V121" s="302"/>
      <c r="W121" s="302"/>
      <c r="X121" s="302"/>
      <c r="Y121" s="302"/>
      <c r="Z121" s="302"/>
      <c r="AA121" s="302"/>
      <c r="AB121" s="303"/>
      <c r="AC121" s="304"/>
      <c r="AD121" s="305"/>
      <c r="AE121" s="302"/>
      <c r="AF121" s="302"/>
      <c r="AG121" s="302"/>
      <c r="AH121" s="302"/>
      <c r="AI121" s="303"/>
      <c r="AJ121" s="303"/>
      <c r="AK121" s="295"/>
      <c r="AL121" s="301"/>
      <c r="AM121" s="305"/>
      <c r="AN121" s="302"/>
      <c r="AO121" s="302"/>
      <c r="AP121" s="302"/>
      <c r="AQ121" s="295"/>
      <c r="AR121" s="295"/>
      <c r="AS121" s="302"/>
      <c r="AT121" s="302"/>
      <c r="AU121" s="304"/>
      <c r="AV121" s="306"/>
      <c r="AW121" s="303"/>
      <c r="AX121" s="303"/>
      <c r="AY121" s="303"/>
      <c r="AZ121" s="303"/>
      <c r="BA121" s="303"/>
      <c r="BB121" s="303"/>
      <c r="BC121" s="303"/>
      <c r="BD121" s="304"/>
      <c r="BE121" s="305"/>
      <c r="BF121" s="302"/>
      <c r="BG121" s="307"/>
      <c r="BH121" s="308"/>
      <c r="BI121" s="302"/>
      <c r="BJ121" s="307"/>
      <c r="BK121" s="308"/>
      <c r="BL121" s="302"/>
      <c r="BM121" s="304"/>
      <c r="BN121" s="309"/>
      <c r="BO121" s="250">
        <f t="shared" si="11"/>
        <v>0</v>
      </c>
    </row>
    <row r="122" spans="1:67" ht="25.5" customHeight="1" x14ac:dyDescent="0.2">
      <c r="A122" s="142">
        <f t="shared" si="12"/>
        <v>107</v>
      </c>
      <c r="B122" s="251"/>
      <c r="C122" s="252"/>
      <c r="D122" s="253"/>
      <c r="E122" s="254"/>
      <c r="F122" s="278"/>
      <c r="G122" s="256"/>
      <c r="H122" s="257"/>
      <c r="I122" s="231" t="str">
        <f t="shared" si="7"/>
        <v/>
      </c>
      <c r="J122" s="258">
        <f t="shared" si="8"/>
        <v>0</v>
      </c>
      <c r="K122" s="259"/>
      <c r="L122" s="260"/>
      <c r="M122" s="300"/>
      <c r="N122" s="235" t="str">
        <f t="shared" si="9"/>
        <v/>
      </c>
      <c r="O122" s="236" t="str">
        <f>IF('Data Set up'!$G$40="JUNE",IF(OR($N122=7,$N122=8,$N122=9),1,IF(OR($N122=10,$N122=11,$N122=12),2,IF(OR($N122=1,$N122=2,$N122=3),3,IF(OR($N122=4,$N122=5,$N122=6),4,"")))),IF(OR($N122=9,$N122=10,$N122=11),1,IF(OR($N122=12,$N122=1,$N122=2),2,IF(OR($N122=3,$N122=4,$N122=5),3,IF(OR($N122=6,$N122=7,$N122=8),4,"")))))</f>
        <v/>
      </c>
      <c r="P122" s="261"/>
      <c r="Q122" s="301"/>
      <c r="R122" s="302"/>
      <c r="S122" s="264">
        <f t="shared" si="10"/>
        <v>0</v>
      </c>
      <c r="T122" s="302"/>
      <c r="U122" s="302"/>
      <c r="V122" s="302"/>
      <c r="W122" s="302"/>
      <c r="X122" s="302"/>
      <c r="Y122" s="302"/>
      <c r="Z122" s="302"/>
      <c r="AA122" s="302"/>
      <c r="AB122" s="303"/>
      <c r="AC122" s="304"/>
      <c r="AD122" s="305"/>
      <c r="AE122" s="302"/>
      <c r="AF122" s="302"/>
      <c r="AG122" s="302"/>
      <c r="AH122" s="302"/>
      <c r="AI122" s="303"/>
      <c r="AJ122" s="303"/>
      <c r="AK122" s="295"/>
      <c r="AL122" s="301"/>
      <c r="AM122" s="305"/>
      <c r="AN122" s="302"/>
      <c r="AO122" s="302"/>
      <c r="AP122" s="302"/>
      <c r="AQ122" s="295"/>
      <c r="AR122" s="295"/>
      <c r="AS122" s="302"/>
      <c r="AT122" s="302"/>
      <c r="AU122" s="304"/>
      <c r="AV122" s="306"/>
      <c r="AW122" s="303"/>
      <c r="AX122" s="303"/>
      <c r="AY122" s="303"/>
      <c r="AZ122" s="303"/>
      <c r="BA122" s="303"/>
      <c r="BB122" s="303"/>
      <c r="BC122" s="303"/>
      <c r="BD122" s="304"/>
      <c r="BE122" s="305"/>
      <c r="BF122" s="302"/>
      <c r="BG122" s="307"/>
      <c r="BH122" s="308"/>
      <c r="BI122" s="302"/>
      <c r="BJ122" s="307"/>
      <c r="BK122" s="308"/>
      <c r="BL122" s="302"/>
      <c r="BM122" s="304"/>
      <c r="BN122" s="309"/>
      <c r="BO122" s="250">
        <f t="shared" si="11"/>
        <v>0</v>
      </c>
    </row>
    <row r="123" spans="1:67" ht="25.5" customHeight="1" x14ac:dyDescent="0.2">
      <c r="A123" s="142">
        <f t="shared" si="12"/>
        <v>108</v>
      </c>
      <c r="B123" s="251"/>
      <c r="C123" s="252"/>
      <c r="D123" s="253"/>
      <c r="E123" s="254"/>
      <c r="F123" s="278"/>
      <c r="G123" s="256"/>
      <c r="H123" s="257"/>
      <c r="I123" s="231" t="str">
        <f t="shared" si="7"/>
        <v/>
      </c>
      <c r="J123" s="258">
        <f t="shared" si="8"/>
        <v>0</v>
      </c>
      <c r="K123" s="259"/>
      <c r="L123" s="260"/>
      <c r="M123" s="300"/>
      <c r="N123" s="235" t="str">
        <f t="shared" si="9"/>
        <v/>
      </c>
      <c r="O123" s="236" t="str">
        <f>IF('Data Set up'!$G$40="JUNE",IF(OR($N123=7,$N123=8,$N123=9),1,IF(OR($N123=10,$N123=11,$N123=12),2,IF(OR($N123=1,$N123=2,$N123=3),3,IF(OR($N123=4,$N123=5,$N123=6),4,"")))),IF(OR($N123=9,$N123=10,$N123=11),1,IF(OR($N123=12,$N123=1,$N123=2),2,IF(OR($N123=3,$N123=4,$N123=5),3,IF(OR($N123=6,$N123=7,$N123=8),4,"")))))</f>
        <v/>
      </c>
      <c r="P123" s="261"/>
      <c r="Q123" s="301"/>
      <c r="R123" s="302"/>
      <c r="S123" s="264">
        <f t="shared" si="10"/>
        <v>0</v>
      </c>
      <c r="T123" s="302"/>
      <c r="U123" s="302"/>
      <c r="V123" s="302"/>
      <c r="W123" s="302"/>
      <c r="X123" s="302"/>
      <c r="Y123" s="302"/>
      <c r="Z123" s="302"/>
      <c r="AA123" s="302"/>
      <c r="AB123" s="303"/>
      <c r="AC123" s="304"/>
      <c r="AD123" s="305"/>
      <c r="AE123" s="302"/>
      <c r="AF123" s="302"/>
      <c r="AG123" s="302"/>
      <c r="AH123" s="302"/>
      <c r="AI123" s="303"/>
      <c r="AJ123" s="303"/>
      <c r="AK123" s="295"/>
      <c r="AL123" s="301"/>
      <c r="AM123" s="305"/>
      <c r="AN123" s="302"/>
      <c r="AO123" s="302"/>
      <c r="AP123" s="302"/>
      <c r="AQ123" s="295"/>
      <c r="AR123" s="295"/>
      <c r="AS123" s="302"/>
      <c r="AT123" s="302"/>
      <c r="AU123" s="304"/>
      <c r="AV123" s="306"/>
      <c r="AW123" s="303"/>
      <c r="AX123" s="303"/>
      <c r="AY123" s="303"/>
      <c r="AZ123" s="303"/>
      <c r="BA123" s="303"/>
      <c r="BB123" s="303"/>
      <c r="BC123" s="303"/>
      <c r="BD123" s="304"/>
      <c r="BE123" s="305"/>
      <c r="BF123" s="302"/>
      <c r="BG123" s="307"/>
      <c r="BH123" s="308"/>
      <c r="BI123" s="302"/>
      <c r="BJ123" s="307"/>
      <c r="BK123" s="308"/>
      <c r="BL123" s="302"/>
      <c r="BM123" s="304"/>
      <c r="BN123" s="309"/>
      <c r="BO123" s="250">
        <f t="shared" si="11"/>
        <v>0</v>
      </c>
    </row>
    <row r="124" spans="1:67" ht="25.5" customHeight="1" x14ac:dyDescent="0.2">
      <c r="A124" s="142">
        <f t="shared" si="12"/>
        <v>109</v>
      </c>
      <c r="B124" s="251"/>
      <c r="C124" s="252"/>
      <c r="D124" s="253"/>
      <c r="E124" s="254"/>
      <c r="F124" s="278"/>
      <c r="G124" s="256"/>
      <c r="H124" s="257"/>
      <c r="I124" s="231" t="str">
        <f t="shared" si="7"/>
        <v/>
      </c>
      <c r="J124" s="258">
        <f t="shared" si="8"/>
        <v>0</v>
      </c>
      <c r="K124" s="259"/>
      <c r="L124" s="260"/>
      <c r="M124" s="300"/>
      <c r="N124" s="235" t="str">
        <f t="shared" si="9"/>
        <v/>
      </c>
      <c r="O124" s="236" t="str">
        <f>IF('Data Set up'!$G$40="JUNE",IF(OR($N124=7,$N124=8,$N124=9),1,IF(OR($N124=10,$N124=11,$N124=12),2,IF(OR($N124=1,$N124=2,$N124=3),3,IF(OR($N124=4,$N124=5,$N124=6),4,"")))),IF(OR($N124=9,$N124=10,$N124=11),1,IF(OR($N124=12,$N124=1,$N124=2),2,IF(OR($N124=3,$N124=4,$N124=5),3,IF(OR($N124=6,$N124=7,$N124=8),4,"")))))</f>
        <v/>
      </c>
      <c r="P124" s="261"/>
      <c r="Q124" s="301"/>
      <c r="R124" s="302"/>
      <c r="S124" s="264">
        <f t="shared" si="10"/>
        <v>0</v>
      </c>
      <c r="T124" s="302"/>
      <c r="U124" s="302"/>
      <c r="V124" s="302"/>
      <c r="W124" s="302"/>
      <c r="X124" s="302"/>
      <c r="Y124" s="302"/>
      <c r="Z124" s="302"/>
      <c r="AA124" s="302"/>
      <c r="AB124" s="303"/>
      <c r="AC124" s="304"/>
      <c r="AD124" s="305"/>
      <c r="AE124" s="302"/>
      <c r="AF124" s="302"/>
      <c r="AG124" s="302"/>
      <c r="AH124" s="302"/>
      <c r="AI124" s="303"/>
      <c r="AJ124" s="303"/>
      <c r="AK124" s="295"/>
      <c r="AL124" s="301"/>
      <c r="AM124" s="305"/>
      <c r="AN124" s="302"/>
      <c r="AO124" s="302"/>
      <c r="AP124" s="302"/>
      <c r="AQ124" s="295"/>
      <c r="AR124" s="295"/>
      <c r="AS124" s="302"/>
      <c r="AT124" s="302"/>
      <c r="AU124" s="304"/>
      <c r="AV124" s="306"/>
      <c r="AW124" s="303"/>
      <c r="AX124" s="303"/>
      <c r="AY124" s="303"/>
      <c r="AZ124" s="303"/>
      <c r="BA124" s="303"/>
      <c r="BB124" s="303"/>
      <c r="BC124" s="303"/>
      <c r="BD124" s="304"/>
      <c r="BE124" s="305"/>
      <c r="BF124" s="302"/>
      <c r="BG124" s="307"/>
      <c r="BH124" s="308"/>
      <c r="BI124" s="302"/>
      <c r="BJ124" s="307"/>
      <c r="BK124" s="308"/>
      <c r="BL124" s="302"/>
      <c r="BM124" s="304"/>
      <c r="BN124" s="309"/>
      <c r="BO124" s="250">
        <f t="shared" si="11"/>
        <v>0</v>
      </c>
    </row>
    <row r="125" spans="1:67" ht="25.5" customHeight="1" x14ac:dyDescent="0.2">
      <c r="A125" s="142">
        <f t="shared" si="12"/>
        <v>110</v>
      </c>
      <c r="B125" s="251"/>
      <c r="C125" s="252"/>
      <c r="D125" s="253"/>
      <c r="E125" s="254"/>
      <c r="F125" s="278"/>
      <c r="G125" s="256"/>
      <c r="H125" s="257"/>
      <c r="I125" s="231" t="str">
        <f t="shared" si="7"/>
        <v/>
      </c>
      <c r="J125" s="258">
        <f t="shared" si="8"/>
        <v>0</v>
      </c>
      <c r="K125" s="259"/>
      <c r="L125" s="260"/>
      <c r="M125" s="300"/>
      <c r="N125" s="235" t="str">
        <f t="shared" si="9"/>
        <v/>
      </c>
      <c r="O125" s="236" t="str">
        <f>IF('Data Set up'!$G$40="JUNE",IF(OR($N125=7,$N125=8,$N125=9),1,IF(OR($N125=10,$N125=11,$N125=12),2,IF(OR($N125=1,$N125=2,$N125=3),3,IF(OR($N125=4,$N125=5,$N125=6),4,"")))),IF(OR($N125=9,$N125=10,$N125=11),1,IF(OR($N125=12,$N125=1,$N125=2),2,IF(OR($N125=3,$N125=4,$N125=5),3,IF(OR($N125=6,$N125=7,$N125=8),4,"")))))</f>
        <v/>
      </c>
      <c r="P125" s="261"/>
      <c r="Q125" s="301"/>
      <c r="R125" s="302"/>
      <c r="S125" s="264">
        <f t="shared" si="10"/>
        <v>0</v>
      </c>
      <c r="T125" s="302"/>
      <c r="U125" s="302"/>
      <c r="V125" s="302"/>
      <c r="W125" s="302"/>
      <c r="X125" s="302"/>
      <c r="Y125" s="302"/>
      <c r="Z125" s="302"/>
      <c r="AA125" s="302"/>
      <c r="AB125" s="303"/>
      <c r="AC125" s="304"/>
      <c r="AD125" s="305"/>
      <c r="AE125" s="302"/>
      <c r="AF125" s="302"/>
      <c r="AG125" s="302"/>
      <c r="AH125" s="302"/>
      <c r="AI125" s="303"/>
      <c r="AJ125" s="303"/>
      <c r="AK125" s="295"/>
      <c r="AL125" s="301"/>
      <c r="AM125" s="305"/>
      <c r="AN125" s="302"/>
      <c r="AO125" s="302"/>
      <c r="AP125" s="302"/>
      <c r="AQ125" s="295"/>
      <c r="AR125" s="295"/>
      <c r="AS125" s="302"/>
      <c r="AT125" s="302"/>
      <c r="AU125" s="304"/>
      <c r="AV125" s="306"/>
      <c r="AW125" s="303"/>
      <c r="AX125" s="303"/>
      <c r="AY125" s="303"/>
      <c r="AZ125" s="303"/>
      <c r="BA125" s="303"/>
      <c r="BB125" s="303"/>
      <c r="BC125" s="303"/>
      <c r="BD125" s="304"/>
      <c r="BE125" s="305"/>
      <c r="BF125" s="302"/>
      <c r="BG125" s="307"/>
      <c r="BH125" s="308"/>
      <c r="BI125" s="302"/>
      <c r="BJ125" s="307"/>
      <c r="BK125" s="308"/>
      <c r="BL125" s="302"/>
      <c r="BM125" s="304"/>
      <c r="BN125" s="309"/>
      <c r="BO125" s="250">
        <f t="shared" si="11"/>
        <v>0</v>
      </c>
    </row>
    <row r="126" spans="1:67" ht="25.5" customHeight="1" x14ac:dyDescent="0.2">
      <c r="A126" s="142">
        <f t="shared" si="12"/>
        <v>111</v>
      </c>
      <c r="B126" s="251"/>
      <c r="C126" s="252"/>
      <c r="D126" s="253"/>
      <c r="E126" s="254"/>
      <c r="F126" s="278"/>
      <c r="G126" s="256"/>
      <c r="H126" s="257"/>
      <c r="I126" s="231" t="str">
        <f t="shared" si="7"/>
        <v/>
      </c>
      <c r="J126" s="258">
        <f t="shared" si="8"/>
        <v>0</v>
      </c>
      <c r="K126" s="259"/>
      <c r="L126" s="260"/>
      <c r="M126" s="300"/>
      <c r="N126" s="235" t="str">
        <f t="shared" si="9"/>
        <v/>
      </c>
      <c r="O126" s="236" t="str">
        <f>IF('Data Set up'!$G$40="JUNE",IF(OR($N126=7,$N126=8,$N126=9),1,IF(OR($N126=10,$N126=11,$N126=12),2,IF(OR($N126=1,$N126=2,$N126=3),3,IF(OR($N126=4,$N126=5,$N126=6),4,"")))),IF(OR($N126=9,$N126=10,$N126=11),1,IF(OR($N126=12,$N126=1,$N126=2),2,IF(OR($N126=3,$N126=4,$N126=5),3,IF(OR($N126=6,$N126=7,$N126=8),4,"")))))</f>
        <v/>
      </c>
      <c r="P126" s="261"/>
      <c r="Q126" s="301"/>
      <c r="R126" s="302"/>
      <c r="S126" s="264">
        <f t="shared" si="10"/>
        <v>0</v>
      </c>
      <c r="T126" s="302"/>
      <c r="U126" s="302"/>
      <c r="V126" s="302"/>
      <c r="W126" s="302"/>
      <c r="X126" s="302"/>
      <c r="Y126" s="302"/>
      <c r="Z126" s="302"/>
      <c r="AA126" s="302"/>
      <c r="AB126" s="303"/>
      <c r="AC126" s="304"/>
      <c r="AD126" s="305"/>
      <c r="AE126" s="302"/>
      <c r="AF126" s="302"/>
      <c r="AG126" s="302"/>
      <c r="AH126" s="302"/>
      <c r="AI126" s="303"/>
      <c r="AJ126" s="303"/>
      <c r="AK126" s="295"/>
      <c r="AL126" s="301"/>
      <c r="AM126" s="305"/>
      <c r="AN126" s="302"/>
      <c r="AO126" s="302"/>
      <c r="AP126" s="302"/>
      <c r="AQ126" s="295"/>
      <c r="AR126" s="295"/>
      <c r="AS126" s="302"/>
      <c r="AT126" s="302"/>
      <c r="AU126" s="304"/>
      <c r="AV126" s="306"/>
      <c r="AW126" s="303"/>
      <c r="AX126" s="303"/>
      <c r="AY126" s="303"/>
      <c r="AZ126" s="303"/>
      <c r="BA126" s="303"/>
      <c r="BB126" s="303"/>
      <c r="BC126" s="303"/>
      <c r="BD126" s="304"/>
      <c r="BE126" s="305"/>
      <c r="BF126" s="302"/>
      <c r="BG126" s="307"/>
      <c r="BH126" s="308"/>
      <c r="BI126" s="302"/>
      <c r="BJ126" s="307"/>
      <c r="BK126" s="308"/>
      <c r="BL126" s="302"/>
      <c r="BM126" s="304"/>
      <c r="BN126" s="309"/>
      <c r="BO126" s="250">
        <f t="shared" si="11"/>
        <v>0</v>
      </c>
    </row>
    <row r="127" spans="1:67" ht="25.5" customHeight="1" x14ac:dyDescent="0.2">
      <c r="A127" s="142">
        <f t="shared" si="12"/>
        <v>112</v>
      </c>
      <c r="B127" s="251"/>
      <c r="C127" s="252"/>
      <c r="D127" s="253"/>
      <c r="E127" s="254"/>
      <c r="F127" s="278"/>
      <c r="G127" s="256"/>
      <c r="H127" s="257"/>
      <c r="I127" s="231" t="str">
        <f t="shared" si="7"/>
        <v/>
      </c>
      <c r="J127" s="258">
        <f t="shared" si="8"/>
        <v>0</v>
      </c>
      <c r="K127" s="259"/>
      <c r="L127" s="260"/>
      <c r="M127" s="300"/>
      <c r="N127" s="235" t="str">
        <f t="shared" si="9"/>
        <v/>
      </c>
      <c r="O127" s="236" t="str">
        <f>IF('Data Set up'!$G$40="JUNE",IF(OR($N127=7,$N127=8,$N127=9),1,IF(OR($N127=10,$N127=11,$N127=12),2,IF(OR($N127=1,$N127=2,$N127=3),3,IF(OR($N127=4,$N127=5,$N127=6),4,"")))),IF(OR($N127=9,$N127=10,$N127=11),1,IF(OR($N127=12,$N127=1,$N127=2),2,IF(OR($N127=3,$N127=4,$N127=5),3,IF(OR($N127=6,$N127=7,$N127=8),4,"")))))</f>
        <v/>
      </c>
      <c r="P127" s="261"/>
      <c r="Q127" s="301"/>
      <c r="R127" s="302"/>
      <c r="S127" s="264">
        <f t="shared" si="10"/>
        <v>0</v>
      </c>
      <c r="T127" s="302"/>
      <c r="U127" s="302"/>
      <c r="V127" s="302"/>
      <c r="W127" s="302"/>
      <c r="X127" s="302"/>
      <c r="Y127" s="302"/>
      <c r="Z127" s="302"/>
      <c r="AA127" s="302"/>
      <c r="AB127" s="303"/>
      <c r="AC127" s="304"/>
      <c r="AD127" s="305"/>
      <c r="AE127" s="302"/>
      <c r="AF127" s="302"/>
      <c r="AG127" s="302"/>
      <c r="AH127" s="302"/>
      <c r="AI127" s="303"/>
      <c r="AJ127" s="303"/>
      <c r="AK127" s="295"/>
      <c r="AL127" s="301"/>
      <c r="AM127" s="305"/>
      <c r="AN127" s="302"/>
      <c r="AO127" s="302"/>
      <c r="AP127" s="302"/>
      <c r="AQ127" s="295"/>
      <c r="AR127" s="295"/>
      <c r="AS127" s="302"/>
      <c r="AT127" s="302"/>
      <c r="AU127" s="304"/>
      <c r="AV127" s="306"/>
      <c r="AW127" s="303"/>
      <c r="AX127" s="303"/>
      <c r="AY127" s="303"/>
      <c r="AZ127" s="303"/>
      <c r="BA127" s="303"/>
      <c r="BB127" s="303"/>
      <c r="BC127" s="303"/>
      <c r="BD127" s="304"/>
      <c r="BE127" s="305"/>
      <c r="BF127" s="302"/>
      <c r="BG127" s="307"/>
      <c r="BH127" s="308"/>
      <c r="BI127" s="302"/>
      <c r="BJ127" s="307"/>
      <c r="BK127" s="308"/>
      <c r="BL127" s="302"/>
      <c r="BM127" s="304"/>
      <c r="BN127" s="309"/>
      <c r="BO127" s="250">
        <f t="shared" si="11"/>
        <v>0</v>
      </c>
    </row>
    <row r="128" spans="1:67" ht="25.5" customHeight="1" x14ac:dyDescent="0.2">
      <c r="A128" s="142">
        <f t="shared" si="12"/>
        <v>113</v>
      </c>
      <c r="B128" s="251"/>
      <c r="C128" s="252"/>
      <c r="D128" s="253"/>
      <c r="E128" s="254"/>
      <c r="F128" s="278"/>
      <c r="G128" s="256"/>
      <c r="H128" s="257"/>
      <c r="I128" s="231" t="str">
        <f t="shared" si="7"/>
        <v/>
      </c>
      <c r="J128" s="258">
        <f t="shared" si="8"/>
        <v>0</v>
      </c>
      <c r="K128" s="259"/>
      <c r="L128" s="260"/>
      <c r="M128" s="300"/>
      <c r="N128" s="235" t="str">
        <f t="shared" si="9"/>
        <v/>
      </c>
      <c r="O128" s="236" t="str">
        <f>IF('Data Set up'!$G$40="JUNE",IF(OR($N128=7,$N128=8,$N128=9),1,IF(OR($N128=10,$N128=11,$N128=12),2,IF(OR($N128=1,$N128=2,$N128=3),3,IF(OR($N128=4,$N128=5,$N128=6),4,"")))),IF(OR($N128=9,$N128=10,$N128=11),1,IF(OR($N128=12,$N128=1,$N128=2),2,IF(OR($N128=3,$N128=4,$N128=5),3,IF(OR($N128=6,$N128=7,$N128=8),4,"")))))</f>
        <v/>
      </c>
      <c r="P128" s="261"/>
      <c r="Q128" s="301"/>
      <c r="R128" s="302"/>
      <c r="S128" s="264">
        <f t="shared" si="10"/>
        <v>0</v>
      </c>
      <c r="T128" s="302"/>
      <c r="U128" s="302"/>
      <c r="V128" s="302"/>
      <c r="W128" s="302"/>
      <c r="X128" s="302"/>
      <c r="Y128" s="302"/>
      <c r="Z128" s="302"/>
      <c r="AA128" s="302"/>
      <c r="AB128" s="303"/>
      <c r="AC128" s="304"/>
      <c r="AD128" s="305"/>
      <c r="AE128" s="302"/>
      <c r="AF128" s="302"/>
      <c r="AG128" s="302"/>
      <c r="AH128" s="302"/>
      <c r="AI128" s="303"/>
      <c r="AJ128" s="303"/>
      <c r="AK128" s="295"/>
      <c r="AL128" s="301"/>
      <c r="AM128" s="305"/>
      <c r="AN128" s="302"/>
      <c r="AO128" s="302"/>
      <c r="AP128" s="302"/>
      <c r="AQ128" s="295"/>
      <c r="AR128" s="295"/>
      <c r="AS128" s="302"/>
      <c r="AT128" s="302"/>
      <c r="AU128" s="304"/>
      <c r="AV128" s="306"/>
      <c r="AW128" s="303"/>
      <c r="AX128" s="303"/>
      <c r="AY128" s="303"/>
      <c r="AZ128" s="303"/>
      <c r="BA128" s="303"/>
      <c r="BB128" s="303"/>
      <c r="BC128" s="303"/>
      <c r="BD128" s="304"/>
      <c r="BE128" s="305"/>
      <c r="BF128" s="302"/>
      <c r="BG128" s="307"/>
      <c r="BH128" s="308"/>
      <c r="BI128" s="302"/>
      <c r="BJ128" s="307"/>
      <c r="BK128" s="308"/>
      <c r="BL128" s="302"/>
      <c r="BM128" s="304"/>
      <c r="BN128" s="309"/>
      <c r="BO128" s="250">
        <f t="shared" si="11"/>
        <v>0</v>
      </c>
    </row>
    <row r="129" spans="1:67" ht="25.5" customHeight="1" x14ac:dyDescent="0.2">
      <c r="A129" s="142">
        <f t="shared" si="12"/>
        <v>114</v>
      </c>
      <c r="B129" s="251"/>
      <c r="C129" s="252"/>
      <c r="D129" s="253"/>
      <c r="E129" s="254"/>
      <c r="F129" s="278"/>
      <c r="G129" s="256"/>
      <c r="H129" s="257"/>
      <c r="I129" s="231" t="str">
        <f t="shared" si="7"/>
        <v/>
      </c>
      <c r="J129" s="258">
        <f t="shared" si="8"/>
        <v>0</v>
      </c>
      <c r="K129" s="259"/>
      <c r="L129" s="260"/>
      <c r="M129" s="300"/>
      <c r="N129" s="235" t="str">
        <f t="shared" si="9"/>
        <v/>
      </c>
      <c r="O129" s="236" t="str">
        <f>IF('Data Set up'!$G$40="JUNE",IF(OR($N129=7,$N129=8,$N129=9),1,IF(OR($N129=10,$N129=11,$N129=12),2,IF(OR($N129=1,$N129=2,$N129=3),3,IF(OR($N129=4,$N129=5,$N129=6),4,"")))),IF(OR($N129=9,$N129=10,$N129=11),1,IF(OR($N129=12,$N129=1,$N129=2),2,IF(OR($N129=3,$N129=4,$N129=5),3,IF(OR($N129=6,$N129=7,$N129=8),4,"")))))</f>
        <v/>
      </c>
      <c r="P129" s="261"/>
      <c r="Q129" s="301"/>
      <c r="R129" s="302"/>
      <c r="S129" s="264">
        <f t="shared" si="10"/>
        <v>0</v>
      </c>
      <c r="T129" s="302"/>
      <c r="U129" s="302"/>
      <c r="V129" s="302"/>
      <c r="W129" s="302"/>
      <c r="X129" s="302"/>
      <c r="Y129" s="302"/>
      <c r="Z129" s="302"/>
      <c r="AA129" s="302"/>
      <c r="AB129" s="303"/>
      <c r="AC129" s="304"/>
      <c r="AD129" s="305"/>
      <c r="AE129" s="302"/>
      <c r="AF129" s="302"/>
      <c r="AG129" s="302"/>
      <c r="AH129" s="302"/>
      <c r="AI129" s="303"/>
      <c r="AJ129" s="303"/>
      <c r="AK129" s="295"/>
      <c r="AL129" s="301"/>
      <c r="AM129" s="305"/>
      <c r="AN129" s="302"/>
      <c r="AO129" s="302"/>
      <c r="AP129" s="302"/>
      <c r="AQ129" s="295"/>
      <c r="AR129" s="295"/>
      <c r="AS129" s="302"/>
      <c r="AT129" s="302"/>
      <c r="AU129" s="304"/>
      <c r="AV129" s="306"/>
      <c r="AW129" s="303"/>
      <c r="AX129" s="303"/>
      <c r="AY129" s="303"/>
      <c r="AZ129" s="303"/>
      <c r="BA129" s="303"/>
      <c r="BB129" s="303"/>
      <c r="BC129" s="303"/>
      <c r="BD129" s="304"/>
      <c r="BE129" s="305"/>
      <c r="BF129" s="302"/>
      <c r="BG129" s="307"/>
      <c r="BH129" s="308"/>
      <c r="BI129" s="302"/>
      <c r="BJ129" s="307"/>
      <c r="BK129" s="308"/>
      <c r="BL129" s="302"/>
      <c r="BM129" s="304"/>
      <c r="BN129" s="309"/>
      <c r="BO129" s="250">
        <f t="shared" si="11"/>
        <v>0</v>
      </c>
    </row>
    <row r="130" spans="1:67" ht="25.5" customHeight="1" x14ac:dyDescent="0.2">
      <c r="A130" s="142">
        <f t="shared" si="12"/>
        <v>115</v>
      </c>
      <c r="B130" s="251"/>
      <c r="C130" s="252"/>
      <c r="D130" s="253"/>
      <c r="E130" s="254"/>
      <c r="F130" s="278"/>
      <c r="G130" s="256"/>
      <c r="H130" s="257"/>
      <c r="I130" s="231" t="str">
        <f t="shared" si="7"/>
        <v/>
      </c>
      <c r="J130" s="258">
        <f t="shared" si="8"/>
        <v>0</v>
      </c>
      <c r="K130" s="259"/>
      <c r="L130" s="260"/>
      <c r="M130" s="300"/>
      <c r="N130" s="235" t="str">
        <f t="shared" si="9"/>
        <v/>
      </c>
      <c r="O130" s="236" t="str">
        <f>IF('Data Set up'!$G$40="JUNE",IF(OR($N130=7,$N130=8,$N130=9),1,IF(OR($N130=10,$N130=11,$N130=12),2,IF(OR($N130=1,$N130=2,$N130=3),3,IF(OR($N130=4,$N130=5,$N130=6),4,"")))),IF(OR($N130=9,$N130=10,$N130=11),1,IF(OR($N130=12,$N130=1,$N130=2),2,IF(OR($N130=3,$N130=4,$N130=5),3,IF(OR($N130=6,$N130=7,$N130=8),4,"")))))</f>
        <v/>
      </c>
      <c r="P130" s="261"/>
      <c r="Q130" s="301"/>
      <c r="R130" s="302"/>
      <c r="S130" s="264">
        <f t="shared" si="10"/>
        <v>0</v>
      </c>
      <c r="T130" s="302"/>
      <c r="U130" s="302"/>
      <c r="V130" s="302"/>
      <c r="W130" s="302"/>
      <c r="X130" s="302"/>
      <c r="Y130" s="302"/>
      <c r="Z130" s="302"/>
      <c r="AA130" s="302"/>
      <c r="AB130" s="303"/>
      <c r="AC130" s="304"/>
      <c r="AD130" s="305"/>
      <c r="AE130" s="302"/>
      <c r="AF130" s="302"/>
      <c r="AG130" s="302"/>
      <c r="AH130" s="302"/>
      <c r="AI130" s="303"/>
      <c r="AJ130" s="303"/>
      <c r="AK130" s="295"/>
      <c r="AL130" s="301"/>
      <c r="AM130" s="305"/>
      <c r="AN130" s="302"/>
      <c r="AO130" s="302"/>
      <c r="AP130" s="302"/>
      <c r="AQ130" s="295"/>
      <c r="AR130" s="295"/>
      <c r="AS130" s="302"/>
      <c r="AT130" s="302"/>
      <c r="AU130" s="304"/>
      <c r="AV130" s="306"/>
      <c r="AW130" s="303"/>
      <c r="AX130" s="303"/>
      <c r="AY130" s="303"/>
      <c r="AZ130" s="303"/>
      <c r="BA130" s="303"/>
      <c r="BB130" s="303"/>
      <c r="BC130" s="303"/>
      <c r="BD130" s="304"/>
      <c r="BE130" s="305"/>
      <c r="BF130" s="302"/>
      <c r="BG130" s="307"/>
      <c r="BH130" s="308"/>
      <c r="BI130" s="302"/>
      <c r="BJ130" s="307"/>
      <c r="BK130" s="308"/>
      <c r="BL130" s="302"/>
      <c r="BM130" s="304"/>
      <c r="BN130" s="309"/>
      <c r="BO130" s="250">
        <f t="shared" si="11"/>
        <v>0</v>
      </c>
    </row>
    <row r="131" spans="1:67" ht="25.5" customHeight="1" x14ac:dyDescent="0.2">
      <c r="A131" s="142">
        <f t="shared" si="12"/>
        <v>116</v>
      </c>
      <c r="B131" s="251"/>
      <c r="C131" s="252"/>
      <c r="D131" s="253"/>
      <c r="E131" s="254"/>
      <c r="F131" s="278"/>
      <c r="G131" s="256"/>
      <c r="H131" s="257"/>
      <c r="I131" s="231" t="str">
        <f t="shared" si="7"/>
        <v/>
      </c>
      <c r="J131" s="258">
        <f t="shared" si="8"/>
        <v>0</v>
      </c>
      <c r="K131" s="259"/>
      <c r="L131" s="260"/>
      <c r="M131" s="300"/>
      <c r="N131" s="235" t="str">
        <f t="shared" si="9"/>
        <v/>
      </c>
      <c r="O131" s="236" t="str">
        <f>IF('Data Set up'!$G$40="JUNE",IF(OR($N131=7,$N131=8,$N131=9),1,IF(OR($N131=10,$N131=11,$N131=12),2,IF(OR($N131=1,$N131=2,$N131=3),3,IF(OR($N131=4,$N131=5,$N131=6),4,"")))),IF(OR($N131=9,$N131=10,$N131=11),1,IF(OR($N131=12,$N131=1,$N131=2),2,IF(OR($N131=3,$N131=4,$N131=5),3,IF(OR($N131=6,$N131=7,$N131=8),4,"")))))</f>
        <v/>
      </c>
      <c r="P131" s="261"/>
      <c r="Q131" s="301"/>
      <c r="R131" s="302"/>
      <c r="S131" s="264">
        <f t="shared" si="10"/>
        <v>0</v>
      </c>
      <c r="T131" s="302"/>
      <c r="U131" s="302"/>
      <c r="V131" s="302"/>
      <c r="W131" s="302"/>
      <c r="X131" s="302"/>
      <c r="Y131" s="302"/>
      <c r="Z131" s="302"/>
      <c r="AA131" s="302"/>
      <c r="AB131" s="303"/>
      <c r="AC131" s="304"/>
      <c r="AD131" s="305"/>
      <c r="AE131" s="302"/>
      <c r="AF131" s="302"/>
      <c r="AG131" s="302"/>
      <c r="AH131" s="302"/>
      <c r="AI131" s="303"/>
      <c r="AJ131" s="303"/>
      <c r="AK131" s="295"/>
      <c r="AL131" s="301"/>
      <c r="AM131" s="305"/>
      <c r="AN131" s="302"/>
      <c r="AO131" s="302"/>
      <c r="AP131" s="302"/>
      <c r="AQ131" s="295"/>
      <c r="AR131" s="295"/>
      <c r="AS131" s="302"/>
      <c r="AT131" s="302"/>
      <c r="AU131" s="304"/>
      <c r="AV131" s="306"/>
      <c r="AW131" s="303"/>
      <c r="AX131" s="303"/>
      <c r="AY131" s="303"/>
      <c r="AZ131" s="303"/>
      <c r="BA131" s="303"/>
      <c r="BB131" s="303"/>
      <c r="BC131" s="303"/>
      <c r="BD131" s="304"/>
      <c r="BE131" s="305"/>
      <c r="BF131" s="302"/>
      <c r="BG131" s="307"/>
      <c r="BH131" s="308"/>
      <c r="BI131" s="302"/>
      <c r="BJ131" s="307"/>
      <c r="BK131" s="308"/>
      <c r="BL131" s="302"/>
      <c r="BM131" s="304"/>
      <c r="BN131" s="309"/>
      <c r="BO131" s="250">
        <f t="shared" si="11"/>
        <v>0</v>
      </c>
    </row>
    <row r="132" spans="1:67" ht="25.5" customHeight="1" x14ac:dyDescent="0.2">
      <c r="A132" s="142">
        <f t="shared" si="12"/>
        <v>117</v>
      </c>
      <c r="B132" s="251"/>
      <c r="C132" s="252"/>
      <c r="D132" s="253"/>
      <c r="E132" s="254"/>
      <c r="F132" s="278"/>
      <c r="G132" s="256"/>
      <c r="H132" s="257"/>
      <c r="I132" s="231" t="str">
        <f t="shared" si="7"/>
        <v/>
      </c>
      <c r="J132" s="258">
        <f t="shared" si="8"/>
        <v>0</v>
      </c>
      <c r="K132" s="259"/>
      <c r="L132" s="260"/>
      <c r="M132" s="300"/>
      <c r="N132" s="235" t="str">
        <f t="shared" si="9"/>
        <v/>
      </c>
      <c r="O132" s="236" t="str">
        <f>IF('Data Set up'!$G$40="JUNE",IF(OR($N132=7,$N132=8,$N132=9),1,IF(OR($N132=10,$N132=11,$N132=12),2,IF(OR($N132=1,$N132=2,$N132=3),3,IF(OR($N132=4,$N132=5,$N132=6),4,"")))),IF(OR($N132=9,$N132=10,$N132=11),1,IF(OR($N132=12,$N132=1,$N132=2),2,IF(OR($N132=3,$N132=4,$N132=5),3,IF(OR($N132=6,$N132=7,$N132=8),4,"")))))</f>
        <v/>
      </c>
      <c r="P132" s="261"/>
      <c r="Q132" s="301"/>
      <c r="R132" s="302"/>
      <c r="S132" s="264">
        <f t="shared" si="10"/>
        <v>0</v>
      </c>
      <c r="T132" s="302"/>
      <c r="U132" s="302"/>
      <c r="V132" s="302"/>
      <c r="W132" s="302"/>
      <c r="X132" s="302"/>
      <c r="Y132" s="302"/>
      <c r="Z132" s="302"/>
      <c r="AA132" s="302"/>
      <c r="AB132" s="303"/>
      <c r="AC132" s="304"/>
      <c r="AD132" s="305"/>
      <c r="AE132" s="302"/>
      <c r="AF132" s="302"/>
      <c r="AG132" s="302"/>
      <c r="AH132" s="302"/>
      <c r="AI132" s="303"/>
      <c r="AJ132" s="303"/>
      <c r="AK132" s="295"/>
      <c r="AL132" s="301"/>
      <c r="AM132" s="305"/>
      <c r="AN132" s="302"/>
      <c r="AO132" s="302"/>
      <c r="AP132" s="302"/>
      <c r="AQ132" s="295"/>
      <c r="AR132" s="295"/>
      <c r="AS132" s="302"/>
      <c r="AT132" s="302"/>
      <c r="AU132" s="304"/>
      <c r="AV132" s="306"/>
      <c r="AW132" s="303"/>
      <c r="AX132" s="303"/>
      <c r="AY132" s="303"/>
      <c r="AZ132" s="303"/>
      <c r="BA132" s="303"/>
      <c r="BB132" s="303"/>
      <c r="BC132" s="303"/>
      <c r="BD132" s="304"/>
      <c r="BE132" s="305"/>
      <c r="BF132" s="302"/>
      <c r="BG132" s="307"/>
      <c r="BH132" s="308"/>
      <c r="BI132" s="302"/>
      <c r="BJ132" s="307"/>
      <c r="BK132" s="308"/>
      <c r="BL132" s="302"/>
      <c r="BM132" s="304"/>
      <c r="BN132" s="309"/>
      <c r="BO132" s="250">
        <f t="shared" si="11"/>
        <v>0</v>
      </c>
    </row>
    <row r="133" spans="1:67" ht="25.5" customHeight="1" x14ac:dyDescent="0.2">
      <c r="A133" s="142">
        <f t="shared" si="12"/>
        <v>118</v>
      </c>
      <c r="B133" s="251"/>
      <c r="C133" s="252"/>
      <c r="D133" s="253"/>
      <c r="E133" s="254"/>
      <c r="F133" s="278"/>
      <c r="G133" s="256"/>
      <c r="H133" s="257"/>
      <c r="I133" s="231" t="str">
        <f t="shared" si="7"/>
        <v/>
      </c>
      <c r="J133" s="258">
        <f t="shared" si="8"/>
        <v>0</v>
      </c>
      <c r="K133" s="259"/>
      <c r="L133" s="260"/>
      <c r="M133" s="300"/>
      <c r="N133" s="235" t="str">
        <f t="shared" si="9"/>
        <v/>
      </c>
      <c r="O133" s="236" t="str">
        <f>IF('Data Set up'!$G$40="JUNE",IF(OR($N133=7,$N133=8,$N133=9),1,IF(OR($N133=10,$N133=11,$N133=12),2,IF(OR($N133=1,$N133=2,$N133=3),3,IF(OR($N133=4,$N133=5,$N133=6),4,"")))),IF(OR($N133=9,$N133=10,$N133=11),1,IF(OR($N133=12,$N133=1,$N133=2),2,IF(OR($N133=3,$N133=4,$N133=5),3,IF(OR($N133=6,$N133=7,$N133=8),4,"")))))</f>
        <v/>
      </c>
      <c r="P133" s="261"/>
      <c r="Q133" s="301"/>
      <c r="R133" s="302"/>
      <c r="S133" s="264">
        <f t="shared" si="10"/>
        <v>0</v>
      </c>
      <c r="T133" s="302"/>
      <c r="U133" s="302"/>
      <c r="V133" s="302"/>
      <c r="W133" s="302"/>
      <c r="X133" s="302"/>
      <c r="Y133" s="302"/>
      <c r="Z133" s="302"/>
      <c r="AA133" s="302"/>
      <c r="AB133" s="303"/>
      <c r="AC133" s="304"/>
      <c r="AD133" s="305"/>
      <c r="AE133" s="302"/>
      <c r="AF133" s="302"/>
      <c r="AG133" s="302"/>
      <c r="AH133" s="302"/>
      <c r="AI133" s="303"/>
      <c r="AJ133" s="303"/>
      <c r="AK133" s="295"/>
      <c r="AL133" s="301"/>
      <c r="AM133" s="305"/>
      <c r="AN133" s="302"/>
      <c r="AO133" s="302"/>
      <c r="AP133" s="302"/>
      <c r="AQ133" s="295"/>
      <c r="AR133" s="295"/>
      <c r="AS133" s="302"/>
      <c r="AT133" s="302"/>
      <c r="AU133" s="304"/>
      <c r="AV133" s="306"/>
      <c r="AW133" s="303"/>
      <c r="AX133" s="303"/>
      <c r="AY133" s="303"/>
      <c r="AZ133" s="303"/>
      <c r="BA133" s="303"/>
      <c r="BB133" s="303"/>
      <c r="BC133" s="303"/>
      <c r="BD133" s="304"/>
      <c r="BE133" s="305"/>
      <c r="BF133" s="302"/>
      <c r="BG133" s="307"/>
      <c r="BH133" s="308"/>
      <c r="BI133" s="302"/>
      <c r="BJ133" s="307"/>
      <c r="BK133" s="308"/>
      <c r="BL133" s="302"/>
      <c r="BM133" s="304"/>
      <c r="BN133" s="309"/>
      <c r="BO133" s="250">
        <f t="shared" si="11"/>
        <v>0</v>
      </c>
    </row>
    <row r="134" spans="1:67" ht="25.5" customHeight="1" x14ac:dyDescent="0.2">
      <c r="A134" s="142">
        <f t="shared" si="12"/>
        <v>119</v>
      </c>
      <c r="B134" s="251"/>
      <c r="C134" s="252"/>
      <c r="D134" s="253"/>
      <c r="E134" s="254"/>
      <c r="F134" s="278"/>
      <c r="G134" s="256"/>
      <c r="H134" s="257"/>
      <c r="I134" s="231" t="str">
        <f t="shared" si="7"/>
        <v/>
      </c>
      <c r="J134" s="258">
        <f t="shared" si="8"/>
        <v>0</v>
      </c>
      <c r="K134" s="259"/>
      <c r="L134" s="260"/>
      <c r="M134" s="300"/>
      <c r="N134" s="235" t="str">
        <f t="shared" si="9"/>
        <v/>
      </c>
      <c r="O134" s="236" t="str">
        <f>IF('Data Set up'!$G$40="JUNE",IF(OR($N134=7,$N134=8,$N134=9),1,IF(OR($N134=10,$N134=11,$N134=12),2,IF(OR($N134=1,$N134=2,$N134=3),3,IF(OR($N134=4,$N134=5,$N134=6),4,"")))),IF(OR($N134=9,$N134=10,$N134=11),1,IF(OR($N134=12,$N134=1,$N134=2),2,IF(OR($N134=3,$N134=4,$N134=5),3,IF(OR($N134=6,$N134=7,$N134=8),4,"")))))</f>
        <v/>
      </c>
      <c r="P134" s="261"/>
      <c r="Q134" s="301"/>
      <c r="R134" s="302"/>
      <c r="S134" s="264">
        <f t="shared" si="10"/>
        <v>0</v>
      </c>
      <c r="T134" s="302"/>
      <c r="U134" s="302"/>
      <c r="V134" s="302"/>
      <c r="W134" s="302"/>
      <c r="X134" s="302"/>
      <c r="Y134" s="302"/>
      <c r="Z134" s="302"/>
      <c r="AA134" s="302"/>
      <c r="AB134" s="303"/>
      <c r="AC134" s="304"/>
      <c r="AD134" s="305"/>
      <c r="AE134" s="302"/>
      <c r="AF134" s="302"/>
      <c r="AG134" s="302"/>
      <c r="AH134" s="302"/>
      <c r="AI134" s="303"/>
      <c r="AJ134" s="303"/>
      <c r="AK134" s="295"/>
      <c r="AL134" s="301"/>
      <c r="AM134" s="305"/>
      <c r="AN134" s="302"/>
      <c r="AO134" s="302"/>
      <c r="AP134" s="302"/>
      <c r="AQ134" s="295"/>
      <c r="AR134" s="295"/>
      <c r="AS134" s="302"/>
      <c r="AT134" s="302"/>
      <c r="AU134" s="304"/>
      <c r="AV134" s="306"/>
      <c r="AW134" s="303"/>
      <c r="AX134" s="303"/>
      <c r="AY134" s="303"/>
      <c r="AZ134" s="303"/>
      <c r="BA134" s="303"/>
      <c r="BB134" s="303"/>
      <c r="BC134" s="303"/>
      <c r="BD134" s="304"/>
      <c r="BE134" s="305"/>
      <c r="BF134" s="302"/>
      <c r="BG134" s="307"/>
      <c r="BH134" s="308"/>
      <c r="BI134" s="302"/>
      <c r="BJ134" s="307"/>
      <c r="BK134" s="308"/>
      <c r="BL134" s="302"/>
      <c r="BM134" s="304"/>
      <c r="BN134" s="309"/>
      <c r="BO134" s="250">
        <f t="shared" si="11"/>
        <v>0</v>
      </c>
    </row>
    <row r="135" spans="1:67" ht="25.5" customHeight="1" x14ac:dyDescent="0.2">
      <c r="A135" s="142">
        <f t="shared" si="12"/>
        <v>120</v>
      </c>
      <c r="B135" s="251"/>
      <c r="C135" s="252"/>
      <c r="D135" s="253"/>
      <c r="E135" s="254"/>
      <c r="F135" s="278"/>
      <c r="G135" s="256"/>
      <c r="H135" s="257"/>
      <c r="I135" s="231" t="str">
        <f t="shared" si="7"/>
        <v/>
      </c>
      <c r="J135" s="258">
        <f t="shared" si="8"/>
        <v>0</v>
      </c>
      <c r="K135" s="259"/>
      <c r="L135" s="260"/>
      <c r="M135" s="300"/>
      <c r="N135" s="235" t="str">
        <f t="shared" si="9"/>
        <v/>
      </c>
      <c r="O135" s="236" t="str">
        <f>IF('Data Set up'!$G$40="JUNE",IF(OR($N135=7,$N135=8,$N135=9),1,IF(OR($N135=10,$N135=11,$N135=12),2,IF(OR($N135=1,$N135=2,$N135=3),3,IF(OR($N135=4,$N135=5,$N135=6),4,"")))),IF(OR($N135=9,$N135=10,$N135=11),1,IF(OR($N135=12,$N135=1,$N135=2),2,IF(OR($N135=3,$N135=4,$N135=5),3,IF(OR($N135=6,$N135=7,$N135=8),4,"")))))</f>
        <v/>
      </c>
      <c r="P135" s="261"/>
      <c r="Q135" s="301"/>
      <c r="R135" s="302"/>
      <c r="S135" s="264">
        <f t="shared" si="10"/>
        <v>0</v>
      </c>
      <c r="T135" s="302"/>
      <c r="U135" s="302"/>
      <c r="V135" s="302"/>
      <c r="W135" s="302"/>
      <c r="X135" s="302"/>
      <c r="Y135" s="302"/>
      <c r="Z135" s="302"/>
      <c r="AA135" s="302"/>
      <c r="AB135" s="303"/>
      <c r="AC135" s="304"/>
      <c r="AD135" s="305"/>
      <c r="AE135" s="302"/>
      <c r="AF135" s="302"/>
      <c r="AG135" s="302"/>
      <c r="AH135" s="302"/>
      <c r="AI135" s="303"/>
      <c r="AJ135" s="303"/>
      <c r="AK135" s="295"/>
      <c r="AL135" s="301"/>
      <c r="AM135" s="305"/>
      <c r="AN135" s="302"/>
      <c r="AO135" s="302"/>
      <c r="AP135" s="302"/>
      <c r="AQ135" s="295"/>
      <c r="AR135" s="295"/>
      <c r="AS135" s="302"/>
      <c r="AT135" s="302"/>
      <c r="AU135" s="304"/>
      <c r="AV135" s="306"/>
      <c r="AW135" s="303"/>
      <c r="AX135" s="303"/>
      <c r="AY135" s="303"/>
      <c r="AZ135" s="303"/>
      <c r="BA135" s="303"/>
      <c r="BB135" s="303"/>
      <c r="BC135" s="303"/>
      <c r="BD135" s="304"/>
      <c r="BE135" s="305"/>
      <c r="BF135" s="302"/>
      <c r="BG135" s="307"/>
      <c r="BH135" s="308"/>
      <c r="BI135" s="302"/>
      <c r="BJ135" s="307"/>
      <c r="BK135" s="308"/>
      <c r="BL135" s="302"/>
      <c r="BM135" s="304"/>
      <c r="BN135" s="309"/>
      <c r="BO135" s="250">
        <f t="shared" si="11"/>
        <v>0</v>
      </c>
    </row>
    <row r="136" spans="1:67" ht="25.5" customHeight="1" x14ac:dyDescent="0.2">
      <c r="A136" s="142">
        <f t="shared" si="12"/>
        <v>121</v>
      </c>
      <c r="B136" s="251"/>
      <c r="C136" s="252"/>
      <c r="D136" s="253"/>
      <c r="E136" s="254"/>
      <c r="F136" s="278"/>
      <c r="G136" s="256"/>
      <c r="H136" s="257"/>
      <c r="I136" s="231" t="str">
        <f t="shared" si="7"/>
        <v/>
      </c>
      <c r="J136" s="258">
        <f t="shared" si="8"/>
        <v>0</v>
      </c>
      <c r="K136" s="259"/>
      <c r="L136" s="260"/>
      <c r="M136" s="300"/>
      <c r="N136" s="235" t="str">
        <f t="shared" si="9"/>
        <v/>
      </c>
      <c r="O136" s="236" t="str">
        <f>IF('Data Set up'!$G$40="JUNE",IF(OR($N136=7,$N136=8,$N136=9),1,IF(OR($N136=10,$N136=11,$N136=12),2,IF(OR($N136=1,$N136=2,$N136=3),3,IF(OR($N136=4,$N136=5,$N136=6),4,"")))),IF(OR($N136=9,$N136=10,$N136=11),1,IF(OR($N136=12,$N136=1,$N136=2),2,IF(OR($N136=3,$N136=4,$N136=5),3,IF(OR($N136=6,$N136=7,$N136=8),4,"")))))</f>
        <v/>
      </c>
      <c r="P136" s="261"/>
      <c r="Q136" s="301"/>
      <c r="R136" s="302"/>
      <c r="S136" s="264">
        <f t="shared" si="10"/>
        <v>0</v>
      </c>
      <c r="T136" s="302"/>
      <c r="U136" s="302"/>
      <c r="V136" s="302"/>
      <c r="W136" s="302"/>
      <c r="X136" s="302"/>
      <c r="Y136" s="302"/>
      <c r="Z136" s="302"/>
      <c r="AA136" s="302"/>
      <c r="AB136" s="303"/>
      <c r="AC136" s="304"/>
      <c r="AD136" s="305"/>
      <c r="AE136" s="302"/>
      <c r="AF136" s="302"/>
      <c r="AG136" s="302"/>
      <c r="AH136" s="302"/>
      <c r="AI136" s="303"/>
      <c r="AJ136" s="303"/>
      <c r="AK136" s="295"/>
      <c r="AL136" s="301"/>
      <c r="AM136" s="305"/>
      <c r="AN136" s="302"/>
      <c r="AO136" s="302"/>
      <c r="AP136" s="302"/>
      <c r="AQ136" s="295"/>
      <c r="AR136" s="295"/>
      <c r="AS136" s="302"/>
      <c r="AT136" s="302"/>
      <c r="AU136" s="304"/>
      <c r="AV136" s="306"/>
      <c r="AW136" s="303"/>
      <c r="AX136" s="303"/>
      <c r="AY136" s="303"/>
      <c r="AZ136" s="303"/>
      <c r="BA136" s="303"/>
      <c r="BB136" s="303"/>
      <c r="BC136" s="303"/>
      <c r="BD136" s="304"/>
      <c r="BE136" s="305"/>
      <c r="BF136" s="302"/>
      <c r="BG136" s="307"/>
      <c r="BH136" s="308"/>
      <c r="BI136" s="302"/>
      <c r="BJ136" s="307"/>
      <c r="BK136" s="308"/>
      <c r="BL136" s="302"/>
      <c r="BM136" s="304"/>
      <c r="BN136" s="309"/>
      <c r="BO136" s="250">
        <f t="shared" si="11"/>
        <v>0</v>
      </c>
    </row>
    <row r="137" spans="1:67" ht="25.5" customHeight="1" x14ac:dyDescent="0.2">
      <c r="A137" s="142">
        <f t="shared" si="12"/>
        <v>122</v>
      </c>
      <c r="B137" s="251"/>
      <c r="C137" s="252"/>
      <c r="D137" s="253"/>
      <c r="E137" s="254"/>
      <c r="F137" s="278"/>
      <c r="G137" s="256"/>
      <c r="H137" s="257"/>
      <c r="I137" s="231" t="str">
        <f t="shared" si="7"/>
        <v/>
      </c>
      <c r="J137" s="258">
        <f t="shared" si="8"/>
        <v>0</v>
      </c>
      <c r="K137" s="259"/>
      <c r="L137" s="260"/>
      <c r="M137" s="300"/>
      <c r="N137" s="235" t="str">
        <f t="shared" si="9"/>
        <v/>
      </c>
      <c r="O137" s="236" t="str">
        <f>IF('Data Set up'!$G$40="JUNE",IF(OR($N137=7,$N137=8,$N137=9),1,IF(OR($N137=10,$N137=11,$N137=12),2,IF(OR($N137=1,$N137=2,$N137=3),3,IF(OR($N137=4,$N137=5,$N137=6),4,"")))),IF(OR($N137=9,$N137=10,$N137=11),1,IF(OR($N137=12,$N137=1,$N137=2),2,IF(OR($N137=3,$N137=4,$N137=5),3,IF(OR($N137=6,$N137=7,$N137=8),4,"")))))</f>
        <v/>
      </c>
      <c r="P137" s="261"/>
      <c r="Q137" s="301"/>
      <c r="R137" s="302"/>
      <c r="S137" s="264">
        <f t="shared" si="10"/>
        <v>0</v>
      </c>
      <c r="T137" s="302"/>
      <c r="U137" s="302"/>
      <c r="V137" s="302"/>
      <c r="W137" s="302"/>
      <c r="X137" s="302"/>
      <c r="Y137" s="302"/>
      <c r="Z137" s="302"/>
      <c r="AA137" s="302"/>
      <c r="AB137" s="303"/>
      <c r="AC137" s="304"/>
      <c r="AD137" s="305"/>
      <c r="AE137" s="302"/>
      <c r="AF137" s="302"/>
      <c r="AG137" s="302"/>
      <c r="AH137" s="302"/>
      <c r="AI137" s="303"/>
      <c r="AJ137" s="303"/>
      <c r="AK137" s="295"/>
      <c r="AL137" s="301"/>
      <c r="AM137" s="305"/>
      <c r="AN137" s="302"/>
      <c r="AO137" s="302"/>
      <c r="AP137" s="302"/>
      <c r="AQ137" s="295"/>
      <c r="AR137" s="295"/>
      <c r="AS137" s="302"/>
      <c r="AT137" s="302"/>
      <c r="AU137" s="304"/>
      <c r="AV137" s="306"/>
      <c r="AW137" s="303"/>
      <c r="AX137" s="303"/>
      <c r="AY137" s="303"/>
      <c r="AZ137" s="303"/>
      <c r="BA137" s="303"/>
      <c r="BB137" s="303"/>
      <c r="BC137" s="303"/>
      <c r="BD137" s="304"/>
      <c r="BE137" s="305"/>
      <c r="BF137" s="302"/>
      <c r="BG137" s="307"/>
      <c r="BH137" s="308"/>
      <c r="BI137" s="302"/>
      <c r="BJ137" s="307"/>
      <c r="BK137" s="308"/>
      <c r="BL137" s="302"/>
      <c r="BM137" s="304"/>
      <c r="BN137" s="309"/>
      <c r="BO137" s="250">
        <f t="shared" si="11"/>
        <v>0</v>
      </c>
    </row>
    <row r="138" spans="1:67" ht="25.5" customHeight="1" x14ac:dyDescent="0.2">
      <c r="A138" s="142">
        <f t="shared" si="12"/>
        <v>123</v>
      </c>
      <c r="B138" s="251"/>
      <c r="C138" s="252"/>
      <c r="D138" s="253"/>
      <c r="E138" s="254"/>
      <c r="F138" s="278"/>
      <c r="G138" s="256"/>
      <c r="H138" s="257"/>
      <c r="I138" s="231" t="str">
        <f t="shared" si="7"/>
        <v/>
      </c>
      <c r="J138" s="258">
        <f t="shared" si="8"/>
        <v>0</v>
      </c>
      <c r="K138" s="259"/>
      <c r="L138" s="260"/>
      <c r="M138" s="300"/>
      <c r="N138" s="235" t="str">
        <f t="shared" si="9"/>
        <v/>
      </c>
      <c r="O138" s="236" t="str">
        <f>IF('Data Set up'!$G$40="JUNE",IF(OR($N138=7,$N138=8,$N138=9),1,IF(OR($N138=10,$N138=11,$N138=12),2,IF(OR($N138=1,$N138=2,$N138=3),3,IF(OR($N138=4,$N138=5,$N138=6),4,"")))),IF(OR($N138=9,$N138=10,$N138=11),1,IF(OR($N138=12,$N138=1,$N138=2),2,IF(OR($N138=3,$N138=4,$N138=5),3,IF(OR($N138=6,$N138=7,$N138=8),4,"")))))</f>
        <v/>
      </c>
      <c r="P138" s="261"/>
      <c r="Q138" s="301"/>
      <c r="R138" s="302"/>
      <c r="S138" s="264">
        <f t="shared" si="10"/>
        <v>0</v>
      </c>
      <c r="T138" s="302"/>
      <c r="U138" s="302"/>
      <c r="V138" s="302"/>
      <c r="W138" s="302"/>
      <c r="X138" s="302"/>
      <c r="Y138" s="302"/>
      <c r="Z138" s="302"/>
      <c r="AA138" s="302"/>
      <c r="AB138" s="303"/>
      <c r="AC138" s="304"/>
      <c r="AD138" s="305"/>
      <c r="AE138" s="302"/>
      <c r="AF138" s="302"/>
      <c r="AG138" s="302"/>
      <c r="AH138" s="302"/>
      <c r="AI138" s="303"/>
      <c r="AJ138" s="303"/>
      <c r="AK138" s="295"/>
      <c r="AL138" s="301"/>
      <c r="AM138" s="305"/>
      <c r="AN138" s="302"/>
      <c r="AO138" s="302"/>
      <c r="AP138" s="302"/>
      <c r="AQ138" s="295"/>
      <c r="AR138" s="295"/>
      <c r="AS138" s="302"/>
      <c r="AT138" s="302"/>
      <c r="AU138" s="304"/>
      <c r="AV138" s="306"/>
      <c r="AW138" s="303"/>
      <c r="AX138" s="303"/>
      <c r="AY138" s="303"/>
      <c r="AZ138" s="303"/>
      <c r="BA138" s="303"/>
      <c r="BB138" s="303"/>
      <c r="BC138" s="303"/>
      <c r="BD138" s="304"/>
      <c r="BE138" s="305"/>
      <c r="BF138" s="302"/>
      <c r="BG138" s="307"/>
      <c r="BH138" s="308"/>
      <c r="BI138" s="302"/>
      <c r="BJ138" s="307"/>
      <c r="BK138" s="308"/>
      <c r="BL138" s="302"/>
      <c r="BM138" s="304"/>
      <c r="BN138" s="309"/>
      <c r="BO138" s="250">
        <f t="shared" si="11"/>
        <v>0</v>
      </c>
    </row>
    <row r="139" spans="1:67" ht="25.5" customHeight="1" x14ac:dyDescent="0.2">
      <c r="A139" s="142">
        <f t="shared" si="12"/>
        <v>124</v>
      </c>
      <c r="B139" s="251"/>
      <c r="C139" s="252"/>
      <c r="D139" s="253"/>
      <c r="E139" s="254"/>
      <c r="F139" s="278"/>
      <c r="G139" s="256"/>
      <c r="H139" s="257"/>
      <c r="I139" s="231" t="str">
        <f t="shared" si="7"/>
        <v/>
      </c>
      <c r="J139" s="258">
        <f t="shared" si="8"/>
        <v>0</v>
      </c>
      <c r="K139" s="259"/>
      <c r="L139" s="260"/>
      <c r="M139" s="300"/>
      <c r="N139" s="235" t="str">
        <f t="shared" si="9"/>
        <v/>
      </c>
      <c r="O139" s="236" t="str">
        <f>IF('Data Set up'!$G$40="JUNE",IF(OR($N139=7,$N139=8,$N139=9),1,IF(OR($N139=10,$N139=11,$N139=12),2,IF(OR($N139=1,$N139=2,$N139=3),3,IF(OR($N139=4,$N139=5,$N139=6),4,"")))),IF(OR($N139=9,$N139=10,$N139=11),1,IF(OR($N139=12,$N139=1,$N139=2),2,IF(OR($N139=3,$N139=4,$N139=5),3,IF(OR($N139=6,$N139=7,$N139=8),4,"")))))</f>
        <v/>
      </c>
      <c r="P139" s="261"/>
      <c r="Q139" s="301"/>
      <c r="R139" s="302"/>
      <c r="S139" s="264">
        <f t="shared" si="10"/>
        <v>0</v>
      </c>
      <c r="T139" s="302"/>
      <c r="U139" s="302"/>
      <c r="V139" s="302"/>
      <c r="W139" s="302"/>
      <c r="X139" s="302"/>
      <c r="Y139" s="302"/>
      <c r="Z139" s="302"/>
      <c r="AA139" s="302"/>
      <c r="AB139" s="303"/>
      <c r="AC139" s="304"/>
      <c r="AD139" s="305"/>
      <c r="AE139" s="302"/>
      <c r="AF139" s="302"/>
      <c r="AG139" s="302"/>
      <c r="AH139" s="302"/>
      <c r="AI139" s="303"/>
      <c r="AJ139" s="303"/>
      <c r="AK139" s="295"/>
      <c r="AL139" s="301"/>
      <c r="AM139" s="305"/>
      <c r="AN139" s="302"/>
      <c r="AO139" s="302"/>
      <c r="AP139" s="302"/>
      <c r="AQ139" s="295"/>
      <c r="AR139" s="295"/>
      <c r="AS139" s="302"/>
      <c r="AT139" s="302"/>
      <c r="AU139" s="304"/>
      <c r="AV139" s="306"/>
      <c r="AW139" s="303"/>
      <c r="AX139" s="303"/>
      <c r="AY139" s="303"/>
      <c r="AZ139" s="303"/>
      <c r="BA139" s="303"/>
      <c r="BB139" s="303"/>
      <c r="BC139" s="303"/>
      <c r="BD139" s="304"/>
      <c r="BE139" s="305"/>
      <c r="BF139" s="302"/>
      <c r="BG139" s="307"/>
      <c r="BH139" s="308"/>
      <c r="BI139" s="302"/>
      <c r="BJ139" s="307"/>
      <c r="BK139" s="308"/>
      <c r="BL139" s="302"/>
      <c r="BM139" s="304"/>
      <c r="BN139" s="309"/>
      <c r="BO139" s="250">
        <f t="shared" si="11"/>
        <v>0</v>
      </c>
    </row>
    <row r="140" spans="1:67" ht="25.5" customHeight="1" x14ac:dyDescent="0.2">
      <c r="A140" s="142">
        <f t="shared" si="12"/>
        <v>125</v>
      </c>
      <c r="B140" s="251"/>
      <c r="C140" s="252"/>
      <c r="D140" s="253"/>
      <c r="E140" s="254"/>
      <c r="F140" s="278"/>
      <c r="G140" s="256"/>
      <c r="H140" s="257"/>
      <c r="I140" s="231" t="str">
        <f t="shared" si="7"/>
        <v/>
      </c>
      <c r="J140" s="258">
        <f t="shared" si="8"/>
        <v>0</v>
      </c>
      <c r="K140" s="259"/>
      <c r="L140" s="260"/>
      <c r="M140" s="260"/>
      <c r="N140" s="235" t="str">
        <f t="shared" si="9"/>
        <v/>
      </c>
      <c r="O140" s="236" t="str">
        <f>IF('Data Set up'!$G$40="JUNE",IF(OR($N140=7,$N140=8,$N140=9),1,IF(OR($N140=10,$N140=11,$N140=12),2,IF(OR($N140=1,$N140=2,$N140=3),3,IF(OR($N140=4,$N140=5,$N140=6),4,"")))),IF(OR($N140=9,$N140=10,$N140=11),1,IF(OR($N140=12,$N140=1,$N140=2),2,IF(OR($N140=3,$N140=4,$N140=5),3,IF(OR($N140=6,$N140=7,$N140=8),4,"")))))</f>
        <v/>
      </c>
      <c r="P140" s="261"/>
      <c r="Q140" s="270"/>
      <c r="R140" s="295"/>
      <c r="S140" s="264">
        <f t="shared" si="10"/>
        <v>0</v>
      </c>
      <c r="T140" s="295"/>
      <c r="U140" s="295"/>
      <c r="V140" s="295"/>
      <c r="W140" s="295"/>
      <c r="X140" s="295"/>
      <c r="Y140" s="295"/>
      <c r="Z140" s="295"/>
      <c r="AA140" s="295"/>
      <c r="AB140" s="296"/>
      <c r="AC140" s="304"/>
      <c r="AD140" s="305"/>
      <c r="AE140" s="295"/>
      <c r="AF140" s="295"/>
      <c r="AG140" s="295"/>
      <c r="AH140" s="295"/>
      <c r="AI140" s="296"/>
      <c r="AJ140" s="296"/>
      <c r="AK140" s="295"/>
      <c r="AL140" s="310"/>
      <c r="AM140" s="270"/>
      <c r="AN140" s="295"/>
      <c r="AO140" s="295"/>
      <c r="AP140" s="295"/>
      <c r="AQ140" s="295"/>
      <c r="AR140" s="295"/>
      <c r="AS140" s="295"/>
      <c r="AT140" s="295"/>
      <c r="AU140" s="297"/>
      <c r="AV140" s="311"/>
      <c r="AW140" s="296"/>
      <c r="AX140" s="296"/>
      <c r="AY140" s="296"/>
      <c r="AZ140" s="296"/>
      <c r="BA140" s="296"/>
      <c r="BB140" s="296"/>
      <c r="BC140" s="296"/>
      <c r="BD140" s="297"/>
      <c r="BE140" s="270"/>
      <c r="BF140" s="295"/>
      <c r="BG140" s="298"/>
      <c r="BH140" s="299"/>
      <c r="BI140" s="295"/>
      <c r="BJ140" s="298"/>
      <c r="BK140" s="299"/>
      <c r="BL140" s="295"/>
      <c r="BM140" s="296"/>
      <c r="BN140" s="312"/>
      <c r="BO140" s="250">
        <f t="shared" si="11"/>
        <v>0</v>
      </c>
    </row>
    <row r="141" spans="1:67" ht="25.5" customHeight="1" x14ac:dyDescent="0.2">
      <c r="A141" s="142">
        <f t="shared" si="12"/>
        <v>126</v>
      </c>
      <c r="B141" s="251"/>
      <c r="C141" s="252"/>
      <c r="D141" s="253"/>
      <c r="E141" s="254"/>
      <c r="F141" s="278"/>
      <c r="G141" s="256"/>
      <c r="H141" s="257"/>
      <c r="I141" s="231" t="str">
        <f t="shared" si="7"/>
        <v/>
      </c>
      <c r="J141" s="258">
        <f t="shared" si="8"/>
        <v>0</v>
      </c>
      <c r="K141" s="259"/>
      <c r="L141" s="260"/>
      <c r="M141" s="260"/>
      <c r="N141" s="235" t="str">
        <f t="shared" si="9"/>
        <v/>
      </c>
      <c r="O141" s="236" t="str">
        <f>IF('Data Set up'!$G$40="JUNE",IF(OR($N141=7,$N141=8,$N141=9),1,IF(OR($N141=10,$N141=11,$N141=12),2,IF(OR($N141=1,$N141=2,$N141=3),3,IF(OR($N141=4,$N141=5,$N141=6),4,"")))),IF(OR($N141=9,$N141=10,$N141=11),1,IF(OR($N141=12,$N141=1,$N141=2),2,IF(OR($N141=3,$N141=4,$N141=5),3,IF(OR($N141=6,$N141=7,$N141=8),4,"")))))</f>
        <v/>
      </c>
      <c r="P141" s="261"/>
      <c r="Q141" s="270"/>
      <c r="R141" s="295"/>
      <c r="S141" s="264">
        <f t="shared" si="10"/>
        <v>0</v>
      </c>
      <c r="T141" s="295"/>
      <c r="U141" s="295"/>
      <c r="V141" s="295"/>
      <c r="W141" s="295"/>
      <c r="X141" s="295"/>
      <c r="Y141" s="295"/>
      <c r="Z141" s="295"/>
      <c r="AA141" s="295"/>
      <c r="AB141" s="296"/>
      <c r="AC141" s="304"/>
      <c r="AD141" s="305"/>
      <c r="AE141" s="295"/>
      <c r="AF141" s="295"/>
      <c r="AG141" s="295"/>
      <c r="AH141" s="295"/>
      <c r="AI141" s="296"/>
      <c r="AJ141" s="296"/>
      <c r="AK141" s="295"/>
      <c r="AL141" s="310"/>
      <c r="AM141" s="270"/>
      <c r="AN141" s="295"/>
      <c r="AO141" s="295"/>
      <c r="AP141" s="295"/>
      <c r="AQ141" s="295"/>
      <c r="AR141" s="295"/>
      <c r="AS141" s="295"/>
      <c r="AT141" s="295"/>
      <c r="AU141" s="297"/>
      <c r="AV141" s="311"/>
      <c r="AW141" s="296"/>
      <c r="AX141" s="296"/>
      <c r="AY141" s="296"/>
      <c r="AZ141" s="296"/>
      <c r="BA141" s="296"/>
      <c r="BB141" s="296"/>
      <c r="BC141" s="296"/>
      <c r="BD141" s="297"/>
      <c r="BE141" s="270"/>
      <c r="BF141" s="295"/>
      <c r="BG141" s="298"/>
      <c r="BH141" s="299"/>
      <c r="BI141" s="295"/>
      <c r="BJ141" s="298"/>
      <c r="BK141" s="299"/>
      <c r="BL141" s="295"/>
      <c r="BM141" s="296"/>
      <c r="BN141" s="312"/>
      <c r="BO141" s="250">
        <f t="shared" si="11"/>
        <v>0</v>
      </c>
    </row>
    <row r="142" spans="1:67" ht="25.5" customHeight="1" x14ac:dyDescent="0.2">
      <c r="A142" s="142">
        <f t="shared" si="12"/>
        <v>127</v>
      </c>
      <c r="B142" s="251"/>
      <c r="C142" s="252"/>
      <c r="D142" s="253"/>
      <c r="E142" s="254"/>
      <c r="F142" s="278"/>
      <c r="G142" s="256"/>
      <c r="H142" s="257"/>
      <c r="I142" s="231" t="str">
        <f t="shared" si="7"/>
        <v/>
      </c>
      <c r="J142" s="258">
        <f t="shared" si="8"/>
        <v>0</v>
      </c>
      <c r="K142" s="259"/>
      <c r="L142" s="260"/>
      <c r="M142" s="260"/>
      <c r="N142" s="235" t="str">
        <f t="shared" si="9"/>
        <v/>
      </c>
      <c r="O142" s="236" t="str">
        <f>IF('Data Set up'!$G$40="JUNE",IF(OR($N142=7,$N142=8,$N142=9),1,IF(OR($N142=10,$N142=11,$N142=12),2,IF(OR($N142=1,$N142=2,$N142=3),3,IF(OR($N142=4,$N142=5,$N142=6),4,"")))),IF(OR($N142=9,$N142=10,$N142=11),1,IF(OR($N142=12,$N142=1,$N142=2),2,IF(OR($N142=3,$N142=4,$N142=5),3,IF(OR($N142=6,$N142=7,$N142=8),4,"")))))</f>
        <v/>
      </c>
      <c r="P142" s="261"/>
      <c r="Q142" s="270"/>
      <c r="R142" s="295"/>
      <c r="S142" s="264">
        <f t="shared" si="10"/>
        <v>0</v>
      </c>
      <c r="T142" s="295"/>
      <c r="U142" s="295"/>
      <c r="V142" s="295"/>
      <c r="W142" s="295"/>
      <c r="X142" s="295"/>
      <c r="Y142" s="295"/>
      <c r="Z142" s="295"/>
      <c r="AA142" s="295"/>
      <c r="AB142" s="296"/>
      <c r="AC142" s="304"/>
      <c r="AD142" s="305"/>
      <c r="AE142" s="295"/>
      <c r="AF142" s="295"/>
      <c r="AG142" s="295"/>
      <c r="AH142" s="295"/>
      <c r="AI142" s="296"/>
      <c r="AJ142" s="296"/>
      <c r="AK142" s="295"/>
      <c r="AL142" s="310"/>
      <c r="AM142" s="270"/>
      <c r="AN142" s="295"/>
      <c r="AO142" s="295"/>
      <c r="AP142" s="295"/>
      <c r="AQ142" s="295"/>
      <c r="AR142" s="295"/>
      <c r="AS142" s="295"/>
      <c r="AT142" s="295"/>
      <c r="AU142" s="297"/>
      <c r="AV142" s="311"/>
      <c r="AW142" s="296"/>
      <c r="AX142" s="296"/>
      <c r="AY142" s="296"/>
      <c r="AZ142" s="296"/>
      <c r="BA142" s="296"/>
      <c r="BB142" s="296"/>
      <c r="BC142" s="296"/>
      <c r="BD142" s="297"/>
      <c r="BE142" s="270"/>
      <c r="BF142" s="295"/>
      <c r="BG142" s="298"/>
      <c r="BH142" s="299"/>
      <c r="BI142" s="295"/>
      <c r="BJ142" s="298"/>
      <c r="BK142" s="299"/>
      <c r="BL142" s="295"/>
      <c r="BM142" s="296"/>
      <c r="BN142" s="312"/>
      <c r="BO142" s="250">
        <f t="shared" si="11"/>
        <v>0</v>
      </c>
    </row>
    <row r="143" spans="1:67" ht="25.5" customHeight="1" x14ac:dyDescent="0.2">
      <c r="A143" s="142">
        <f t="shared" si="12"/>
        <v>128</v>
      </c>
      <c r="B143" s="251"/>
      <c r="C143" s="252"/>
      <c r="D143" s="253"/>
      <c r="E143" s="254"/>
      <c r="F143" s="278"/>
      <c r="G143" s="256"/>
      <c r="H143" s="257"/>
      <c r="I143" s="231" t="str">
        <f t="shared" si="7"/>
        <v/>
      </c>
      <c r="J143" s="258">
        <f t="shared" si="8"/>
        <v>0</v>
      </c>
      <c r="K143" s="259"/>
      <c r="L143" s="260"/>
      <c r="M143" s="260"/>
      <c r="N143" s="235" t="str">
        <f t="shared" si="9"/>
        <v/>
      </c>
      <c r="O143" s="236" t="str">
        <f>IF('Data Set up'!$G$40="JUNE",IF(OR($N143=7,$N143=8,$N143=9),1,IF(OR($N143=10,$N143=11,$N143=12),2,IF(OR($N143=1,$N143=2,$N143=3),3,IF(OR($N143=4,$N143=5,$N143=6),4,"")))),IF(OR($N143=9,$N143=10,$N143=11),1,IF(OR($N143=12,$N143=1,$N143=2),2,IF(OR($N143=3,$N143=4,$N143=5),3,IF(OR($N143=6,$N143=7,$N143=8),4,"")))))</f>
        <v/>
      </c>
      <c r="P143" s="261"/>
      <c r="Q143" s="270"/>
      <c r="R143" s="295"/>
      <c r="S143" s="264">
        <f t="shared" si="10"/>
        <v>0</v>
      </c>
      <c r="T143" s="295"/>
      <c r="U143" s="295"/>
      <c r="V143" s="295"/>
      <c r="W143" s="295"/>
      <c r="X143" s="295"/>
      <c r="Y143" s="295"/>
      <c r="Z143" s="295"/>
      <c r="AA143" s="295"/>
      <c r="AB143" s="296"/>
      <c r="AC143" s="304"/>
      <c r="AD143" s="305"/>
      <c r="AE143" s="295"/>
      <c r="AF143" s="295"/>
      <c r="AG143" s="295"/>
      <c r="AH143" s="295"/>
      <c r="AI143" s="296"/>
      <c r="AJ143" s="296"/>
      <c r="AK143" s="295"/>
      <c r="AL143" s="310"/>
      <c r="AM143" s="270"/>
      <c r="AN143" s="295"/>
      <c r="AO143" s="295"/>
      <c r="AP143" s="295"/>
      <c r="AQ143" s="295"/>
      <c r="AR143" s="295"/>
      <c r="AS143" s="295"/>
      <c r="AT143" s="295"/>
      <c r="AU143" s="297"/>
      <c r="AV143" s="311"/>
      <c r="AW143" s="296"/>
      <c r="AX143" s="296"/>
      <c r="AY143" s="296"/>
      <c r="AZ143" s="296"/>
      <c r="BA143" s="296"/>
      <c r="BB143" s="296"/>
      <c r="BC143" s="296"/>
      <c r="BD143" s="297"/>
      <c r="BE143" s="270"/>
      <c r="BF143" s="295"/>
      <c r="BG143" s="298"/>
      <c r="BH143" s="299"/>
      <c r="BI143" s="295"/>
      <c r="BJ143" s="298"/>
      <c r="BK143" s="299"/>
      <c r="BL143" s="295"/>
      <c r="BM143" s="296"/>
      <c r="BN143" s="312"/>
      <c r="BO143" s="250">
        <f t="shared" si="11"/>
        <v>0</v>
      </c>
    </row>
    <row r="144" spans="1:67" ht="25.5" customHeight="1" x14ac:dyDescent="0.2">
      <c r="A144" s="142">
        <f t="shared" si="12"/>
        <v>129</v>
      </c>
      <c r="B144" s="251"/>
      <c r="C144" s="252"/>
      <c r="D144" s="253"/>
      <c r="E144" s="254"/>
      <c r="F144" s="278"/>
      <c r="G144" s="256"/>
      <c r="H144" s="257"/>
      <c r="I144" s="231" t="str">
        <f t="shared" ref="I144:I207" si="13">LEFT(H144,4)</f>
        <v/>
      </c>
      <c r="J144" s="258">
        <f t="shared" ref="J144:J207" si="14">G144-BO144</f>
        <v>0</v>
      </c>
      <c r="K144" s="259"/>
      <c r="L144" s="260"/>
      <c r="M144" s="260"/>
      <c r="N144" s="235" t="str">
        <f t="shared" ref="N144:N207" si="15">IF($E144="","",MONTH($E144))</f>
        <v/>
      </c>
      <c r="O144" s="236" t="str">
        <f>IF('Data Set up'!$G$40="JUNE",IF(OR($N144=7,$N144=8,$N144=9),1,IF(OR($N144=10,$N144=11,$N144=12),2,IF(OR($N144=1,$N144=2,$N144=3),3,IF(OR($N144=4,$N144=5,$N144=6),4,"")))),IF(OR($N144=9,$N144=10,$N144=11),1,IF(OR($N144=12,$N144=1,$N144=2),2,IF(OR($N144=3,$N144=4,$N144=5),3,IF(OR($N144=6,$N144=7,$N144=8),4,"")))))</f>
        <v/>
      </c>
      <c r="P144" s="261"/>
      <c r="Q144" s="270"/>
      <c r="R144" s="295"/>
      <c r="S144" s="264">
        <f t="shared" ref="S144:S207" si="16">SUM(T144:W144)</f>
        <v>0</v>
      </c>
      <c r="T144" s="295"/>
      <c r="U144" s="295"/>
      <c r="V144" s="295"/>
      <c r="W144" s="295"/>
      <c r="X144" s="295"/>
      <c r="Y144" s="295"/>
      <c r="Z144" s="295"/>
      <c r="AA144" s="295"/>
      <c r="AB144" s="296"/>
      <c r="AC144" s="304"/>
      <c r="AD144" s="305"/>
      <c r="AE144" s="295"/>
      <c r="AF144" s="295"/>
      <c r="AG144" s="295"/>
      <c r="AH144" s="295"/>
      <c r="AI144" s="296"/>
      <c r="AJ144" s="296"/>
      <c r="AK144" s="295"/>
      <c r="AL144" s="310"/>
      <c r="AM144" s="270"/>
      <c r="AN144" s="295"/>
      <c r="AO144" s="295"/>
      <c r="AP144" s="295"/>
      <c r="AQ144" s="295"/>
      <c r="AR144" s="295"/>
      <c r="AS144" s="295"/>
      <c r="AT144" s="295"/>
      <c r="AU144" s="297"/>
      <c r="AV144" s="311"/>
      <c r="AW144" s="296"/>
      <c r="AX144" s="296"/>
      <c r="AY144" s="296"/>
      <c r="AZ144" s="296"/>
      <c r="BA144" s="296"/>
      <c r="BB144" s="296"/>
      <c r="BC144" s="296"/>
      <c r="BD144" s="297"/>
      <c r="BE144" s="270"/>
      <c r="BF144" s="295"/>
      <c r="BG144" s="298"/>
      <c r="BH144" s="299"/>
      <c r="BI144" s="295"/>
      <c r="BJ144" s="298"/>
      <c r="BK144" s="299"/>
      <c r="BL144" s="295"/>
      <c r="BM144" s="296"/>
      <c r="BN144" s="312"/>
      <c r="BO144" s="250">
        <f t="shared" ref="BO144:BO207" si="17">SUM(Q144:R144,T144:BN144)</f>
        <v>0</v>
      </c>
    </row>
    <row r="145" spans="1:67" ht="25.5" customHeight="1" x14ac:dyDescent="0.2">
      <c r="A145" s="142">
        <f t="shared" ref="A145:A208" si="18">$A144+1</f>
        <v>130</v>
      </c>
      <c r="B145" s="251"/>
      <c r="C145" s="252"/>
      <c r="D145" s="253"/>
      <c r="E145" s="254"/>
      <c r="F145" s="278"/>
      <c r="G145" s="256"/>
      <c r="H145" s="257"/>
      <c r="I145" s="231" t="str">
        <f t="shared" si="13"/>
        <v/>
      </c>
      <c r="J145" s="258">
        <f t="shared" si="14"/>
        <v>0</v>
      </c>
      <c r="K145" s="259"/>
      <c r="L145" s="260"/>
      <c r="M145" s="260"/>
      <c r="N145" s="235" t="str">
        <f t="shared" si="15"/>
        <v/>
      </c>
      <c r="O145" s="236" t="str">
        <f>IF('Data Set up'!$G$40="JUNE",IF(OR($N145=7,$N145=8,$N145=9),1,IF(OR($N145=10,$N145=11,$N145=12),2,IF(OR($N145=1,$N145=2,$N145=3),3,IF(OR($N145=4,$N145=5,$N145=6),4,"")))),IF(OR($N145=9,$N145=10,$N145=11),1,IF(OR($N145=12,$N145=1,$N145=2),2,IF(OR($N145=3,$N145=4,$N145=5),3,IF(OR($N145=6,$N145=7,$N145=8),4,"")))))</f>
        <v/>
      </c>
      <c r="P145" s="261"/>
      <c r="Q145" s="270"/>
      <c r="R145" s="295"/>
      <c r="S145" s="264">
        <f t="shared" si="16"/>
        <v>0</v>
      </c>
      <c r="T145" s="295"/>
      <c r="U145" s="295"/>
      <c r="V145" s="295"/>
      <c r="W145" s="295"/>
      <c r="X145" s="295"/>
      <c r="Y145" s="295"/>
      <c r="Z145" s="295"/>
      <c r="AA145" s="295"/>
      <c r="AB145" s="296"/>
      <c r="AC145" s="304"/>
      <c r="AD145" s="305"/>
      <c r="AE145" s="295"/>
      <c r="AF145" s="295"/>
      <c r="AG145" s="295"/>
      <c r="AH145" s="295"/>
      <c r="AI145" s="296"/>
      <c r="AJ145" s="296"/>
      <c r="AK145" s="295"/>
      <c r="AL145" s="310"/>
      <c r="AM145" s="270"/>
      <c r="AN145" s="295"/>
      <c r="AO145" s="295"/>
      <c r="AP145" s="295"/>
      <c r="AQ145" s="295"/>
      <c r="AR145" s="295"/>
      <c r="AS145" s="295"/>
      <c r="AT145" s="295"/>
      <c r="AU145" s="297"/>
      <c r="AV145" s="311"/>
      <c r="AW145" s="296"/>
      <c r="AX145" s="296"/>
      <c r="AY145" s="296"/>
      <c r="AZ145" s="296"/>
      <c r="BA145" s="296"/>
      <c r="BB145" s="296"/>
      <c r="BC145" s="296"/>
      <c r="BD145" s="297"/>
      <c r="BE145" s="270"/>
      <c r="BF145" s="295"/>
      <c r="BG145" s="298"/>
      <c r="BH145" s="299"/>
      <c r="BI145" s="295"/>
      <c r="BJ145" s="298"/>
      <c r="BK145" s="299"/>
      <c r="BL145" s="295"/>
      <c r="BM145" s="296"/>
      <c r="BN145" s="312"/>
      <c r="BO145" s="250">
        <f t="shared" si="17"/>
        <v>0</v>
      </c>
    </row>
    <row r="146" spans="1:67" ht="25.5" customHeight="1" x14ac:dyDescent="0.2">
      <c r="A146" s="142">
        <f t="shared" si="18"/>
        <v>131</v>
      </c>
      <c r="B146" s="251"/>
      <c r="C146" s="252"/>
      <c r="D146" s="253"/>
      <c r="E146" s="254"/>
      <c r="F146" s="278"/>
      <c r="G146" s="256"/>
      <c r="H146" s="257"/>
      <c r="I146" s="231" t="str">
        <f t="shared" si="13"/>
        <v/>
      </c>
      <c r="J146" s="258">
        <f t="shared" si="14"/>
        <v>0</v>
      </c>
      <c r="K146" s="259"/>
      <c r="L146" s="260"/>
      <c r="M146" s="260"/>
      <c r="N146" s="235" t="str">
        <f t="shared" si="15"/>
        <v/>
      </c>
      <c r="O146" s="236" t="str">
        <f>IF('Data Set up'!$G$40="JUNE",IF(OR($N146=7,$N146=8,$N146=9),1,IF(OR($N146=10,$N146=11,$N146=12),2,IF(OR($N146=1,$N146=2,$N146=3),3,IF(OR($N146=4,$N146=5,$N146=6),4,"")))),IF(OR($N146=9,$N146=10,$N146=11),1,IF(OR($N146=12,$N146=1,$N146=2),2,IF(OR($N146=3,$N146=4,$N146=5),3,IF(OR($N146=6,$N146=7,$N146=8),4,"")))))</f>
        <v/>
      </c>
      <c r="P146" s="261"/>
      <c r="Q146" s="270"/>
      <c r="R146" s="295"/>
      <c r="S146" s="264">
        <f t="shared" si="16"/>
        <v>0</v>
      </c>
      <c r="T146" s="295"/>
      <c r="U146" s="295"/>
      <c r="V146" s="295"/>
      <c r="W146" s="295"/>
      <c r="X146" s="295"/>
      <c r="Y146" s="295"/>
      <c r="Z146" s="295"/>
      <c r="AA146" s="295"/>
      <c r="AB146" s="296"/>
      <c r="AC146" s="304"/>
      <c r="AD146" s="305"/>
      <c r="AE146" s="295"/>
      <c r="AF146" s="295"/>
      <c r="AG146" s="295"/>
      <c r="AH146" s="295"/>
      <c r="AI146" s="296"/>
      <c r="AJ146" s="296"/>
      <c r="AK146" s="295"/>
      <c r="AL146" s="310"/>
      <c r="AM146" s="270"/>
      <c r="AN146" s="295"/>
      <c r="AO146" s="295"/>
      <c r="AP146" s="295"/>
      <c r="AQ146" s="295"/>
      <c r="AR146" s="295"/>
      <c r="AS146" s="295"/>
      <c r="AT146" s="295"/>
      <c r="AU146" s="297"/>
      <c r="AV146" s="311"/>
      <c r="AW146" s="296"/>
      <c r="AX146" s="296"/>
      <c r="AY146" s="296"/>
      <c r="AZ146" s="296"/>
      <c r="BA146" s="296"/>
      <c r="BB146" s="296"/>
      <c r="BC146" s="296"/>
      <c r="BD146" s="297"/>
      <c r="BE146" s="270"/>
      <c r="BF146" s="295"/>
      <c r="BG146" s="298"/>
      <c r="BH146" s="299"/>
      <c r="BI146" s="295"/>
      <c r="BJ146" s="298"/>
      <c r="BK146" s="299"/>
      <c r="BL146" s="295"/>
      <c r="BM146" s="296"/>
      <c r="BN146" s="312"/>
      <c r="BO146" s="250">
        <f t="shared" si="17"/>
        <v>0</v>
      </c>
    </row>
    <row r="147" spans="1:67" ht="25.5" customHeight="1" x14ac:dyDescent="0.2">
      <c r="A147" s="142">
        <f t="shared" si="18"/>
        <v>132</v>
      </c>
      <c r="B147" s="251"/>
      <c r="C147" s="252"/>
      <c r="D147" s="253"/>
      <c r="E147" s="254"/>
      <c r="F147" s="278"/>
      <c r="G147" s="256"/>
      <c r="H147" s="257"/>
      <c r="I147" s="231" t="str">
        <f t="shared" si="13"/>
        <v/>
      </c>
      <c r="J147" s="258">
        <f t="shared" si="14"/>
        <v>0</v>
      </c>
      <c r="K147" s="259"/>
      <c r="L147" s="260"/>
      <c r="M147" s="260"/>
      <c r="N147" s="235" t="str">
        <f t="shared" si="15"/>
        <v/>
      </c>
      <c r="O147" s="236" t="str">
        <f>IF('Data Set up'!$G$40="JUNE",IF(OR($N147=7,$N147=8,$N147=9),1,IF(OR($N147=10,$N147=11,$N147=12),2,IF(OR($N147=1,$N147=2,$N147=3),3,IF(OR($N147=4,$N147=5,$N147=6),4,"")))),IF(OR($N147=9,$N147=10,$N147=11),1,IF(OR($N147=12,$N147=1,$N147=2),2,IF(OR($N147=3,$N147=4,$N147=5),3,IF(OR($N147=6,$N147=7,$N147=8),4,"")))))</f>
        <v/>
      </c>
      <c r="P147" s="261"/>
      <c r="Q147" s="270"/>
      <c r="R147" s="295"/>
      <c r="S147" s="264">
        <f t="shared" si="16"/>
        <v>0</v>
      </c>
      <c r="T147" s="295"/>
      <c r="U147" s="295"/>
      <c r="V147" s="295"/>
      <c r="W147" s="295"/>
      <c r="X147" s="295"/>
      <c r="Y147" s="295"/>
      <c r="Z147" s="295"/>
      <c r="AA147" s="295"/>
      <c r="AB147" s="296"/>
      <c r="AC147" s="304"/>
      <c r="AD147" s="305"/>
      <c r="AE147" s="295"/>
      <c r="AF147" s="295"/>
      <c r="AG147" s="295"/>
      <c r="AH147" s="295"/>
      <c r="AI147" s="296"/>
      <c r="AJ147" s="296"/>
      <c r="AK147" s="295"/>
      <c r="AL147" s="310"/>
      <c r="AM147" s="270"/>
      <c r="AN147" s="295"/>
      <c r="AO147" s="295"/>
      <c r="AP147" s="295"/>
      <c r="AQ147" s="295"/>
      <c r="AR147" s="295"/>
      <c r="AS147" s="295"/>
      <c r="AT147" s="295"/>
      <c r="AU147" s="297"/>
      <c r="AV147" s="311"/>
      <c r="AW147" s="296"/>
      <c r="AX147" s="296"/>
      <c r="AY147" s="296"/>
      <c r="AZ147" s="296"/>
      <c r="BA147" s="296"/>
      <c r="BB147" s="296"/>
      <c r="BC147" s="296"/>
      <c r="BD147" s="297"/>
      <c r="BE147" s="270"/>
      <c r="BF147" s="295"/>
      <c r="BG147" s="298"/>
      <c r="BH147" s="299"/>
      <c r="BI147" s="295"/>
      <c r="BJ147" s="298"/>
      <c r="BK147" s="299"/>
      <c r="BL147" s="295"/>
      <c r="BM147" s="296"/>
      <c r="BN147" s="312"/>
      <c r="BO147" s="250">
        <f t="shared" si="17"/>
        <v>0</v>
      </c>
    </row>
    <row r="148" spans="1:67" ht="25.5" customHeight="1" x14ac:dyDescent="0.2">
      <c r="A148" s="142">
        <f t="shared" si="18"/>
        <v>133</v>
      </c>
      <c r="B148" s="251"/>
      <c r="C148" s="252"/>
      <c r="D148" s="253"/>
      <c r="E148" s="254"/>
      <c r="F148" s="278"/>
      <c r="G148" s="256"/>
      <c r="H148" s="257"/>
      <c r="I148" s="231" t="str">
        <f t="shared" si="13"/>
        <v/>
      </c>
      <c r="J148" s="258">
        <f t="shared" si="14"/>
        <v>0</v>
      </c>
      <c r="K148" s="259"/>
      <c r="L148" s="260"/>
      <c r="M148" s="260"/>
      <c r="N148" s="235" t="str">
        <f t="shared" si="15"/>
        <v/>
      </c>
      <c r="O148" s="236" t="str">
        <f>IF('Data Set up'!$G$40="JUNE",IF(OR($N148=7,$N148=8,$N148=9),1,IF(OR($N148=10,$N148=11,$N148=12),2,IF(OR($N148=1,$N148=2,$N148=3),3,IF(OR($N148=4,$N148=5,$N148=6),4,"")))),IF(OR($N148=9,$N148=10,$N148=11),1,IF(OR($N148=12,$N148=1,$N148=2),2,IF(OR($N148=3,$N148=4,$N148=5),3,IF(OR($N148=6,$N148=7,$N148=8),4,"")))))</f>
        <v/>
      </c>
      <c r="P148" s="261"/>
      <c r="Q148" s="270"/>
      <c r="R148" s="295"/>
      <c r="S148" s="264">
        <f t="shared" si="16"/>
        <v>0</v>
      </c>
      <c r="T148" s="295"/>
      <c r="U148" s="295"/>
      <c r="V148" s="295"/>
      <c r="W148" s="295"/>
      <c r="X148" s="295"/>
      <c r="Y148" s="295"/>
      <c r="Z148" s="295"/>
      <c r="AA148" s="295"/>
      <c r="AB148" s="296"/>
      <c r="AC148" s="304"/>
      <c r="AD148" s="305"/>
      <c r="AE148" s="295"/>
      <c r="AF148" s="295"/>
      <c r="AG148" s="295"/>
      <c r="AH148" s="295"/>
      <c r="AI148" s="296"/>
      <c r="AJ148" s="296"/>
      <c r="AK148" s="295"/>
      <c r="AL148" s="310"/>
      <c r="AM148" s="270"/>
      <c r="AN148" s="295"/>
      <c r="AO148" s="295"/>
      <c r="AP148" s="295"/>
      <c r="AQ148" s="295"/>
      <c r="AR148" s="295"/>
      <c r="AS148" s="295"/>
      <c r="AT148" s="295"/>
      <c r="AU148" s="297"/>
      <c r="AV148" s="311"/>
      <c r="AW148" s="296"/>
      <c r="AX148" s="296"/>
      <c r="AY148" s="296"/>
      <c r="AZ148" s="296"/>
      <c r="BA148" s="296"/>
      <c r="BB148" s="296"/>
      <c r="BC148" s="296"/>
      <c r="BD148" s="297"/>
      <c r="BE148" s="270"/>
      <c r="BF148" s="295"/>
      <c r="BG148" s="298"/>
      <c r="BH148" s="299"/>
      <c r="BI148" s="295"/>
      <c r="BJ148" s="298"/>
      <c r="BK148" s="299"/>
      <c r="BL148" s="295"/>
      <c r="BM148" s="296"/>
      <c r="BN148" s="312"/>
      <c r="BO148" s="250">
        <f t="shared" si="17"/>
        <v>0</v>
      </c>
    </row>
    <row r="149" spans="1:67" ht="25.5" customHeight="1" x14ac:dyDescent="0.2">
      <c r="A149" s="142">
        <f t="shared" si="18"/>
        <v>134</v>
      </c>
      <c r="B149" s="251"/>
      <c r="C149" s="252"/>
      <c r="D149" s="253"/>
      <c r="E149" s="254"/>
      <c r="F149" s="278"/>
      <c r="G149" s="256"/>
      <c r="H149" s="257"/>
      <c r="I149" s="231" t="str">
        <f t="shared" si="13"/>
        <v/>
      </c>
      <c r="J149" s="258">
        <f t="shared" si="14"/>
        <v>0</v>
      </c>
      <c r="K149" s="259"/>
      <c r="L149" s="260"/>
      <c r="M149" s="260"/>
      <c r="N149" s="235" t="str">
        <f t="shared" si="15"/>
        <v/>
      </c>
      <c r="O149" s="236" t="str">
        <f>IF('Data Set up'!$G$40="JUNE",IF(OR($N149=7,$N149=8,$N149=9),1,IF(OR($N149=10,$N149=11,$N149=12),2,IF(OR($N149=1,$N149=2,$N149=3),3,IF(OR($N149=4,$N149=5,$N149=6),4,"")))),IF(OR($N149=9,$N149=10,$N149=11),1,IF(OR($N149=12,$N149=1,$N149=2),2,IF(OR($N149=3,$N149=4,$N149=5),3,IF(OR($N149=6,$N149=7,$N149=8),4,"")))))</f>
        <v/>
      </c>
      <c r="P149" s="261"/>
      <c r="Q149" s="270"/>
      <c r="R149" s="295"/>
      <c r="S149" s="264">
        <f t="shared" si="16"/>
        <v>0</v>
      </c>
      <c r="T149" s="295"/>
      <c r="U149" s="295"/>
      <c r="V149" s="295"/>
      <c r="W149" s="295"/>
      <c r="X149" s="295"/>
      <c r="Y149" s="295"/>
      <c r="Z149" s="295"/>
      <c r="AA149" s="295"/>
      <c r="AB149" s="296"/>
      <c r="AC149" s="304"/>
      <c r="AD149" s="305"/>
      <c r="AE149" s="295"/>
      <c r="AF149" s="295"/>
      <c r="AG149" s="295"/>
      <c r="AH149" s="295"/>
      <c r="AI149" s="296"/>
      <c r="AJ149" s="296"/>
      <c r="AK149" s="295"/>
      <c r="AL149" s="310"/>
      <c r="AM149" s="270"/>
      <c r="AN149" s="295"/>
      <c r="AO149" s="295"/>
      <c r="AP149" s="295"/>
      <c r="AQ149" s="295"/>
      <c r="AR149" s="295"/>
      <c r="AS149" s="295"/>
      <c r="AT149" s="295"/>
      <c r="AU149" s="297"/>
      <c r="AV149" s="311"/>
      <c r="AW149" s="296"/>
      <c r="AX149" s="296"/>
      <c r="AY149" s="296"/>
      <c r="AZ149" s="296"/>
      <c r="BA149" s="296"/>
      <c r="BB149" s="296"/>
      <c r="BC149" s="296"/>
      <c r="BD149" s="297"/>
      <c r="BE149" s="270"/>
      <c r="BF149" s="295"/>
      <c r="BG149" s="298"/>
      <c r="BH149" s="299"/>
      <c r="BI149" s="295"/>
      <c r="BJ149" s="298"/>
      <c r="BK149" s="299"/>
      <c r="BL149" s="295"/>
      <c r="BM149" s="296"/>
      <c r="BN149" s="312"/>
      <c r="BO149" s="250">
        <f t="shared" si="17"/>
        <v>0</v>
      </c>
    </row>
    <row r="150" spans="1:67" ht="25.5" customHeight="1" x14ac:dyDescent="0.2">
      <c r="A150" s="142">
        <f t="shared" si="18"/>
        <v>135</v>
      </c>
      <c r="B150" s="251"/>
      <c r="C150" s="252"/>
      <c r="D150" s="253"/>
      <c r="E150" s="254"/>
      <c r="F150" s="278"/>
      <c r="G150" s="256"/>
      <c r="H150" s="257"/>
      <c r="I150" s="231" t="str">
        <f t="shared" si="13"/>
        <v/>
      </c>
      <c r="J150" s="258">
        <f t="shared" si="14"/>
        <v>0</v>
      </c>
      <c r="K150" s="259"/>
      <c r="L150" s="260"/>
      <c r="M150" s="260"/>
      <c r="N150" s="235" t="str">
        <f t="shared" si="15"/>
        <v/>
      </c>
      <c r="O150" s="236" t="str">
        <f>IF('Data Set up'!$G$40="JUNE",IF(OR($N150=7,$N150=8,$N150=9),1,IF(OR($N150=10,$N150=11,$N150=12),2,IF(OR($N150=1,$N150=2,$N150=3),3,IF(OR($N150=4,$N150=5,$N150=6),4,"")))),IF(OR($N150=9,$N150=10,$N150=11),1,IF(OR($N150=12,$N150=1,$N150=2),2,IF(OR($N150=3,$N150=4,$N150=5),3,IF(OR($N150=6,$N150=7,$N150=8),4,"")))))</f>
        <v/>
      </c>
      <c r="P150" s="261"/>
      <c r="Q150" s="270"/>
      <c r="R150" s="295"/>
      <c r="S150" s="264">
        <f t="shared" si="16"/>
        <v>0</v>
      </c>
      <c r="T150" s="295"/>
      <c r="U150" s="295"/>
      <c r="V150" s="295"/>
      <c r="W150" s="295"/>
      <c r="X150" s="295"/>
      <c r="Y150" s="295"/>
      <c r="Z150" s="295"/>
      <c r="AA150" s="295"/>
      <c r="AB150" s="296"/>
      <c r="AC150" s="304"/>
      <c r="AD150" s="305"/>
      <c r="AE150" s="295"/>
      <c r="AF150" s="295"/>
      <c r="AG150" s="295"/>
      <c r="AH150" s="295"/>
      <c r="AI150" s="296"/>
      <c r="AJ150" s="296"/>
      <c r="AK150" s="295"/>
      <c r="AL150" s="310"/>
      <c r="AM150" s="270"/>
      <c r="AN150" s="295"/>
      <c r="AO150" s="295"/>
      <c r="AP150" s="295"/>
      <c r="AQ150" s="295"/>
      <c r="AR150" s="295"/>
      <c r="AS150" s="295"/>
      <c r="AT150" s="295"/>
      <c r="AU150" s="297"/>
      <c r="AV150" s="311"/>
      <c r="AW150" s="296"/>
      <c r="AX150" s="296"/>
      <c r="AY150" s="296"/>
      <c r="AZ150" s="296"/>
      <c r="BA150" s="296"/>
      <c r="BB150" s="296"/>
      <c r="BC150" s="296"/>
      <c r="BD150" s="297"/>
      <c r="BE150" s="270"/>
      <c r="BF150" s="295"/>
      <c r="BG150" s="298"/>
      <c r="BH150" s="299"/>
      <c r="BI150" s="295"/>
      <c r="BJ150" s="298"/>
      <c r="BK150" s="299"/>
      <c r="BL150" s="295"/>
      <c r="BM150" s="296"/>
      <c r="BN150" s="312"/>
      <c r="BO150" s="250">
        <f t="shared" si="17"/>
        <v>0</v>
      </c>
    </row>
    <row r="151" spans="1:67" ht="25.5" customHeight="1" x14ac:dyDescent="0.2">
      <c r="A151" s="142">
        <f t="shared" si="18"/>
        <v>136</v>
      </c>
      <c r="B151" s="251"/>
      <c r="C151" s="252"/>
      <c r="D151" s="253"/>
      <c r="E151" s="254"/>
      <c r="F151" s="278"/>
      <c r="G151" s="256"/>
      <c r="H151" s="257"/>
      <c r="I151" s="231" t="str">
        <f t="shared" si="13"/>
        <v/>
      </c>
      <c r="J151" s="258">
        <f t="shared" si="14"/>
        <v>0</v>
      </c>
      <c r="K151" s="259"/>
      <c r="L151" s="260"/>
      <c r="M151" s="260"/>
      <c r="N151" s="235" t="str">
        <f t="shared" si="15"/>
        <v/>
      </c>
      <c r="O151" s="236" t="str">
        <f>IF('Data Set up'!$G$40="JUNE",IF(OR($N151=7,$N151=8,$N151=9),1,IF(OR($N151=10,$N151=11,$N151=12),2,IF(OR($N151=1,$N151=2,$N151=3),3,IF(OR($N151=4,$N151=5,$N151=6),4,"")))),IF(OR($N151=9,$N151=10,$N151=11),1,IF(OR($N151=12,$N151=1,$N151=2),2,IF(OR($N151=3,$N151=4,$N151=5),3,IF(OR($N151=6,$N151=7,$N151=8),4,"")))))</f>
        <v/>
      </c>
      <c r="P151" s="261"/>
      <c r="Q151" s="270"/>
      <c r="R151" s="295"/>
      <c r="S151" s="264">
        <f t="shared" si="16"/>
        <v>0</v>
      </c>
      <c r="T151" s="295"/>
      <c r="U151" s="295"/>
      <c r="V151" s="295"/>
      <c r="W151" s="295"/>
      <c r="X151" s="295"/>
      <c r="Y151" s="295"/>
      <c r="Z151" s="295"/>
      <c r="AA151" s="295"/>
      <c r="AB151" s="296"/>
      <c r="AC151" s="304"/>
      <c r="AD151" s="305"/>
      <c r="AE151" s="295"/>
      <c r="AF151" s="295"/>
      <c r="AG151" s="295"/>
      <c r="AH151" s="295"/>
      <c r="AI151" s="296"/>
      <c r="AJ151" s="296"/>
      <c r="AK151" s="295"/>
      <c r="AL151" s="310"/>
      <c r="AM151" s="270"/>
      <c r="AN151" s="295"/>
      <c r="AO151" s="295"/>
      <c r="AP151" s="295"/>
      <c r="AQ151" s="295"/>
      <c r="AR151" s="295"/>
      <c r="AS151" s="295"/>
      <c r="AT151" s="295"/>
      <c r="AU151" s="297"/>
      <c r="AV151" s="311"/>
      <c r="AW151" s="296"/>
      <c r="AX151" s="296"/>
      <c r="AY151" s="296"/>
      <c r="AZ151" s="296"/>
      <c r="BA151" s="296"/>
      <c r="BB151" s="296"/>
      <c r="BC151" s="296"/>
      <c r="BD151" s="297"/>
      <c r="BE151" s="270"/>
      <c r="BF151" s="295"/>
      <c r="BG151" s="298"/>
      <c r="BH151" s="299"/>
      <c r="BI151" s="295"/>
      <c r="BJ151" s="298"/>
      <c r="BK151" s="299"/>
      <c r="BL151" s="295"/>
      <c r="BM151" s="296"/>
      <c r="BN151" s="312"/>
      <c r="BO151" s="250">
        <f t="shared" si="17"/>
        <v>0</v>
      </c>
    </row>
    <row r="152" spans="1:67" ht="25.5" customHeight="1" x14ac:dyDescent="0.2">
      <c r="A152" s="142">
        <f t="shared" si="18"/>
        <v>137</v>
      </c>
      <c r="B152" s="251"/>
      <c r="C152" s="252"/>
      <c r="D152" s="253"/>
      <c r="E152" s="254"/>
      <c r="F152" s="278"/>
      <c r="G152" s="256"/>
      <c r="H152" s="257"/>
      <c r="I152" s="231" t="str">
        <f t="shared" si="13"/>
        <v/>
      </c>
      <c r="J152" s="258">
        <f t="shared" si="14"/>
        <v>0</v>
      </c>
      <c r="K152" s="259"/>
      <c r="L152" s="260"/>
      <c r="M152" s="260"/>
      <c r="N152" s="235" t="str">
        <f t="shared" si="15"/>
        <v/>
      </c>
      <c r="O152" s="236" t="str">
        <f>IF('Data Set up'!$G$40="JUNE",IF(OR($N152=7,$N152=8,$N152=9),1,IF(OR($N152=10,$N152=11,$N152=12),2,IF(OR($N152=1,$N152=2,$N152=3),3,IF(OR($N152=4,$N152=5,$N152=6),4,"")))),IF(OR($N152=9,$N152=10,$N152=11),1,IF(OR($N152=12,$N152=1,$N152=2),2,IF(OR($N152=3,$N152=4,$N152=5),3,IF(OR($N152=6,$N152=7,$N152=8),4,"")))))</f>
        <v/>
      </c>
      <c r="P152" s="261"/>
      <c r="Q152" s="270"/>
      <c r="R152" s="295"/>
      <c r="S152" s="264">
        <f t="shared" si="16"/>
        <v>0</v>
      </c>
      <c r="T152" s="295"/>
      <c r="U152" s="295"/>
      <c r="V152" s="295"/>
      <c r="W152" s="295"/>
      <c r="X152" s="295"/>
      <c r="Y152" s="295"/>
      <c r="Z152" s="295"/>
      <c r="AA152" s="295"/>
      <c r="AB152" s="296"/>
      <c r="AC152" s="304"/>
      <c r="AD152" s="305"/>
      <c r="AE152" s="295"/>
      <c r="AF152" s="295"/>
      <c r="AG152" s="295"/>
      <c r="AH152" s="295"/>
      <c r="AI152" s="296"/>
      <c r="AJ152" s="296"/>
      <c r="AK152" s="295"/>
      <c r="AL152" s="310"/>
      <c r="AM152" s="270"/>
      <c r="AN152" s="295"/>
      <c r="AO152" s="295"/>
      <c r="AP152" s="295"/>
      <c r="AQ152" s="295"/>
      <c r="AR152" s="295"/>
      <c r="AS152" s="295"/>
      <c r="AT152" s="295"/>
      <c r="AU152" s="297"/>
      <c r="AV152" s="311"/>
      <c r="AW152" s="296"/>
      <c r="AX152" s="296"/>
      <c r="AY152" s="296"/>
      <c r="AZ152" s="296"/>
      <c r="BA152" s="296"/>
      <c r="BB152" s="296"/>
      <c r="BC152" s="296"/>
      <c r="BD152" s="297"/>
      <c r="BE152" s="270"/>
      <c r="BF152" s="295"/>
      <c r="BG152" s="298"/>
      <c r="BH152" s="299"/>
      <c r="BI152" s="295"/>
      <c r="BJ152" s="298"/>
      <c r="BK152" s="299"/>
      <c r="BL152" s="295"/>
      <c r="BM152" s="296"/>
      <c r="BN152" s="312"/>
      <c r="BO152" s="250">
        <f t="shared" si="17"/>
        <v>0</v>
      </c>
    </row>
    <row r="153" spans="1:67" ht="25.5" customHeight="1" x14ac:dyDescent="0.2">
      <c r="A153" s="142">
        <f t="shared" si="18"/>
        <v>138</v>
      </c>
      <c r="B153" s="251"/>
      <c r="C153" s="252"/>
      <c r="D153" s="253"/>
      <c r="E153" s="254"/>
      <c r="F153" s="278"/>
      <c r="G153" s="256"/>
      <c r="H153" s="257"/>
      <c r="I153" s="231" t="str">
        <f t="shared" si="13"/>
        <v/>
      </c>
      <c r="J153" s="258">
        <f t="shared" si="14"/>
        <v>0</v>
      </c>
      <c r="K153" s="259"/>
      <c r="L153" s="260"/>
      <c r="M153" s="260"/>
      <c r="N153" s="235" t="str">
        <f t="shared" si="15"/>
        <v/>
      </c>
      <c r="O153" s="236" t="str">
        <f>IF('Data Set up'!$G$40="JUNE",IF(OR($N153=7,$N153=8,$N153=9),1,IF(OR($N153=10,$N153=11,$N153=12),2,IF(OR($N153=1,$N153=2,$N153=3),3,IF(OR($N153=4,$N153=5,$N153=6),4,"")))),IF(OR($N153=9,$N153=10,$N153=11),1,IF(OR($N153=12,$N153=1,$N153=2),2,IF(OR($N153=3,$N153=4,$N153=5),3,IF(OR($N153=6,$N153=7,$N153=8),4,"")))))</f>
        <v/>
      </c>
      <c r="P153" s="261"/>
      <c r="Q153" s="270"/>
      <c r="R153" s="295"/>
      <c r="S153" s="264">
        <f t="shared" si="16"/>
        <v>0</v>
      </c>
      <c r="T153" s="295"/>
      <c r="U153" s="295"/>
      <c r="V153" s="295"/>
      <c r="W153" s="295"/>
      <c r="X153" s="295"/>
      <c r="Y153" s="295"/>
      <c r="Z153" s="295"/>
      <c r="AA153" s="295"/>
      <c r="AB153" s="296"/>
      <c r="AC153" s="304"/>
      <c r="AD153" s="305"/>
      <c r="AE153" s="295"/>
      <c r="AF153" s="295"/>
      <c r="AG153" s="295"/>
      <c r="AH153" s="295"/>
      <c r="AI153" s="296"/>
      <c r="AJ153" s="296"/>
      <c r="AK153" s="295"/>
      <c r="AL153" s="310"/>
      <c r="AM153" s="270"/>
      <c r="AN153" s="295"/>
      <c r="AO153" s="295"/>
      <c r="AP153" s="295"/>
      <c r="AQ153" s="295"/>
      <c r="AR153" s="295"/>
      <c r="AS153" s="295"/>
      <c r="AT153" s="295"/>
      <c r="AU153" s="297"/>
      <c r="AV153" s="311"/>
      <c r="AW153" s="296"/>
      <c r="AX153" s="296"/>
      <c r="AY153" s="296"/>
      <c r="AZ153" s="296"/>
      <c r="BA153" s="296"/>
      <c r="BB153" s="296"/>
      <c r="BC153" s="296"/>
      <c r="BD153" s="297"/>
      <c r="BE153" s="270"/>
      <c r="BF153" s="295"/>
      <c r="BG153" s="298"/>
      <c r="BH153" s="299"/>
      <c r="BI153" s="295"/>
      <c r="BJ153" s="298"/>
      <c r="BK153" s="299"/>
      <c r="BL153" s="295"/>
      <c r="BM153" s="296"/>
      <c r="BN153" s="312"/>
      <c r="BO153" s="250">
        <f t="shared" si="17"/>
        <v>0</v>
      </c>
    </row>
    <row r="154" spans="1:67" ht="25.5" customHeight="1" x14ac:dyDescent="0.2">
      <c r="A154" s="142">
        <f t="shared" si="18"/>
        <v>139</v>
      </c>
      <c r="B154" s="251"/>
      <c r="C154" s="252"/>
      <c r="D154" s="253"/>
      <c r="E154" s="254"/>
      <c r="F154" s="278"/>
      <c r="G154" s="256"/>
      <c r="H154" s="257"/>
      <c r="I154" s="231" t="str">
        <f t="shared" si="13"/>
        <v/>
      </c>
      <c r="J154" s="258">
        <f t="shared" si="14"/>
        <v>0</v>
      </c>
      <c r="K154" s="259"/>
      <c r="L154" s="260"/>
      <c r="M154" s="260"/>
      <c r="N154" s="235" t="str">
        <f t="shared" si="15"/>
        <v/>
      </c>
      <c r="O154" s="236" t="str">
        <f>IF('Data Set up'!$G$40="JUNE",IF(OR($N154=7,$N154=8,$N154=9),1,IF(OR($N154=10,$N154=11,$N154=12),2,IF(OR($N154=1,$N154=2,$N154=3),3,IF(OR($N154=4,$N154=5,$N154=6),4,"")))),IF(OR($N154=9,$N154=10,$N154=11),1,IF(OR($N154=12,$N154=1,$N154=2),2,IF(OR($N154=3,$N154=4,$N154=5),3,IF(OR($N154=6,$N154=7,$N154=8),4,"")))))</f>
        <v/>
      </c>
      <c r="P154" s="261"/>
      <c r="Q154" s="270"/>
      <c r="R154" s="295"/>
      <c r="S154" s="264">
        <f t="shared" si="16"/>
        <v>0</v>
      </c>
      <c r="T154" s="295"/>
      <c r="U154" s="295"/>
      <c r="V154" s="295"/>
      <c r="W154" s="295"/>
      <c r="X154" s="295"/>
      <c r="Y154" s="295"/>
      <c r="Z154" s="295"/>
      <c r="AA154" s="295"/>
      <c r="AB154" s="296"/>
      <c r="AC154" s="304"/>
      <c r="AD154" s="305"/>
      <c r="AE154" s="295"/>
      <c r="AF154" s="295"/>
      <c r="AG154" s="295"/>
      <c r="AH154" s="295"/>
      <c r="AI154" s="296"/>
      <c r="AJ154" s="296"/>
      <c r="AK154" s="295"/>
      <c r="AL154" s="310"/>
      <c r="AM154" s="270"/>
      <c r="AN154" s="295"/>
      <c r="AO154" s="295"/>
      <c r="AP154" s="295"/>
      <c r="AQ154" s="295"/>
      <c r="AR154" s="295"/>
      <c r="AS154" s="295"/>
      <c r="AT154" s="295"/>
      <c r="AU154" s="297"/>
      <c r="AV154" s="311"/>
      <c r="AW154" s="296"/>
      <c r="AX154" s="296"/>
      <c r="AY154" s="296"/>
      <c r="AZ154" s="296"/>
      <c r="BA154" s="296"/>
      <c r="BB154" s="296"/>
      <c r="BC154" s="296"/>
      <c r="BD154" s="297"/>
      <c r="BE154" s="270"/>
      <c r="BF154" s="295"/>
      <c r="BG154" s="298"/>
      <c r="BH154" s="299"/>
      <c r="BI154" s="295"/>
      <c r="BJ154" s="298"/>
      <c r="BK154" s="299"/>
      <c r="BL154" s="295"/>
      <c r="BM154" s="296"/>
      <c r="BN154" s="312"/>
      <c r="BO154" s="250">
        <f t="shared" si="17"/>
        <v>0</v>
      </c>
    </row>
    <row r="155" spans="1:67" ht="25.5" customHeight="1" x14ac:dyDescent="0.2">
      <c r="A155" s="142">
        <f t="shared" si="18"/>
        <v>140</v>
      </c>
      <c r="B155" s="251"/>
      <c r="C155" s="252"/>
      <c r="D155" s="253"/>
      <c r="E155" s="254"/>
      <c r="F155" s="278"/>
      <c r="G155" s="256"/>
      <c r="H155" s="257"/>
      <c r="I155" s="231" t="str">
        <f t="shared" si="13"/>
        <v/>
      </c>
      <c r="J155" s="258">
        <f t="shared" si="14"/>
        <v>0</v>
      </c>
      <c r="K155" s="259"/>
      <c r="L155" s="260"/>
      <c r="M155" s="260"/>
      <c r="N155" s="235" t="str">
        <f t="shared" si="15"/>
        <v/>
      </c>
      <c r="O155" s="236" t="str">
        <f>IF('Data Set up'!$G$40="JUNE",IF(OR($N155=7,$N155=8,$N155=9),1,IF(OR($N155=10,$N155=11,$N155=12),2,IF(OR($N155=1,$N155=2,$N155=3),3,IF(OR($N155=4,$N155=5,$N155=6),4,"")))),IF(OR($N155=9,$N155=10,$N155=11),1,IF(OR($N155=12,$N155=1,$N155=2),2,IF(OR($N155=3,$N155=4,$N155=5),3,IF(OR($N155=6,$N155=7,$N155=8),4,"")))))</f>
        <v/>
      </c>
      <c r="P155" s="261"/>
      <c r="Q155" s="270"/>
      <c r="R155" s="295"/>
      <c r="S155" s="264">
        <f t="shared" si="16"/>
        <v>0</v>
      </c>
      <c r="T155" s="295"/>
      <c r="U155" s="295"/>
      <c r="V155" s="295"/>
      <c r="W155" s="295"/>
      <c r="X155" s="295"/>
      <c r="Y155" s="295"/>
      <c r="Z155" s="295"/>
      <c r="AA155" s="295"/>
      <c r="AB155" s="296"/>
      <c r="AC155" s="304"/>
      <c r="AD155" s="305"/>
      <c r="AE155" s="295"/>
      <c r="AF155" s="295"/>
      <c r="AG155" s="295"/>
      <c r="AH155" s="295"/>
      <c r="AI155" s="296"/>
      <c r="AJ155" s="296"/>
      <c r="AK155" s="295"/>
      <c r="AL155" s="310"/>
      <c r="AM155" s="270"/>
      <c r="AN155" s="295"/>
      <c r="AO155" s="295"/>
      <c r="AP155" s="295"/>
      <c r="AQ155" s="295"/>
      <c r="AR155" s="295"/>
      <c r="AS155" s="295"/>
      <c r="AT155" s="295"/>
      <c r="AU155" s="297"/>
      <c r="AV155" s="311"/>
      <c r="AW155" s="296"/>
      <c r="AX155" s="296"/>
      <c r="AY155" s="296"/>
      <c r="AZ155" s="296"/>
      <c r="BA155" s="296"/>
      <c r="BB155" s="296"/>
      <c r="BC155" s="296"/>
      <c r="BD155" s="297"/>
      <c r="BE155" s="270"/>
      <c r="BF155" s="295"/>
      <c r="BG155" s="298"/>
      <c r="BH155" s="299"/>
      <c r="BI155" s="295"/>
      <c r="BJ155" s="298"/>
      <c r="BK155" s="299"/>
      <c r="BL155" s="295"/>
      <c r="BM155" s="296"/>
      <c r="BN155" s="312"/>
      <c r="BO155" s="250">
        <f t="shared" si="17"/>
        <v>0</v>
      </c>
    </row>
    <row r="156" spans="1:67" ht="25.5" customHeight="1" x14ac:dyDescent="0.2">
      <c r="A156" s="142">
        <f t="shared" si="18"/>
        <v>141</v>
      </c>
      <c r="B156" s="251"/>
      <c r="C156" s="252"/>
      <c r="D156" s="253"/>
      <c r="E156" s="254"/>
      <c r="F156" s="278"/>
      <c r="G156" s="256"/>
      <c r="H156" s="257"/>
      <c r="I156" s="231" t="str">
        <f t="shared" si="13"/>
        <v/>
      </c>
      <c r="J156" s="258">
        <f t="shared" si="14"/>
        <v>0</v>
      </c>
      <c r="K156" s="259"/>
      <c r="L156" s="260"/>
      <c r="M156" s="260"/>
      <c r="N156" s="235" t="str">
        <f t="shared" si="15"/>
        <v/>
      </c>
      <c r="O156" s="236" t="str">
        <f>IF('Data Set up'!$G$40="JUNE",IF(OR($N156=7,$N156=8,$N156=9),1,IF(OR($N156=10,$N156=11,$N156=12),2,IF(OR($N156=1,$N156=2,$N156=3),3,IF(OR($N156=4,$N156=5,$N156=6),4,"")))),IF(OR($N156=9,$N156=10,$N156=11),1,IF(OR($N156=12,$N156=1,$N156=2),2,IF(OR($N156=3,$N156=4,$N156=5),3,IF(OR($N156=6,$N156=7,$N156=8),4,"")))))</f>
        <v/>
      </c>
      <c r="P156" s="261"/>
      <c r="Q156" s="270"/>
      <c r="R156" s="295"/>
      <c r="S156" s="264">
        <f t="shared" si="16"/>
        <v>0</v>
      </c>
      <c r="T156" s="295"/>
      <c r="U156" s="295"/>
      <c r="V156" s="295"/>
      <c r="W156" s="295"/>
      <c r="X156" s="295"/>
      <c r="Y156" s="295"/>
      <c r="Z156" s="295"/>
      <c r="AA156" s="295"/>
      <c r="AB156" s="296"/>
      <c r="AC156" s="304"/>
      <c r="AD156" s="305"/>
      <c r="AE156" s="295"/>
      <c r="AF156" s="295"/>
      <c r="AG156" s="295"/>
      <c r="AH156" s="295"/>
      <c r="AI156" s="296"/>
      <c r="AJ156" s="296"/>
      <c r="AK156" s="295"/>
      <c r="AL156" s="310"/>
      <c r="AM156" s="270"/>
      <c r="AN156" s="295"/>
      <c r="AO156" s="295"/>
      <c r="AP156" s="295"/>
      <c r="AQ156" s="295"/>
      <c r="AR156" s="295"/>
      <c r="AS156" s="295"/>
      <c r="AT156" s="295"/>
      <c r="AU156" s="297"/>
      <c r="AV156" s="311"/>
      <c r="AW156" s="296"/>
      <c r="AX156" s="296"/>
      <c r="AY156" s="296"/>
      <c r="AZ156" s="296"/>
      <c r="BA156" s="296"/>
      <c r="BB156" s="296"/>
      <c r="BC156" s="296"/>
      <c r="BD156" s="297"/>
      <c r="BE156" s="270"/>
      <c r="BF156" s="295"/>
      <c r="BG156" s="298"/>
      <c r="BH156" s="299"/>
      <c r="BI156" s="295"/>
      <c r="BJ156" s="298"/>
      <c r="BK156" s="299"/>
      <c r="BL156" s="295"/>
      <c r="BM156" s="296"/>
      <c r="BN156" s="312"/>
      <c r="BO156" s="250">
        <f t="shared" si="17"/>
        <v>0</v>
      </c>
    </row>
    <row r="157" spans="1:67" ht="25.5" customHeight="1" x14ac:dyDescent="0.2">
      <c r="A157" s="142">
        <f t="shared" si="18"/>
        <v>142</v>
      </c>
      <c r="B157" s="251"/>
      <c r="C157" s="252"/>
      <c r="D157" s="253"/>
      <c r="E157" s="254"/>
      <c r="F157" s="278"/>
      <c r="G157" s="256"/>
      <c r="H157" s="257"/>
      <c r="I157" s="231" t="str">
        <f t="shared" si="13"/>
        <v/>
      </c>
      <c r="J157" s="258">
        <f t="shared" si="14"/>
        <v>0</v>
      </c>
      <c r="K157" s="259"/>
      <c r="L157" s="260"/>
      <c r="M157" s="260"/>
      <c r="N157" s="235" t="str">
        <f t="shared" si="15"/>
        <v/>
      </c>
      <c r="O157" s="236" t="str">
        <f>IF('Data Set up'!$G$40="JUNE",IF(OR($N157=7,$N157=8,$N157=9),1,IF(OR($N157=10,$N157=11,$N157=12),2,IF(OR($N157=1,$N157=2,$N157=3),3,IF(OR($N157=4,$N157=5,$N157=6),4,"")))),IF(OR($N157=9,$N157=10,$N157=11),1,IF(OR($N157=12,$N157=1,$N157=2),2,IF(OR($N157=3,$N157=4,$N157=5),3,IF(OR($N157=6,$N157=7,$N157=8),4,"")))))</f>
        <v/>
      </c>
      <c r="P157" s="261"/>
      <c r="Q157" s="270"/>
      <c r="R157" s="295"/>
      <c r="S157" s="264">
        <f t="shared" si="16"/>
        <v>0</v>
      </c>
      <c r="T157" s="295"/>
      <c r="U157" s="295"/>
      <c r="V157" s="295"/>
      <c r="W157" s="295"/>
      <c r="X157" s="295"/>
      <c r="Y157" s="295"/>
      <c r="Z157" s="295"/>
      <c r="AA157" s="295"/>
      <c r="AB157" s="296"/>
      <c r="AC157" s="304"/>
      <c r="AD157" s="305"/>
      <c r="AE157" s="295"/>
      <c r="AF157" s="295"/>
      <c r="AG157" s="295"/>
      <c r="AH157" s="295"/>
      <c r="AI157" s="296"/>
      <c r="AJ157" s="296"/>
      <c r="AK157" s="295"/>
      <c r="AL157" s="310"/>
      <c r="AM157" s="270"/>
      <c r="AN157" s="295"/>
      <c r="AO157" s="295"/>
      <c r="AP157" s="295"/>
      <c r="AQ157" s="295"/>
      <c r="AR157" s="295"/>
      <c r="AS157" s="295"/>
      <c r="AT157" s="295"/>
      <c r="AU157" s="297"/>
      <c r="AV157" s="311"/>
      <c r="AW157" s="296"/>
      <c r="AX157" s="296"/>
      <c r="AY157" s="296"/>
      <c r="AZ157" s="296"/>
      <c r="BA157" s="296"/>
      <c r="BB157" s="296"/>
      <c r="BC157" s="296"/>
      <c r="BD157" s="297"/>
      <c r="BE157" s="270"/>
      <c r="BF157" s="295"/>
      <c r="BG157" s="298"/>
      <c r="BH157" s="299"/>
      <c r="BI157" s="295"/>
      <c r="BJ157" s="298"/>
      <c r="BK157" s="299"/>
      <c r="BL157" s="295"/>
      <c r="BM157" s="296"/>
      <c r="BN157" s="312"/>
      <c r="BO157" s="250">
        <f t="shared" si="17"/>
        <v>0</v>
      </c>
    </row>
    <row r="158" spans="1:67" ht="25.5" customHeight="1" x14ac:dyDescent="0.2">
      <c r="A158" s="142">
        <f t="shared" si="18"/>
        <v>143</v>
      </c>
      <c r="B158" s="251"/>
      <c r="C158" s="252"/>
      <c r="D158" s="253"/>
      <c r="E158" s="254"/>
      <c r="F158" s="278"/>
      <c r="G158" s="256"/>
      <c r="H158" s="257"/>
      <c r="I158" s="231" t="str">
        <f t="shared" si="13"/>
        <v/>
      </c>
      <c r="J158" s="258">
        <f t="shared" si="14"/>
        <v>0</v>
      </c>
      <c r="K158" s="259"/>
      <c r="L158" s="260"/>
      <c r="M158" s="260"/>
      <c r="N158" s="235" t="str">
        <f t="shared" si="15"/>
        <v/>
      </c>
      <c r="O158" s="236" t="str">
        <f>IF('Data Set up'!$G$40="JUNE",IF(OR($N158=7,$N158=8,$N158=9),1,IF(OR($N158=10,$N158=11,$N158=12),2,IF(OR($N158=1,$N158=2,$N158=3),3,IF(OR($N158=4,$N158=5,$N158=6),4,"")))),IF(OR($N158=9,$N158=10,$N158=11),1,IF(OR($N158=12,$N158=1,$N158=2),2,IF(OR($N158=3,$N158=4,$N158=5),3,IF(OR($N158=6,$N158=7,$N158=8),4,"")))))</f>
        <v/>
      </c>
      <c r="P158" s="261"/>
      <c r="Q158" s="270"/>
      <c r="R158" s="295"/>
      <c r="S158" s="264">
        <f t="shared" si="16"/>
        <v>0</v>
      </c>
      <c r="T158" s="295"/>
      <c r="U158" s="295"/>
      <c r="V158" s="295"/>
      <c r="W158" s="295"/>
      <c r="X158" s="295"/>
      <c r="Y158" s="295"/>
      <c r="Z158" s="295"/>
      <c r="AA158" s="295"/>
      <c r="AB158" s="296"/>
      <c r="AC158" s="304"/>
      <c r="AD158" s="305"/>
      <c r="AE158" s="295"/>
      <c r="AF158" s="295"/>
      <c r="AG158" s="295"/>
      <c r="AH158" s="295"/>
      <c r="AI158" s="296"/>
      <c r="AJ158" s="296"/>
      <c r="AK158" s="295"/>
      <c r="AL158" s="310"/>
      <c r="AM158" s="270"/>
      <c r="AN158" s="295"/>
      <c r="AO158" s="295"/>
      <c r="AP158" s="295"/>
      <c r="AQ158" s="295"/>
      <c r="AR158" s="295"/>
      <c r="AS158" s="295"/>
      <c r="AT158" s="295"/>
      <c r="AU158" s="297"/>
      <c r="AV158" s="311"/>
      <c r="AW158" s="296"/>
      <c r="AX158" s="296"/>
      <c r="AY158" s="296"/>
      <c r="AZ158" s="296"/>
      <c r="BA158" s="296"/>
      <c r="BB158" s="296"/>
      <c r="BC158" s="296"/>
      <c r="BD158" s="297"/>
      <c r="BE158" s="270"/>
      <c r="BF158" s="295"/>
      <c r="BG158" s="298"/>
      <c r="BH158" s="299"/>
      <c r="BI158" s="295"/>
      <c r="BJ158" s="298"/>
      <c r="BK158" s="299"/>
      <c r="BL158" s="295"/>
      <c r="BM158" s="296"/>
      <c r="BN158" s="312"/>
      <c r="BO158" s="250">
        <f t="shared" si="17"/>
        <v>0</v>
      </c>
    </row>
    <row r="159" spans="1:67" ht="25.5" customHeight="1" x14ac:dyDescent="0.2">
      <c r="A159" s="142">
        <f t="shared" si="18"/>
        <v>144</v>
      </c>
      <c r="B159" s="251"/>
      <c r="C159" s="252"/>
      <c r="D159" s="253"/>
      <c r="E159" s="254"/>
      <c r="F159" s="278"/>
      <c r="G159" s="256"/>
      <c r="H159" s="257"/>
      <c r="I159" s="231" t="str">
        <f t="shared" si="13"/>
        <v/>
      </c>
      <c r="J159" s="258">
        <f t="shared" si="14"/>
        <v>0</v>
      </c>
      <c r="K159" s="259"/>
      <c r="L159" s="260"/>
      <c r="M159" s="260"/>
      <c r="N159" s="235" t="str">
        <f t="shared" si="15"/>
        <v/>
      </c>
      <c r="O159" s="236" t="str">
        <f>IF('Data Set up'!$G$40="JUNE",IF(OR($N159=7,$N159=8,$N159=9),1,IF(OR($N159=10,$N159=11,$N159=12),2,IF(OR($N159=1,$N159=2,$N159=3),3,IF(OR($N159=4,$N159=5,$N159=6),4,"")))),IF(OR($N159=9,$N159=10,$N159=11),1,IF(OR($N159=12,$N159=1,$N159=2),2,IF(OR($N159=3,$N159=4,$N159=5),3,IF(OR($N159=6,$N159=7,$N159=8),4,"")))))</f>
        <v/>
      </c>
      <c r="P159" s="261"/>
      <c r="Q159" s="270"/>
      <c r="R159" s="295"/>
      <c r="S159" s="264">
        <f t="shared" si="16"/>
        <v>0</v>
      </c>
      <c r="T159" s="295"/>
      <c r="U159" s="295"/>
      <c r="V159" s="295"/>
      <c r="W159" s="295"/>
      <c r="X159" s="295"/>
      <c r="Y159" s="295"/>
      <c r="Z159" s="295"/>
      <c r="AA159" s="295"/>
      <c r="AB159" s="296"/>
      <c r="AC159" s="304"/>
      <c r="AD159" s="305"/>
      <c r="AE159" s="295"/>
      <c r="AF159" s="295"/>
      <c r="AG159" s="295"/>
      <c r="AH159" s="295"/>
      <c r="AI159" s="296"/>
      <c r="AJ159" s="296"/>
      <c r="AK159" s="295"/>
      <c r="AL159" s="310"/>
      <c r="AM159" s="270"/>
      <c r="AN159" s="295"/>
      <c r="AO159" s="295"/>
      <c r="AP159" s="295"/>
      <c r="AQ159" s="295"/>
      <c r="AR159" s="295"/>
      <c r="AS159" s="295"/>
      <c r="AT159" s="295"/>
      <c r="AU159" s="297"/>
      <c r="AV159" s="311"/>
      <c r="AW159" s="296"/>
      <c r="AX159" s="296"/>
      <c r="AY159" s="296"/>
      <c r="AZ159" s="296"/>
      <c r="BA159" s="296"/>
      <c r="BB159" s="296"/>
      <c r="BC159" s="296"/>
      <c r="BD159" s="297"/>
      <c r="BE159" s="270"/>
      <c r="BF159" s="295"/>
      <c r="BG159" s="298"/>
      <c r="BH159" s="299"/>
      <c r="BI159" s="295"/>
      <c r="BJ159" s="298"/>
      <c r="BK159" s="299"/>
      <c r="BL159" s="295"/>
      <c r="BM159" s="296"/>
      <c r="BN159" s="312"/>
      <c r="BO159" s="250">
        <f t="shared" si="17"/>
        <v>0</v>
      </c>
    </row>
    <row r="160" spans="1:67" ht="25.5" customHeight="1" x14ac:dyDescent="0.2">
      <c r="A160" s="142">
        <f t="shared" si="18"/>
        <v>145</v>
      </c>
      <c r="B160" s="251"/>
      <c r="C160" s="252"/>
      <c r="D160" s="253"/>
      <c r="E160" s="254"/>
      <c r="F160" s="278"/>
      <c r="G160" s="256"/>
      <c r="H160" s="257"/>
      <c r="I160" s="231" t="str">
        <f t="shared" si="13"/>
        <v/>
      </c>
      <c r="J160" s="258">
        <f t="shared" si="14"/>
        <v>0</v>
      </c>
      <c r="K160" s="259"/>
      <c r="L160" s="260"/>
      <c r="M160" s="260"/>
      <c r="N160" s="235" t="str">
        <f t="shared" si="15"/>
        <v/>
      </c>
      <c r="O160" s="236" t="str">
        <f>IF('Data Set up'!$G$40="JUNE",IF(OR($N160=7,$N160=8,$N160=9),1,IF(OR($N160=10,$N160=11,$N160=12),2,IF(OR($N160=1,$N160=2,$N160=3),3,IF(OR($N160=4,$N160=5,$N160=6),4,"")))),IF(OR($N160=9,$N160=10,$N160=11),1,IF(OR($N160=12,$N160=1,$N160=2),2,IF(OR($N160=3,$N160=4,$N160=5),3,IF(OR($N160=6,$N160=7,$N160=8),4,"")))))</f>
        <v/>
      </c>
      <c r="P160" s="261"/>
      <c r="Q160" s="270"/>
      <c r="R160" s="295"/>
      <c r="S160" s="264">
        <f t="shared" si="16"/>
        <v>0</v>
      </c>
      <c r="T160" s="295"/>
      <c r="U160" s="295"/>
      <c r="V160" s="295"/>
      <c r="W160" s="295"/>
      <c r="X160" s="295"/>
      <c r="Y160" s="295"/>
      <c r="Z160" s="295"/>
      <c r="AA160" s="295"/>
      <c r="AB160" s="296"/>
      <c r="AC160" s="304"/>
      <c r="AD160" s="305"/>
      <c r="AE160" s="295"/>
      <c r="AF160" s="295"/>
      <c r="AG160" s="295"/>
      <c r="AH160" s="295"/>
      <c r="AI160" s="296"/>
      <c r="AJ160" s="296"/>
      <c r="AK160" s="295"/>
      <c r="AL160" s="310"/>
      <c r="AM160" s="270"/>
      <c r="AN160" s="295"/>
      <c r="AO160" s="295"/>
      <c r="AP160" s="295"/>
      <c r="AQ160" s="295"/>
      <c r="AR160" s="295"/>
      <c r="AS160" s="295"/>
      <c r="AT160" s="295"/>
      <c r="AU160" s="297"/>
      <c r="AV160" s="311"/>
      <c r="AW160" s="296"/>
      <c r="AX160" s="296"/>
      <c r="AY160" s="296"/>
      <c r="AZ160" s="296"/>
      <c r="BA160" s="296"/>
      <c r="BB160" s="296"/>
      <c r="BC160" s="296"/>
      <c r="BD160" s="297"/>
      <c r="BE160" s="270"/>
      <c r="BF160" s="295"/>
      <c r="BG160" s="298"/>
      <c r="BH160" s="299"/>
      <c r="BI160" s="295"/>
      <c r="BJ160" s="298"/>
      <c r="BK160" s="299"/>
      <c r="BL160" s="295"/>
      <c r="BM160" s="296"/>
      <c r="BN160" s="312"/>
      <c r="BO160" s="250">
        <f t="shared" si="17"/>
        <v>0</v>
      </c>
    </row>
    <row r="161" spans="1:67" ht="25.5" customHeight="1" x14ac:dyDescent="0.2">
      <c r="A161" s="142">
        <f t="shared" si="18"/>
        <v>146</v>
      </c>
      <c r="B161" s="251"/>
      <c r="C161" s="252"/>
      <c r="D161" s="253"/>
      <c r="E161" s="254"/>
      <c r="F161" s="278"/>
      <c r="G161" s="256"/>
      <c r="H161" s="257"/>
      <c r="I161" s="231" t="str">
        <f t="shared" si="13"/>
        <v/>
      </c>
      <c r="J161" s="258">
        <f t="shared" si="14"/>
        <v>0</v>
      </c>
      <c r="K161" s="259"/>
      <c r="L161" s="260"/>
      <c r="M161" s="260"/>
      <c r="N161" s="235" t="str">
        <f t="shared" si="15"/>
        <v/>
      </c>
      <c r="O161" s="236" t="str">
        <f>IF('Data Set up'!$G$40="JUNE",IF(OR($N161=7,$N161=8,$N161=9),1,IF(OR($N161=10,$N161=11,$N161=12),2,IF(OR($N161=1,$N161=2,$N161=3),3,IF(OR($N161=4,$N161=5,$N161=6),4,"")))),IF(OR($N161=9,$N161=10,$N161=11),1,IF(OR($N161=12,$N161=1,$N161=2),2,IF(OR($N161=3,$N161=4,$N161=5),3,IF(OR($N161=6,$N161=7,$N161=8),4,"")))))</f>
        <v/>
      </c>
      <c r="P161" s="261"/>
      <c r="Q161" s="270"/>
      <c r="R161" s="295"/>
      <c r="S161" s="264">
        <f t="shared" si="16"/>
        <v>0</v>
      </c>
      <c r="T161" s="295"/>
      <c r="U161" s="295"/>
      <c r="V161" s="295"/>
      <c r="W161" s="295"/>
      <c r="X161" s="295"/>
      <c r="Y161" s="295"/>
      <c r="Z161" s="295"/>
      <c r="AA161" s="295"/>
      <c r="AB161" s="296"/>
      <c r="AC161" s="304"/>
      <c r="AD161" s="305"/>
      <c r="AE161" s="295"/>
      <c r="AF161" s="295"/>
      <c r="AG161" s="295"/>
      <c r="AH161" s="295"/>
      <c r="AI161" s="296"/>
      <c r="AJ161" s="296"/>
      <c r="AK161" s="295"/>
      <c r="AL161" s="310"/>
      <c r="AM161" s="270"/>
      <c r="AN161" s="295"/>
      <c r="AO161" s="295"/>
      <c r="AP161" s="295"/>
      <c r="AQ161" s="295"/>
      <c r="AR161" s="295"/>
      <c r="AS161" s="295"/>
      <c r="AT161" s="295"/>
      <c r="AU161" s="297"/>
      <c r="AV161" s="311"/>
      <c r="AW161" s="296"/>
      <c r="AX161" s="296"/>
      <c r="AY161" s="296"/>
      <c r="AZ161" s="296"/>
      <c r="BA161" s="296"/>
      <c r="BB161" s="296"/>
      <c r="BC161" s="296"/>
      <c r="BD161" s="297"/>
      <c r="BE161" s="270"/>
      <c r="BF161" s="295"/>
      <c r="BG161" s="298"/>
      <c r="BH161" s="299"/>
      <c r="BI161" s="295"/>
      <c r="BJ161" s="298"/>
      <c r="BK161" s="299"/>
      <c r="BL161" s="295"/>
      <c r="BM161" s="296"/>
      <c r="BN161" s="312"/>
      <c r="BO161" s="250">
        <f t="shared" si="17"/>
        <v>0</v>
      </c>
    </row>
    <row r="162" spans="1:67" ht="25.5" customHeight="1" x14ac:dyDescent="0.2">
      <c r="A162" s="142">
        <f t="shared" si="18"/>
        <v>147</v>
      </c>
      <c r="B162" s="251"/>
      <c r="C162" s="252"/>
      <c r="D162" s="253"/>
      <c r="E162" s="254"/>
      <c r="F162" s="278"/>
      <c r="G162" s="256"/>
      <c r="H162" s="257"/>
      <c r="I162" s="231" t="str">
        <f t="shared" si="13"/>
        <v/>
      </c>
      <c r="J162" s="258">
        <f t="shared" si="14"/>
        <v>0</v>
      </c>
      <c r="K162" s="259"/>
      <c r="L162" s="260"/>
      <c r="M162" s="260"/>
      <c r="N162" s="235" t="str">
        <f t="shared" si="15"/>
        <v/>
      </c>
      <c r="O162" s="236" t="str">
        <f>IF('Data Set up'!$G$40="JUNE",IF(OR($N162=7,$N162=8,$N162=9),1,IF(OR($N162=10,$N162=11,$N162=12),2,IF(OR($N162=1,$N162=2,$N162=3),3,IF(OR($N162=4,$N162=5,$N162=6),4,"")))),IF(OR($N162=9,$N162=10,$N162=11),1,IF(OR($N162=12,$N162=1,$N162=2),2,IF(OR($N162=3,$N162=4,$N162=5),3,IF(OR($N162=6,$N162=7,$N162=8),4,"")))))</f>
        <v/>
      </c>
      <c r="P162" s="261"/>
      <c r="Q162" s="270"/>
      <c r="R162" s="295"/>
      <c r="S162" s="264">
        <f t="shared" si="16"/>
        <v>0</v>
      </c>
      <c r="T162" s="295"/>
      <c r="U162" s="295"/>
      <c r="V162" s="295"/>
      <c r="W162" s="295"/>
      <c r="X162" s="295"/>
      <c r="Y162" s="295"/>
      <c r="Z162" s="295"/>
      <c r="AA162" s="295"/>
      <c r="AB162" s="296"/>
      <c r="AC162" s="304"/>
      <c r="AD162" s="305"/>
      <c r="AE162" s="295"/>
      <c r="AF162" s="295"/>
      <c r="AG162" s="295"/>
      <c r="AH162" s="295"/>
      <c r="AI162" s="296"/>
      <c r="AJ162" s="296"/>
      <c r="AK162" s="295"/>
      <c r="AL162" s="310"/>
      <c r="AM162" s="270"/>
      <c r="AN162" s="295"/>
      <c r="AO162" s="295"/>
      <c r="AP162" s="295"/>
      <c r="AQ162" s="295"/>
      <c r="AR162" s="295"/>
      <c r="AS162" s="295"/>
      <c r="AT162" s="295"/>
      <c r="AU162" s="297"/>
      <c r="AV162" s="311"/>
      <c r="AW162" s="296"/>
      <c r="AX162" s="296"/>
      <c r="AY162" s="296"/>
      <c r="AZ162" s="296"/>
      <c r="BA162" s="296"/>
      <c r="BB162" s="296"/>
      <c r="BC162" s="296"/>
      <c r="BD162" s="297"/>
      <c r="BE162" s="270"/>
      <c r="BF162" s="295"/>
      <c r="BG162" s="298"/>
      <c r="BH162" s="299"/>
      <c r="BI162" s="295"/>
      <c r="BJ162" s="298"/>
      <c r="BK162" s="299"/>
      <c r="BL162" s="295"/>
      <c r="BM162" s="296"/>
      <c r="BN162" s="312"/>
      <c r="BO162" s="250">
        <f t="shared" si="17"/>
        <v>0</v>
      </c>
    </row>
    <row r="163" spans="1:67" ht="25.5" customHeight="1" x14ac:dyDescent="0.2">
      <c r="A163" s="142">
        <f t="shared" si="18"/>
        <v>148</v>
      </c>
      <c r="B163" s="251"/>
      <c r="C163" s="252"/>
      <c r="D163" s="253"/>
      <c r="E163" s="254"/>
      <c r="F163" s="278"/>
      <c r="G163" s="256"/>
      <c r="H163" s="257"/>
      <c r="I163" s="231" t="str">
        <f t="shared" si="13"/>
        <v/>
      </c>
      <c r="J163" s="258">
        <f t="shared" si="14"/>
        <v>0</v>
      </c>
      <c r="K163" s="259"/>
      <c r="L163" s="260"/>
      <c r="M163" s="260"/>
      <c r="N163" s="235" t="str">
        <f t="shared" si="15"/>
        <v/>
      </c>
      <c r="O163" s="236" t="str">
        <f>IF('Data Set up'!$G$40="JUNE",IF(OR($N163=7,$N163=8,$N163=9),1,IF(OR($N163=10,$N163=11,$N163=12),2,IF(OR($N163=1,$N163=2,$N163=3),3,IF(OR($N163=4,$N163=5,$N163=6),4,"")))),IF(OR($N163=9,$N163=10,$N163=11),1,IF(OR($N163=12,$N163=1,$N163=2),2,IF(OR($N163=3,$N163=4,$N163=5),3,IF(OR($N163=6,$N163=7,$N163=8),4,"")))))</f>
        <v/>
      </c>
      <c r="P163" s="261"/>
      <c r="Q163" s="270"/>
      <c r="R163" s="295"/>
      <c r="S163" s="264">
        <f t="shared" si="16"/>
        <v>0</v>
      </c>
      <c r="T163" s="295"/>
      <c r="U163" s="295"/>
      <c r="V163" s="295"/>
      <c r="W163" s="295"/>
      <c r="X163" s="295"/>
      <c r="Y163" s="295"/>
      <c r="Z163" s="295"/>
      <c r="AA163" s="295"/>
      <c r="AB163" s="296"/>
      <c r="AC163" s="304"/>
      <c r="AD163" s="305"/>
      <c r="AE163" s="295"/>
      <c r="AF163" s="295"/>
      <c r="AG163" s="295"/>
      <c r="AH163" s="295"/>
      <c r="AI163" s="296"/>
      <c r="AJ163" s="296"/>
      <c r="AK163" s="295"/>
      <c r="AL163" s="310"/>
      <c r="AM163" s="270"/>
      <c r="AN163" s="295"/>
      <c r="AO163" s="295"/>
      <c r="AP163" s="295"/>
      <c r="AQ163" s="295"/>
      <c r="AR163" s="295"/>
      <c r="AS163" s="295"/>
      <c r="AT163" s="295"/>
      <c r="AU163" s="297"/>
      <c r="AV163" s="311"/>
      <c r="AW163" s="296"/>
      <c r="AX163" s="296"/>
      <c r="AY163" s="296"/>
      <c r="AZ163" s="296"/>
      <c r="BA163" s="296"/>
      <c r="BB163" s="296"/>
      <c r="BC163" s="296"/>
      <c r="BD163" s="297"/>
      <c r="BE163" s="270"/>
      <c r="BF163" s="295"/>
      <c r="BG163" s="298"/>
      <c r="BH163" s="299"/>
      <c r="BI163" s="295"/>
      <c r="BJ163" s="298"/>
      <c r="BK163" s="299"/>
      <c r="BL163" s="295"/>
      <c r="BM163" s="296"/>
      <c r="BN163" s="312"/>
      <c r="BO163" s="250">
        <f t="shared" si="17"/>
        <v>0</v>
      </c>
    </row>
    <row r="164" spans="1:67" ht="25.5" customHeight="1" x14ac:dyDescent="0.2">
      <c r="A164" s="142">
        <f t="shared" si="18"/>
        <v>149</v>
      </c>
      <c r="B164" s="251"/>
      <c r="C164" s="252"/>
      <c r="D164" s="253"/>
      <c r="E164" s="254"/>
      <c r="F164" s="278"/>
      <c r="G164" s="256"/>
      <c r="H164" s="257"/>
      <c r="I164" s="231" t="str">
        <f t="shared" si="13"/>
        <v/>
      </c>
      <c r="J164" s="258">
        <f t="shared" si="14"/>
        <v>0</v>
      </c>
      <c r="K164" s="259"/>
      <c r="L164" s="260"/>
      <c r="M164" s="260"/>
      <c r="N164" s="235" t="str">
        <f t="shared" si="15"/>
        <v/>
      </c>
      <c r="O164" s="236" t="str">
        <f>IF('Data Set up'!$G$40="JUNE",IF(OR($N164=7,$N164=8,$N164=9),1,IF(OR($N164=10,$N164=11,$N164=12),2,IF(OR($N164=1,$N164=2,$N164=3),3,IF(OR($N164=4,$N164=5,$N164=6),4,"")))),IF(OR($N164=9,$N164=10,$N164=11),1,IF(OR($N164=12,$N164=1,$N164=2),2,IF(OR($N164=3,$N164=4,$N164=5),3,IF(OR($N164=6,$N164=7,$N164=8),4,"")))))</f>
        <v/>
      </c>
      <c r="P164" s="261"/>
      <c r="Q164" s="270"/>
      <c r="R164" s="295"/>
      <c r="S164" s="264">
        <f t="shared" si="16"/>
        <v>0</v>
      </c>
      <c r="T164" s="295"/>
      <c r="U164" s="295"/>
      <c r="V164" s="295"/>
      <c r="W164" s="295"/>
      <c r="X164" s="295"/>
      <c r="Y164" s="295"/>
      <c r="Z164" s="295"/>
      <c r="AA164" s="295"/>
      <c r="AB164" s="296"/>
      <c r="AC164" s="304"/>
      <c r="AD164" s="305"/>
      <c r="AE164" s="295"/>
      <c r="AF164" s="295"/>
      <c r="AG164" s="295"/>
      <c r="AH164" s="295"/>
      <c r="AI164" s="296"/>
      <c r="AJ164" s="296"/>
      <c r="AK164" s="295"/>
      <c r="AL164" s="310"/>
      <c r="AM164" s="270"/>
      <c r="AN164" s="295"/>
      <c r="AO164" s="295"/>
      <c r="AP164" s="295"/>
      <c r="AQ164" s="295"/>
      <c r="AR164" s="295"/>
      <c r="AS164" s="295"/>
      <c r="AT164" s="295"/>
      <c r="AU164" s="297"/>
      <c r="AV164" s="311"/>
      <c r="AW164" s="296"/>
      <c r="AX164" s="296"/>
      <c r="AY164" s="296"/>
      <c r="AZ164" s="296"/>
      <c r="BA164" s="296"/>
      <c r="BB164" s="296"/>
      <c r="BC164" s="296"/>
      <c r="BD164" s="297"/>
      <c r="BE164" s="270"/>
      <c r="BF164" s="295"/>
      <c r="BG164" s="298"/>
      <c r="BH164" s="299"/>
      <c r="BI164" s="295"/>
      <c r="BJ164" s="298"/>
      <c r="BK164" s="299"/>
      <c r="BL164" s="295"/>
      <c r="BM164" s="296"/>
      <c r="BN164" s="312"/>
      <c r="BO164" s="250">
        <f t="shared" si="17"/>
        <v>0</v>
      </c>
    </row>
    <row r="165" spans="1:67" ht="25.5" customHeight="1" x14ac:dyDescent="0.2">
      <c r="A165" s="142">
        <f t="shared" si="18"/>
        <v>150</v>
      </c>
      <c r="B165" s="251"/>
      <c r="C165" s="252"/>
      <c r="D165" s="253"/>
      <c r="E165" s="254"/>
      <c r="F165" s="278"/>
      <c r="G165" s="256"/>
      <c r="H165" s="257"/>
      <c r="I165" s="231" t="str">
        <f t="shared" si="13"/>
        <v/>
      </c>
      <c r="J165" s="258">
        <f t="shared" si="14"/>
        <v>0</v>
      </c>
      <c r="K165" s="259"/>
      <c r="L165" s="260"/>
      <c r="M165" s="260"/>
      <c r="N165" s="235" t="str">
        <f t="shared" si="15"/>
        <v/>
      </c>
      <c r="O165" s="236" t="str">
        <f>IF('Data Set up'!$G$40="JUNE",IF(OR($N165=7,$N165=8,$N165=9),1,IF(OR($N165=10,$N165=11,$N165=12),2,IF(OR($N165=1,$N165=2,$N165=3),3,IF(OR($N165=4,$N165=5,$N165=6),4,"")))),IF(OR($N165=9,$N165=10,$N165=11),1,IF(OR($N165=12,$N165=1,$N165=2),2,IF(OR($N165=3,$N165=4,$N165=5),3,IF(OR($N165=6,$N165=7,$N165=8),4,"")))))</f>
        <v/>
      </c>
      <c r="P165" s="261"/>
      <c r="Q165" s="270"/>
      <c r="R165" s="295"/>
      <c r="S165" s="264">
        <f t="shared" si="16"/>
        <v>0</v>
      </c>
      <c r="T165" s="295"/>
      <c r="U165" s="295"/>
      <c r="V165" s="295"/>
      <c r="W165" s="295"/>
      <c r="X165" s="295"/>
      <c r="Y165" s="295"/>
      <c r="Z165" s="295"/>
      <c r="AA165" s="295"/>
      <c r="AB165" s="296"/>
      <c r="AC165" s="304"/>
      <c r="AD165" s="305"/>
      <c r="AE165" s="295"/>
      <c r="AF165" s="295"/>
      <c r="AG165" s="295"/>
      <c r="AH165" s="295"/>
      <c r="AI165" s="296"/>
      <c r="AJ165" s="296"/>
      <c r="AK165" s="295"/>
      <c r="AL165" s="310"/>
      <c r="AM165" s="270"/>
      <c r="AN165" s="295"/>
      <c r="AO165" s="295"/>
      <c r="AP165" s="295"/>
      <c r="AQ165" s="295"/>
      <c r="AR165" s="295"/>
      <c r="AS165" s="295"/>
      <c r="AT165" s="295"/>
      <c r="AU165" s="297"/>
      <c r="AV165" s="311"/>
      <c r="AW165" s="296"/>
      <c r="AX165" s="296"/>
      <c r="AY165" s="296"/>
      <c r="AZ165" s="296"/>
      <c r="BA165" s="296"/>
      <c r="BB165" s="296"/>
      <c r="BC165" s="296"/>
      <c r="BD165" s="297"/>
      <c r="BE165" s="270"/>
      <c r="BF165" s="295"/>
      <c r="BG165" s="298"/>
      <c r="BH165" s="299"/>
      <c r="BI165" s="295"/>
      <c r="BJ165" s="298"/>
      <c r="BK165" s="299"/>
      <c r="BL165" s="295"/>
      <c r="BM165" s="296"/>
      <c r="BN165" s="312"/>
      <c r="BO165" s="250">
        <f t="shared" si="17"/>
        <v>0</v>
      </c>
    </row>
    <row r="166" spans="1:67" ht="25.5" customHeight="1" x14ac:dyDescent="0.2">
      <c r="A166" s="142">
        <f t="shared" si="18"/>
        <v>151</v>
      </c>
      <c r="B166" s="251"/>
      <c r="C166" s="252"/>
      <c r="D166" s="253"/>
      <c r="E166" s="254"/>
      <c r="F166" s="278"/>
      <c r="G166" s="256"/>
      <c r="H166" s="257"/>
      <c r="I166" s="231" t="str">
        <f t="shared" si="13"/>
        <v/>
      </c>
      <c r="J166" s="258">
        <f t="shared" si="14"/>
        <v>0</v>
      </c>
      <c r="K166" s="259"/>
      <c r="L166" s="260"/>
      <c r="M166" s="260"/>
      <c r="N166" s="235" t="str">
        <f t="shared" si="15"/>
        <v/>
      </c>
      <c r="O166" s="236" t="str">
        <f>IF('Data Set up'!$G$40="JUNE",IF(OR($N166=7,$N166=8,$N166=9),1,IF(OR($N166=10,$N166=11,$N166=12),2,IF(OR($N166=1,$N166=2,$N166=3),3,IF(OR($N166=4,$N166=5,$N166=6),4,"")))),IF(OR($N166=9,$N166=10,$N166=11),1,IF(OR($N166=12,$N166=1,$N166=2),2,IF(OR($N166=3,$N166=4,$N166=5),3,IF(OR($N166=6,$N166=7,$N166=8),4,"")))))</f>
        <v/>
      </c>
      <c r="P166" s="261"/>
      <c r="Q166" s="270"/>
      <c r="R166" s="295"/>
      <c r="S166" s="264">
        <f t="shared" si="16"/>
        <v>0</v>
      </c>
      <c r="T166" s="295"/>
      <c r="U166" s="295"/>
      <c r="V166" s="295"/>
      <c r="W166" s="295"/>
      <c r="X166" s="295"/>
      <c r="Y166" s="295"/>
      <c r="Z166" s="295"/>
      <c r="AA166" s="295"/>
      <c r="AB166" s="296"/>
      <c r="AC166" s="304"/>
      <c r="AD166" s="305"/>
      <c r="AE166" s="295"/>
      <c r="AF166" s="295"/>
      <c r="AG166" s="295"/>
      <c r="AH166" s="295"/>
      <c r="AI166" s="296"/>
      <c r="AJ166" s="296"/>
      <c r="AK166" s="295"/>
      <c r="AL166" s="310"/>
      <c r="AM166" s="270"/>
      <c r="AN166" s="295"/>
      <c r="AO166" s="295"/>
      <c r="AP166" s="295"/>
      <c r="AQ166" s="295"/>
      <c r="AR166" s="295"/>
      <c r="AS166" s="295"/>
      <c r="AT166" s="295"/>
      <c r="AU166" s="297"/>
      <c r="AV166" s="311"/>
      <c r="AW166" s="296"/>
      <c r="AX166" s="296"/>
      <c r="AY166" s="296"/>
      <c r="AZ166" s="296"/>
      <c r="BA166" s="296"/>
      <c r="BB166" s="296"/>
      <c r="BC166" s="296"/>
      <c r="BD166" s="297"/>
      <c r="BE166" s="270"/>
      <c r="BF166" s="295"/>
      <c r="BG166" s="298"/>
      <c r="BH166" s="299"/>
      <c r="BI166" s="295"/>
      <c r="BJ166" s="298"/>
      <c r="BK166" s="299"/>
      <c r="BL166" s="295"/>
      <c r="BM166" s="296"/>
      <c r="BN166" s="312"/>
      <c r="BO166" s="250">
        <f t="shared" si="17"/>
        <v>0</v>
      </c>
    </row>
    <row r="167" spans="1:67" ht="25.5" customHeight="1" x14ac:dyDescent="0.2">
      <c r="A167" s="142">
        <f t="shared" si="18"/>
        <v>152</v>
      </c>
      <c r="B167" s="251"/>
      <c r="C167" s="252"/>
      <c r="D167" s="253"/>
      <c r="E167" s="254"/>
      <c r="F167" s="278"/>
      <c r="G167" s="256"/>
      <c r="H167" s="257"/>
      <c r="I167" s="231" t="str">
        <f t="shared" si="13"/>
        <v/>
      </c>
      <c r="J167" s="258">
        <f t="shared" si="14"/>
        <v>0</v>
      </c>
      <c r="K167" s="259"/>
      <c r="L167" s="260"/>
      <c r="M167" s="260"/>
      <c r="N167" s="235" t="str">
        <f t="shared" si="15"/>
        <v/>
      </c>
      <c r="O167" s="236" t="str">
        <f>IF('Data Set up'!$G$40="JUNE",IF(OR($N167=7,$N167=8,$N167=9),1,IF(OR($N167=10,$N167=11,$N167=12),2,IF(OR($N167=1,$N167=2,$N167=3),3,IF(OR($N167=4,$N167=5,$N167=6),4,"")))),IF(OR($N167=9,$N167=10,$N167=11),1,IF(OR($N167=12,$N167=1,$N167=2),2,IF(OR($N167=3,$N167=4,$N167=5),3,IF(OR($N167=6,$N167=7,$N167=8),4,"")))))</f>
        <v/>
      </c>
      <c r="P167" s="261"/>
      <c r="Q167" s="270"/>
      <c r="R167" s="295"/>
      <c r="S167" s="264">
        <f t="shared" si="16"/>
        <v>0</v>
      </c>
      <c r="T167" s="295"/>
      <c r="U167" s="295"/>
      <c r="V167" s="295"/>
      <c r="W167" s="295"/>
      <c r="X167" s="295"/>
      <c r="Y167" s="295"/>
      <c r="Z167" s="295"/>
      <c r="AA167" s="295"/>
      <c r="AB167" s="296"/>
      <c r="AC167" s="304"/>
      <c r="AD167" s="305"/>
      <c r="AE167" s="295"/>
      <c r="AF167" s="295"/>
      <c r="AG167" s="295"/>
      <c r="AH167" s="295"/>
      <c r="AI167" s="296"/>
      <c r="AJ167" s="296"/>
      <c r="AK167" s="295"/>
      <c r="AL167" s="310"/>
      <c r="AM167" s="270"/>
      <c r="AN167" s="295"/>
      <c r="AO167" s="295"/>
      <c r="AP167" s="295"/>
      <c r="AQ167" s="295"/>
      <c r="AR167" s="295"/>
      <c r="AS167" s="295"/>
      <c r="AT167" s="295"/>
      <c r="AU167" s="297"/>
      <c r="AV167" s="311"/>
      <c r="AW167" s="296"/>
      <c r="AX167" s="296"/>
      <c r="AY167" s="296"/>
      <c r="AZ167" s="296"/>
      <c r="BA167" s="296"/>
      <c r="BB167" s="296"/>
      <c r="BC167" s="296"/>
      <c r="BD167" s="297"/>
      <c r="BE167" s="270"/>
      <c r="BF167" s="295"/>
      <c r="BG167" s="298"/>
      <c r="BH167" s="299"/>
      <c r="BI167" s="295"/>
      <c r="BJ167" s="298"/>
      <c r="BK167" s="299"/>
      <c r="BL167" s="295"/>
      <c r="BM167" s="296"/>
      <c r="BN167" s="312"/>
      <c r="BO167" s="250">
        <f t="shared" si="17"/>
        <v>0</v>
      </c>
    </row>
    <row r="168" spans="1:67" ht="25.5" customHeight="1" x14ac:dyDescent="0.2">
      <c r="A168" s="142">
        <f t="shared" si="18"/>
        <v>153</v>
      </c>
      <c r="B168" s="251"/>
      <c r="C168" s="252"/>
      <c r="D168" s="253"/>
      <c r="E168" s="254"/>
      <c r="F168" s="278"/>
      <c r="G168" s="256"/>
      <c r="H168" s="257"/>
      <c r="I168" s="231" t="str">
        <f t="shared" si="13"/>
        <v/>
      </c>
      <c r="J168" s="258">
        <f t="shared" si="14"/>
        <v>0</v>
      </c>
      <c r="K168" s="259"/>
      <c r="L168" s="260"/>
      <c r="M168" s="260"/>
      <c r="N168" s="235" t="str">
        <f t="shared" si="15"/>
        <v/>
      </c>
      <c r="O168" s="236" t="str">
        <f>IF('Data Set up'!$G$40="JUNE",IF(OR($N168=7,$N168=8,$N168=9),1,IF(OR($N168=10,$N168=11,$N168=12),2,IF(OR($N168=1,$N168=2,$N168=3),3,IF(OR($N168=4,$N168=5,$N168=6),4,"")))),IF(OR($N168=9,$N168=10,$N168=11),1,IF(OR($N168=12,$N168=1,$N168=2),2,IF(OR($N168=3,$N168=4,$N168=5),3,IF(OR($N168=6,$N168=7,$N168=8),4,"")))))</f>
        <v/>
      </c>
      <c r="P168" s="261"/>
      <c r="Q168" s="270"/>
      <c r="R168" s="295"/>
      <c r="S168" s="264">
        <f t="shared" si="16"/>
        <v>0</v>
      </c>
      <c r="T168" s="295"/>
      <c r="U168" s="295"/>
      <c r="V168" s="295"/>
      <c r="W168" s="295"/>
      <c r="X168" s="295"/>
      <c r="Y168" s="295"/>
      <c r="Z168" s="295"/>
      <c r="AA168" s="295"/>
      <c r="AB168" s="296"/>
      <c r="AC168" s="304"/>
      <c r="AD168" s="305"/>
      <c r="AE168" s="295"/>
      <c r="AF168" s="295"/>
      <c r="AG168" s="295"/>
      <c r="AH168" s="295"/>
      <c r="AI168" s="296"/>
      <c r="AJ168" s="296"/>
      <c r="AK168" s="295"/>
      <c r="AL168" s="310"/>
      <c r="AM168" s="270"/>
      <c r="AN168" s="295"/>
      <c r="AO168" s="295"/>
      <c r="AP168" s="295"/>
      <c r="AQ168" s="295"/>
      <c r="AR168" s="295"/>
      <c r="AS168" s="295"/>
      <c r="AT168" s="295"/>
      <c r="AU168" s="297"/>
      <c r="AV168" s="311"/>
      <c r="AW168" s="296"/>
      <c r="AX168" s="296"/>
      <c r="AY168" s="296"/>
      <c r="AZ168" s="296"/>
      <c r="BA168" s="296"/>
      <c r="BB168" s="296"/>
      <c r="BC168" s="296"/>
      <c r="BD168" s="297"/>
      <c r="BE168" s="270"/>
      <c r="BF168" s="295"/>
      <c r="BG168" s="298"/>
      <c r="BH168" s="299"/>
      <c r="BI168" s="295"/>
      <c r="BJ168" s="298"/>
      <c r="BK168" s="299"/>
      <c r="BL168" s="295"/>
      <c r="BM168" s="296"/>
      <c r="BN168" s="312"/>
      <c r="BO168" s="250">
        <f t="shared" si="17"/>
        <v>0</v>
      </c>
    </row>
    <row r="169" spans="1:67" ht="25.5" customHeight="1" x14ac:dyDescent="0.2">
      <c r="A169" s="142">
        <f t="shared" si="18"/>
        <v>154</v>
      </c>
      <c r="B169" s="251"/>
      <c r="C169" s="252"/>
      <c r="D169" s="253"/>
      <c r="E169" s="254"/>
      <c r="F169" s="278"/>
      <c r="G169" s="256"/>
      <c r="H169" s="257"/>
      <c r="I169" s="231" t="str">
        <f t="shared" si="13"/>
        <v/>
      </c>
      <c r="J169" s="258">
        <f t="shared" si="14"/>
        <v>0</v>
      </c>
      <c r="K169" s="259"/>
      <c r="L169" s="260"/>
      <c r="M169" s="260"/>
      <c r="N169" s="235" t="str">
        <f t="shared" si="15"/>
        <v/>
      </c>
      <c r="O169" s="236" t="str">
        <f>IF('Data Set up'!$G$40="JUNE",IF(OR($N169=7,$N169=8,$N169=9),1,IF(OR($N169=10,$N169=11,$N169=12),2,IF(OR($N169=1,$N169=2,$N169=3),3,IF(OR($N169=4,$N169=5,$N169=6),4,"")))),IF(OR($N169=9,$N169=10,$N169=11),1,IF(OR($N169=12,$N169=1,$N169=2),2,IF(OR($N169=3,$N169=4,$N169=5),3,IF(OR($N169=6,$N169=7,$N169=8),4,"")))))</f>
        <v/>
      </c>
      <c r="P169" s="261"/>
      <c r="Q169" s="270"/>
      <c r="R169" s="295"/>
      <c r="S169" s="264">
        <f t="shared" si="16"/>
        <v>0</v>
      </c>
      <c r="T169" s="295"/>
      <c r="U169" s="295"/>
      <c r="V169" s="295"/>
      <c r="W169" s="295"/>
      <c r="X169" s="295"/>
      <c r="Y169" s="295"/>
      <c r="Z169" s="295"/>
      <c r="AA169" s="295"/>
      <c r="AB169" s="296"/>
      <c r="AC169" s="304"/>
      <c r="AD169" s="305"/>
      <c r="AE169" s="295"/>
      <c r="AF169" s="295"/>
      <c r="AG169" s="295"/>
      <c r="AH169" s="295"/>
      <c r="AI169" s="296"/>
      <c r="AJ169" s="296"/>
      <c r="AK169" s="295"/>
      <c r="AL169" s="310"/>
      <c r="AM169" s="270"/>
      <c r="AN169" s="295"/>
      <c r="AO169" s="295"/>
      <c r="AP169" s="295"/>
      <c r="AQ169" s="295"/>
      <c r="AR169" s="295"/>
      <c r="AS169" s="295"/>
      <c r="AT169" s="295"/>
      <c r="AU169" s="297"/>
      <c r="AV169" s="311"/>
      <c r="AW169" s="296"/>
      <c r="AX169" s="296"/>
      <c r="AY169" s="296"/>
      <c r="AZ169" s="296"/>
      <c r="BA169" s="296"/>
      <c r="BB169" s="296"/>
      <c r="BC169" s="296"/>
      <c r="BD169" s="297"/>
      <c r="BE169" s="270"/>
      <c r="BF169" s="295"/>
      <c r="BG169" s="298"/>
      <c r="BH169" s="299"/>
      <c r="BI169" s="295"/>
      <c r="BJ169" s="298"/>
      <c r="BK169" s="299"/>
      <c r="BL169" s="295"/>
      <c r="BM169" s="296"/>
      <c r="BN169" s="312"/>
      <c r="BO169" s="250">
        <f t="shared" si="17"/>
        <v>0</v>
      </c>
    </row>
    <row r="170" spans="1:67" ht="25.5" customHeight="1" x14ac:dyDescent="0.2">
      <c r="A170" s="142">
        <f t="shared" si="18"/>
        <v>155</v>
      </c>
      <c r="B170" s="251"/>
      <c r="C170" s="252"/>
      <c r="D170" s="253"/>
      <c r="E170" s="254"/>
      <c r="F170" s="278"/>
      <c r="G170" s="256"/>
      <c r="H170" s="257"/>
      <c r="I170" s="231" t="str">
        <f t="shared" si="13"/>
        <v/>
      </c>
      <c r="J170" s="258">
        <f t="shared" si="14"/>
        <v>0</v>
      </c>
      <c r="K170" s="259"/>
      <c r="L170" s="260"/>
      <c r="M170" s="260"/>
      <c r="N170" s="235" t="str">
        <f t="shared" si="15"/>
        <v/>
      </c>
      <c r="O170" s="236" t="str">
        <f>IF('Data Set up'!$G$40="JUNE",IF(OR($N170=7,$N170=8,$N170=9),1,IF(OR($N170=10,$N170=11,$N170=12),2,IF(OR($N170=1,$N170=2,$N170=3),3,IF(OR($N170=4,$N170=5,$N170=6),4,"")))),IF(OR($N170=9,$N170=10,$N170=11),1,IF(OR($N170=12,$N170=1,$N170=2),2,IF(OR($N170=3,$N170=4,$N170=5),3,IF(OR($N170=6,$N170=7,$N170=8),4,"")))))</f>
        <v/>
      </c>
      <c r="P170" s="261"/>
      <c r="Q170" s="270"/>
      <c r="R170" s="295"/>
      <c r="S170" s="264">
        <f t="shared" si="16"/>
        <v>0</v>
      </c>
      <c r="T170" s="295"/>
      <c r="U170" s="295"/>
      <c r="V170" s="295"/>
      <c r="W170" s="295"/>
      <c r="X170" s="295"/>
      <c r="Y170" s="295"/>
      <c r="Z170" s="295"/>
      <c r="AA170" s="295"/>
      <c r="AB170" s="296"/>
      <c r="AC170" s="304"/>
      <c r="AD170" s="305"/>
      <c r="AE170" s="295"/>
      <c r="AF170" s="295"/>
      <c r="AG170" s="295"/>
      <c r="AH170" s="295"/>
      <c r="AI170" s="296"/>
      <c r="AJ170" s="296"/>
      <c r="AK170" s="295"/>
      <c r="AL170" s="310"/>
      <c r="AM170" s="270"/>
      <c r="AN170" s="295"/>
      <c r="AO170" s="295"/>
      <c r="AP170" s="295"/>
      <c r="AQ170" s="295"/>
      <c r="AR170" s="295"/>
      <c r="AS170" s="295"/>
      <c r="AT170" s="295"/>
      <c r="AU170" s="297"/>
      <c r="AV170" s="311"/>
      <c r="AW170" s="296"/>
      <c r="AX170" s="296"/>
      <c r="AY170" s="296"/>
      <c r="AZ170" s="296"/>
      <c r="BA170" s="296"/>
      <c r="BB170" s="296"/>
      <c r="BC170" s="296"/>
      <c r="BD170" s="297"/>
      <c r="BE170" s="270"/>
      <c r="BF170" s="295"/>
      <c r="BG170" s="298"/>
      <c r="BH170" s="299"/>
      <c r="BI170" s="295"/>
      <c r="BJ170" s="298"/>
      <c r="BK170" s="299"/>
      <c r="BL170" s="295"/>
      <c r="BM170" s="296"/>
      <c r="BN170" s="312"/>
      <c r="BO170" s="250">
        <f t="shared" si="17"/>
        <v>0</v>
      </c>
    </row>
    <row r="171" spans="1:67" ht="25.5" customHeight="1" x14ac:dyDescent="0.2">
      <c r="A171" s="142">
        <f t="shared" si="18"/>
        <v>156</v>
      </c>
      <c r="B171" s="251"/>
      <c r="C171" s="252"/>
      <c r="D171" s="253"/>
      <c r="E171" s="254"/>
      <c r="F171" s="278"/>
      <c r="G171" s="256"/>
      <c r="H171" s="257"/>
      <c r="I171" s="231" t="str">
        <f t="shared" si="13"/>
        <v/>
      </c>
      <c r="J171" s="258">
        <f t="shared" si="14"/>
        <v>0</v>
      </c>
      <c r="K171" s="259"/>
      <c r="L171" s="260"/>
      <c r="M171" s="260"/>
      <c r="N171" s="235" t="str">
        <f t="shared" si="15"/>
        <v/>
      </c>
      <c r="O171" s="236" t="str">
        <f>IF('Data Set up'!$G$40="JUNE",IF(OR($N171=7,$N171=8,$N171=9),1,IF(OR($N171=10,$N171=11,$N171=12),2,IF(OR($N171=1,$N171=2,$N171=3),3,IF(OR($N171=4,$N171=5,$N171=6),4,"")))),IF(OR($N171=9,$N171=10,$N171=11),1,IF(OR($N171=12,$N171=1,$N171=2),2,IF(OR($N171=3,$N171=4,$N171=5),3,IF(OR($N171=6,$N171=7,$N171=8),4,"")))))</f>
        <v/>
      </c>
      <c r="P171" s="261"/>
      <c r="Q171" s="270"/>
      <c r="R171" s="295"/>
      <c r="S171" s="264">
        <f t="shared" si="16"/>
        <v>0</v>
      </c>
      <c r="T171" s="295"/>
      <c r="U171" s="295"/>
      <c r="V171" s="295"/>
      <c r="W171" s="295"/>
      <c r="X171" s="295"/>
      <c r="Y171" s="295"/>
      <c r="Z171" s="295"/>
      <c r="AA171" s="295"/>
      <c r="AB171" s="296"/>
      <c r="AC171" s="304"/>
      <c r="AD171" s="305"/>
      <c r="AE171" s="295"/>
      <c r="AF171" s="295"/>
      <c r="AG171" s="295"/>
      <c r="AH171" s="295"/>
      <c r="AI171" s="296"/>
      <c r="AJ171" s="296"/>
      <c r="AK171" s="295"/>
      <c r="AL171" s="310"/>
      <c r="AM171" s="270"/>
      <c r="AN171" s="295"/>
      <c r="AO171" s="295"/>
      <c r="AP171" s="295"/>
      <c r="AQ171" s="295"/>
      <c r="AR171" s="295"/>
      <c r="AS171" s="295"/>
      <c r="AT171" s="295"/>
      <c r="AU171" s="297"/>
      <c r="AV171" s="311"/>
      <c r="AW171" s="296"/>
      <c r="AX171" s="296"/>
      <c r="AY171" s="296"/>
      <c r="AZ171" s="296"/>
      <c r="BA171" s="296"/>
      <c r="BB171" s="296"/>
      <c r="BC171" s="296"/>
      <c r="BD171" s="297"/>
      <c r="BE171" s="270"/>
      <c r="BF171" s="295"/>
      <c r="BG171" s="298"/>
      <c r="BH171" s="299"/>
      <c r="BI171" s="295"/>
      <c r="BJ171" s="298"/>
      <c r="BK171" s="299"/>
      <c r="BL171" s="295"/>
      <c r="BM171" s="296"/>
      <c r="BN171" s="312"/>
      <c r="BO171" s="250">
        <f t="shared" si="17"/>
        <v>0</v>
      </c>
    </row>
    <row r="172" spans="1:67" ht="25.5" customHeight="1" x14ac:dyDescent="0.2">
      <c r="A172" s="142">
        <f t="shared" si="18"/>
        <v>157</v>
      </c>
      <c r="B172" s="251"/>
      <c r="C172" s="252"/>
      <c r="D172" s="253"/>
      <c r="E172" s="254"/>
      <c r="F172" s="278"/>
      <c r="G172" s="256"/>
      <c r="H172" s="257"/>
      <c r="I172" s="231" t="str">
        <f t="shared" si="13"/>
        <v/>
      </c>
      <c r="J172" s="258">
        <f t="shared" si="14"/>
        <v>0</v>
      </c>
      <c r="K172" s="259"/>
      <c r="L172" s="260"/>
      <c r="M172" s="260"/>
      <c r="N172" s="235" t="str">
        <f t="shared" si="15"/>
        <v/>
      </c>
      <c r="O172" s="236" t="str">
        <f>IF('Data Set up'!$G$40="JUNE",IF(OR($N172=7,$N172=8,$N172=9),1,IF(OR($N172=10,$N172=11,$N172=12),2,IF(OR($N172=1,$N172=2,$N172=3),3,IF(OR($N172=4,$N172=5,$N172=6),4,"")))),IF(OR($N172=9,$N172=10,$N172=11),1,IF(OR($N172=12,$N172=1,$N172=2),2,IF(OR($N172=3,$N172=4,$N172=5),3,IF(OR($N172=6,$N172=7,$N172=8),4,"")))))</f>
        <v/>
      </c>
      <c r="P172" s="261"/>
      <c r="Q172" s="270"/>
      <c r="R172" s="295"/>
      <c r="S172" s="264">
        <f t="shared" si="16"/>
        <v>0</v>
      </c>
      <c r="T172" s="295"/>
      <c r="U172" s="295"/>
      <c r="V172" s="295"/>
      <c r="W172" s="295"/>
      <c r="X172" s="295"/>
      <c r="Y172" s="295"/>
      <c r="Z172" s="295"/>
      <c r="AA172" s="295"/>
      <c r="AB172" s="296"/>
      <c r="AC172" s="304"/>
      <c r="AD172" s="305"/>
      <c r="AE172" s="295"/>
      <c r="AF172" s="295"/>
      <c r="AG172" s="295"/>
      <c r="AH172" s="295"/>
      <c r="AI172" s="296"/>
      <c r="AJ172" s="296"/>
      <c r="AK172" s="295"/>
      <c r="AL172" s="310"/>
      <c r="AM172" s="270"/>
      <c r="AN172" s="295"/>
      <c r="AO172" s="295"/>
      <c r="AP172" s="295"/>
      <c r="AQ172" s="295"/>
      <c r="AR172" s="295"/>
      <c r="AS172" s="295"/>
      <c r="AT172" s="295"/>
      <c r="AU172" s="297"/>
      <c r="AV172" s="311"/>
      <c r="AW172" s="296"/>
      <c r="AX172" s="296"/>
      <c r="AY172" s="296"/>
      <c r="AZ172" s="296"/>
      <c r="BA172" s="296"/>
      <c r="BB172" s="296"/>
      <c r="BC172" s="296"/>
      <c r="BD172" s="297"/>
      <c r="BE172" s="270"/>
      <c r="BF172" s="295"/>
      <c r="BG172" s="298"/>
      <c r="BH172" s="299"/>
      <c r="BI172" s="295"/>
      <c r="BJ172" s="298"/>
      <c r="BK172" s="299"/>
      <c r="BL172" s="295"/>
      <c r="BM172" s="296"/>
      <c r="BN172" s="312"/>
      <c r="BO172" s="250">
        <f t="shared" si="17"/>
        <v>0</v>
      </c>
    </row>
    <row r="173" spans="1:67" ht="25.5" customHeight="1" x14ac:dyDescent="0.2">
      <c r="A173" s="142">
        <f t="shared" si="18"/>
        <v>158</v>
      </c>
      <c r="B173" s="251"/>
      <c r="C173" s="252"/>
      <c r="D173" s="253"/>
      <c r="E173" s="254"/>
      <c r="F173" s="278"/>
      <c r="G173" s="256"/>
      <c r="H173" s="257"/>
      <c r="I173" s="231" t="str">
        <f t="shared" si="13"/>
        <v/>
      </c>
      <c r="J173" s="258">
        <f t="shared" si="14"/>
        <v>0</v>
      </c>
      <c r="K173" s="259"/>
      <c r="L173" s="260"/>
      <c r="M173" s="260"/>
      <c r="N173" s="235" t="str">
        <f t="shared" si="15"/>
        <v/>
      </c>
      <c r="O173" s="236" t="str">
        <f>IF('Data Set up'!$G$40="JUNE",IF(OR($N173=7,$N173=8,$N173=9),1,IF(OR($N173=10,$N173=11,$N173=12),2,IF(OR($N173=1,$N173=2,$N173=3),3,IF(OR($N173=4,$N173=5,$N173=6),4,"")))),IF(OR($N173=9,$N173=10,$N173=11),1,IF(OR($N173=12,$N173=1,$N173=2),2,IF(OR($N173=3,$N173=4,$N173=5),3,IF(OR($N173=6,$N173=7,$N173=8),4,"")))))</f>
        <v/>
      </c>
      <c r="P173" s="261"/>
      <c r="Q173" s="270"/>
      <c r="R173" s="295"/>
      <c r="S173" s="264">
        <f t="shared" si="16"/>
        <v>0</v>
      </c>
      <c r="T173" s="295"/>
      <c r="U173" s="295"/>
      <c r="V173" s="295"/>
      <c r="W173" s="295"/>
      <c r="X173" s="295"/>
      <c r="Y173" s="295"/>
      <c r="Z173" s="295"/>
      <c r="AA173" s="295"/>
      <c r="AB173" s="296"/>
      <c r="AC173" s="304"/>
      <c r="AD173" s="305"/>
      <c r="AE173" s="295"/>
      <c r="AF173" s="295"/>
      <c r="AG173" s="295"/>
      <c r="AH173" s="295"/>
      <c r="AI173" s="296"/>
      <c r="AJ173" s="296"/>
      <c r="AK173" s="295"/>
      <c r="AL173" s="310"/>
      <c r="AM173" s="270"/>
      <c r="AN173" s="295"/>
      <c r="AO173" s="295"/>
      <c r="AP173" s="295"/>
      <c r="AQ173" s="295"/>
      <c r="AR173" s="295"/>
      <c r="AS173" s="295"/>
      <c r="AT173" s="295"/>
      <c r="AU173" s="297"/>
      <c r="AV173" s="311"/>
      <c r="AW173" s="296"/>
      <c r="AX173" s="296"/>
      <c r="AY173" s="296"/>
      <c r="AZ173" s="296"/>
      <c r="BA173" s="296"/>
      <c r="BB173" s="296"/>
      <c r="BC173" s="296"/>
      <c r="BD173" s="297"/>
      <c r="BE173" s="270"/>
      <c r="BF173" s="295"/>
      <c r="BG173" s="298"/>
      <c r="BH173" s="299"/>
      <c r="BI173" s="295"/>
      <c r="BJ173" s="298"/>
      <c r="BK173" s="299"/>
      <c r="BL173" s="295"/>
      <c r="BM173" s="296"/>
      <c r="BN173" s="312"/>
      <c r="BO173" s="250">
        <f t="shared" si="17"/>
        <v>0</v>
      </c>
    </row>
    <row r="174" spans="1:67" ht="25.5" customHeight="1" x14ac:dyDescent="0.2">
      <c r="A174" s="142">
        <f t="shared" si="18"/>
        <v>159</v>
      </c>
      <c r="B174" s="251"/>
      <c r="C174" s="252"/>
      <c r="D174" s="253"/>
      <c r="E174" s="254"/>
      <c r="F174" s="278"/>
      <c r="G174" s="256"/>
      <c r="H174" s="257"/>
      <c r="I174" s="231" t="str">
        <f t="shared" si="13"/>
        <v/>
      </c>
      <c r="J174" s="258">
        <f t="shared" si="14"/>
        <v>0</v>
      </c>
      <c r="K174" s="259"/>
      <c r="L174" s="260"/>
      <c r="M174" s="260"/>
      <c r="N174" s="235" t="str">
        <f t="shared" si="15"/>
        <v/>
      </c>
      <c r="O174" s="236" t="str">
        <f>IF('Data Set up'!$G$40="JUNE",IF(OR($N174=7,$N174=8,$N174=9),1,IF(OR($N174=10,$N174=11,$N174=12),2,IF(OR($N174=1,$N174=2,$N174=3),3,IF(OR($N174=4,$N174=5,$N174=6),4,"")))),IF(OR($N174=9,$N174=10,$N174=11),1,IF(OR($N174=12,$N174=1,$N174=2),2,IF(OR($N174=3,$N174=4,$N174=5),3,IF(OR($N174=6,$N174=7,$N174=8),4,"")))))</f>
        <v/>
      </c>
      <c r="P174" s="261"/>
      <c r="Q174" s="270"/>
      <c r="R174" s="295"/>
      <c r="S174" s="264">
        <f t="shared" si="16"/>
        <v>0</v>
      </c>
      <c r="T174" s="295"/>
      <c r="U174" s="295"/>
      <c r="V174" s="295"/>
      <c r="W174" s="295"/>
      <c r="X174" s="295"/>
      <c r="Y174" s="295"/>
      <c r="Z174" s="295"/>
      <c r="AA174" s="295"/>
      <c r="AB174" s="296"/>
      <c r="AC174" s="304"/>
      <c r="AD174" s="305"/>
      <c r="AE174" s="295"/>
      <c r="AF174" s="295"/>
      <c r="AG174" s="295"/>
      <c r="AH174" s="295"/>
      <c r="AI174" s="296"/>
      <c r="AJ174" s="296"/>
      <c r="AK174" s="295"/>
      <c r="AL174" s="310"/>
      <c r="AM174" s="270"/>
      <c r="AN174" s="295"/>
      <c r="AO174" s="295"/>
      <c r="AP174" s="295"/>
      <c r="AQ174" s="295"/>
      <c r="AR174" s="295"/>
      <c r="AS174" s="295"/>
      <c r="AT174" s="295"/>
      <c r="AU174" s="297"/>
      <c r="AV174" s="311"/>
      <c r="AW174" s="296"/>
      <c r="AX174" s="296"/>
      <c r="AY174" s="296"/>
      <c r="AZ174" s="296"/>
      <c r="BA174" s="296"/>
      <c r="BB174" s="296"/>
      <c r="BC174" s="296"/>
      <c r="BD174" s="297"/>
      <c r="BE174" s="270"/>
      <c r="BF174" s="295"/>
      <c r="BG174" s="298"/>
      <c r="BH174" s="299"/>
      <c r="BI174" s="295"/>
      <c r="BJ174" s="298"/>
      <c r="BK174" s="299"/>
      <c r="BL174" s="295"/>
      <c r="BM174" s="296"/>
      <c r="BN174" s="312"/>
      <c r="BO174" s="250">
        <f t="shared" si="17"/>
        <v>0</v>
      </c>
    </row>
    <row r="175" spans="1:67" ht="25.5" customHeight="1" x14ac:dyDescent="0.2">
      <c r="A175" s="142">
        <f t="shared" si="18"/>
        <v>160</v>
      </c>
      <c r="B175" s="251"/>
      <c r="C175" s="252"/>
      <c r="D175" s="253"/>
      <c r="E175" s="254"/>
      <c r="F175" s="278"/>
      <c r="G175" s="256"/>
      <c r="H175" s="257"/>
      <c r="I175" s="231" t="str">
        <f t="shared" si="13"/>
        <v/>
      </c>
      <c r="J175" s="258">
        <f t="shared" si="14"/>
        <v>0</v>
      </c>
      <c r="K175" s="259"/>
      <c r="L175" s="260"/>
      <c r="M175" s="260"/>
      <c r="N175" s="235" t="str">
        <f t="shared" si="15"/>
        <v/>
      </c>
      <c r="O175" s="236" t="str">
        <f>IF('Data Set up'!$G$40="JUNE",IF(OR($N175=7,$N175=8,$N175=9),1,IF(OR($N175=10,$N175=11,$N175=12),2,IF(OR($N175=1,$N175=2,$N175=3),3,IF(OR($N175=4,$N175=5,$N175=6),4,"")))),IF(OR($N175=9,$N175=10,$N175=11),1,IF(OR($N175=12,$N175=1,$N175=2),2,IF(OR($N175=3,$N175=4,$N175=5),3,IF(OR($N175=6,$N175=7,$N175=8),4,"")))))</f>
        <v/>
      </c>
      <c r="P175" s="261"/>
      <c r="Q175" s="270"/>
      <c r="R175" s="295"/>
      <c r="S175" s="264">
        <f t="shared" si="16"/>
        <v>0</v>
      </c>
      <c r="T175" s="295"/>
      <c r="U175" s="295"/>
      <c r="V175" s="295"/>
      <c r="W175" s="295"/>
      <c r="X175" s="295"/>
      <c r="Y175" s="295"/>
      <c r="Z175" s="295"/>
      <c r="AA175" s="295"/>
      <c r="AB175" s="296"/>
      <c r="AC175" s="304"/>
      <c r="AD175" s="305"/>
      <c r="AE175" s="295"/>
      <c r="AF175" s="295"/>
      <c r="AG175" s="295"/>
      <c r="AH175" s="295"/>
      <c r="AI175" s="296"/>
      <c r="AJ175" s="296"/>
      <c r="AK175" s="295"/>
      <c r="AL175" s="310"/>
      <c r="AM175" s="270"/>
      <c r="AN175" s="295"/>
      <c r="AO175" s="295"/>
      <c r="AP175" s="295"/>
      <c r="AQ175" s="295"/>
      <c r="AR175" s="295"/>
      <c r="AS175" s="295"/>
      <c r="AT175" s="295"/>
      <c r="AU175" s="297"/>
      <c r="AV175" s="311"/>
      <c r="AW175" s="296"/>
      <c r="AX175" s="296"/>
      <c r="AY175" s="296"/>
      <c r="AZ175" s="296"/>
      <c r="BA175" s="296"/>
      <c r="BB175" s="296"/>
      <c r="BC175" s="296"/>
      <c r="BD175" s="297"/>
      <c r="BE175" s="270"/>
      <c r="BF175" s="295"/>
      <c r="BG175" s="298"/>
      <c r="BH175" s="299"/>
      <c r="BI175" s="295"/>
      <c r="BJ175" s="298"/>
      <c r="BK175" s="299"/>
      <c r="BL175" s="295"/>
      <c r="BM175" s="296"/>
      <c r="BN175" s="312"/>
      <c r="BO175" s="250">
        <f t="shared" si="17"/>
        <v>0</v>
      </c>
    </row>
    <row r="176" spans="1:67" ht="25.5" customHeight="1" x14ac:dyDescent="0.2">
      <c r="A176" s="142">
        <f t="shared" si="18"/>
        <v>161</v>
      </c>
      <c r="B176" s="251"/>
      <c r="C176" s="252"/>
      <c r="D176" s="253"/>
      <c r="E176" s="254"/>
      <c r="F176" s="278"/>
      <c r="G176" s="256"/>
      <c r="H176" s="257"/>
      <c r="I176" s="231" t="str">
        <f t="shared" si="13"/>
        <v/>
      </c>
      <c r="J176" s="258">
        <f t="shared" si="14"/>
        <v>0</v>
      </c>
      <c r="K176" s="259"/>
      <c r="L176" s="260"/>
      <c r="M176" s="260"/>
      <c r="N176" s="235" t="str">
        <f t="shared" si="15"/>
        <v/>
      </c>
      <c r="O176" s="236" t="str">
        <f>IF('Data Set up'!$G$40="JUNE",IF(OR($N176=7,$N176=8,$N176=9),1,IF(OR($N176=10,$N176=11,$N176=12),2,IF(OR($N176=1,$N176=2,$N176=3),3,IF(OR($N176=4,$N176=5,$N176=6),4,"")))),IF(OR($N176=9,$N176=10,$N176=11),1,IF(OR($N176=12,$N176=1,$N176=2),2,IF(OR($N176=3,$N176=4,$N176=5),3,IF(OR($N176=6,$N176=7,$N176=8),4,"")))))</f>
        <v/>
      </c>
      <c r="P176" s="261"/>
      <c r="Q176" s="270"/>
      <c r="R176" s="295"/>
      <c r="S176" s="264">
        <f t="shared" si="16"/>
        <v>0</v>
      </c>
      <c r="T176" s="295"/>
      <c r="U176" s="295"/>
      <c r="V176" s="295"/>
      <c r="W176" s="295"/>
      <c r="X176" s="295"/>
      <c r="Y176" s="295"/>
      <c r="Z176" s="295"/>
      <c r="AA176" s="295"/>
      <c r="AB176" s="296"/>
      <c r="AC176" s="304"/>
      <c r="AD176" s="305"/>
      <c r="AE176" s="295"/>
      <c r="AF176" s="295"/>
      <c r="AG176" s="295"/>
      <c r="AH176" s="295"/>
      <c r="AI176" s="296"/>
      <c r="AJ176" s="296"/>
      <c r="AK176" s="295"/>
      <c r="AL176" s="310"/>
      <c r="AM176" s="270"/>
      <c r="AN176" s="295"/>
      <c r="AO176" s="295"/>
      <c r="AP176" s="295"/>
      <c r="AQ176" s="295"/>
      <c r="AR176" s="295"/>
      <c r="AS176" s="295"/>
      <c r="AT176" s="295"/>
      <c r="AU176" s="297"/>
      <c r="AV176" s="311"/>
      <c r="AW176" s="296"/>
      <c r="AX176" s="296"/>
      <c r="AY176" s="296"/>
      <c r="AZ176" s="296"/>
      <c r="BA176" s="296"/>
      <c r="BB176" s="296"/>
      <c r="BC176" s="296"/>
      <c r="BD176" s="297"/>
      <c r="BE176" s="270"/>
      <c r="BF176" s="295"/>
      <c r="BG176" s="298"/>
      <c r="BH176" s="299"/>
      <c r="BI176" s="295"/>
      <c r="BJ176" s="298"/>
      <c r="BK176" s="299"/>
      <c r="BL176" s="295"/>
      <c r="BM176" s="296"/>
      <c r="BN176" s="312"/>
      <c r="BO176" s="250">
        <f t="shared" si="17"/>
        <v>0</v>
      </c>
    </row>
    <row r="177" spans="1:67" ht="25.5" customHeight="1" x14ac:dyDescent="0.2">
      <c r="A177" s="142">
        <f t="shared" si="18"/>
        <v>162</v>
      </c>
      <c r="B177" s="251"/>
      <c r="C177" s="252"/>
      <c r="D177" s="253"/>
      <c r="E177" s="254"/>
      <c r="F177" s="278"/>
      <c r="G177" s="256"/>
      <c r="H177" s="257"/>
      <c r="I177" s="231" t="str">
        <f t="shared" si="13"/>
        <v/>
      </c>
      <c r="J177" s="258">
        <f t="shared" si="14"/>
        <v>0</v>
      </c>
      <c r="K177" s="259"/>
      <c r="L177" s="260"/>
      <c r="M177" s="260"/>
      <c r="N177" s="235" t="str">
        <f t="shared" si="15"/>
        <v/>
      </c>
      <c r="O177" s="236" t="str">
        <f>IF('Data Set up'!$G$40="JUNE",IF(OR($N177=7,$N177=8,$N177=9),1,IF(OR($N177=10,$N177=11,$N177=12),2,IF(OR($N177=1,$N177=2,$N177=3),3,IF(OR($N177=4,$N177=5,$N177=6),4,"")))),IF(OR($N177=9,$N177=10,$N177=11),1,IF(OR($N177=12,$N177=1,$N177=2),2,IF(OR($N177=3,$N177=4,$N177=5),3,IF(OR($N177=6,$N177=7,$N177=8),4,"")))))</f>
        <v/>
      </c>
      <c r="P177" s="261"/>
      <c r="Q177" s="270"/>
      <c r="R177" s="295"/>
      <c r="S177" s="264">
        <f t="shared" si="16"/>
        <v>0</v>
      </c>
      <c r="T177" s="295"/>
      <c r="U177" s="295"/>
      <c r="V177" s="295"/>
      <c r="W177" s="295"/>
      <c r="X177" s="295"/>
      <c r="Y177" s="295"/>
      <c r="Z177" s="295"/>
      <c r="AA177" s="295"/>
      <c r="AB177" s="296"/>
      <c r="AC177" s="304"/>
      <c r="AD177" s="305"/>
      <c r="AE177" s="295"/>
      <c r="AF177" s="295"/>
      <c r="AG177" s="295"/>
      <c r="AH177" s="295"/>
      <c r="AI177" s="296"/>
      <c r="AJ177" s="296"/>
      <c r="AK177" s="295"/>
      <c r="AL177" s="310"/>
      <c r="AM177" s="270"/>
      <c r="AN177" s="295"/>
      <c r="AO177" s="295"/>
      <c r="AP177" s="295"/>
      <c r="AQ177" s="295"/>
      <c r="AR177" s="295"/>
      <c r="AS177" s="295"/>
      <c r="AT177" s="295"/>
      <c r="AU177" s="297"/>
      <c r="AV177" s="311"/>
      <c r="AW177" s="296"/>
      <c r="AX177" s="296"/>
      <c r="AY177" s="296"/>
      <c r="AZ177" s="296"/>
      <c r="BA177" s="296"/>
      <c r="BB177" s="296"/>
      <c r="BC177" s="296"/>
      <c r="BD177" s="297"/>
      <c r="BE177" s="270"/>
      <c r="BF177" s="295"/>
      <c r="BG177" s="298"/>
      <c r="BH177" s="299"/>
      <c r="BI177" s="295"/>
      <c r="BJ177" s="298"/>
      <c r="BK177" s="299"/>
      <c r="BL177" s="295"/>
      <c r="BM177" s="296"/>
      <c r="BN177" s="312"/>
      <c r="BO177" s="250">
        <f t="shared" si="17"/>
        <v>0</v>
      </c>
    </row>
    <row r="178" spans="1:67" ht="25.5" customHeight="1" x14ac:dyDescent="0.2">
      <c r="A178" s="142">
        <f t="shared" si="18"/>
        <v>163</v>
      </c>
      <c r="B178" s="251"/>
      <c r="C178" s="252"/>
      <c r="D178" s="253"/>
      <c r="E178" s="254"/>
      <c r="F178" s="278"/>
      <c r="G178" s="256"/>
      <c r="H178" s="257"/>
      <c r="I178" s="231" t="str">
        <f t="shared" si="13"/>
        <v/>
      </c>
      <c r="J178" s="258">
        <f t="shared" si="14"/>
        <v>0</v>
      </c>
      <c r="K178" s="259"/>
      <c r="L178" s="260"/>
      <c r="M178" s="260"/>
      <c r="N178" s="235" t="str">
        <f t="shared" si="15"/>
        <v/>
      </c>
      <c r="O178" s="236" t="str">
        <f>IF('Data Set up'!$G$40="JUNE",IF(OR($N178=7,$N178=8,$N178=9),1,IF(OR($N178=10,$N178=11,$N178=12),2,IF(OR($N178=1,$N178=2,$N178=3),3,IF(OR($N178=4,$N178=5,$N178=6),4,"")))),IF(OR($N178=9,$N178=10,$N178=11),1,IF(OR($N178=12,$N178=1,$N178=2),2,IF(OR($N178=3,$N178=4,$N178=5),3,IF(OR($N178=6,$N178=7,$N178=8),4,"")))))</f>
        <v/>
      </c>
      <c r="P178" s="261"/>
      <c r="Q178" s="270"/>
      <c r="R178" s="295"/>
      <c r="S178" s="264">
        <f t="shared" si="16"/>
        <v>0</v>
      </c>
      <c r="T178" s="295"/>
      <c r="U178" s="295"/>
      <c r="V178" s="295"/>
      <c r="W178" s="295"/>
      <c r="X178" s="295"/>
      <c r="Y178" s="295"/>
      <c r="Z178" s="295"/>
      <c r="AA178" s="295"/>
      <c r="AB178" s="296"/>
      <c r="AC178" s="304"/>
      <c r="AD178" s="305"/>
      <c r="AE178" s="295"/>
      <c r="AF178" s="295"/>
      <c r="AG178" s="295"/>
      <c r="AH178" s="295"/>
      <c r="AI178" s="296"/>
      <c r="AJ178" s="296"/>
      <c r="AK178" s="295"/>
      <c r="AL178" s="310"/>
      <c r="AM178" s="270"/>
      <c r="AN178" s="295"/>
      <c r="AO178" s="295"/>
      <c r="AP178" s="295"/>
      <c r="AQ178" s="295"/>
      <c r="AR178" s="295"/>
      <c r="AS178" s="295"/>
      <c r="AT178" s="295"/>
      <c r="AU178" s="297"/>
      <c r="AV178" s="311"/>
      <c r="AW178" s="296"/>
      <c r="AX178" s="296"/>
      <c r="AY178" s="296"/>
      <c r="AZ178" s="296"/>
      <c r="BA178" s="296"/>
      <c r="BB178" s="296"/>
      <c r="BC178" s="296"/>
      <c r="BD178" s="297"/>
      <c r="BE178" s="270"/>
      <c r="BF178" s="295"/>
      <c r="BG178" s="298"/>
      <c r="BH178" s="299"/>
      <c r="BI178" s="295"/>
      <c r="BJ178" s="298"/>
      <c r="BK178" s="299"/>
      <c r="BL178" s="295"/>
      <c r="BM178" s="296"/>
      <c r="BN178" s="312"/>
      <c r="BO178" s="250">
        <f t="shared" si="17"/>
        <v>0</v>
      </c>
    </row>
    <row r="179" spans="1:67" ht="25.5" customHeight="1" x14ac:dyDescent="0.2">
      <c r="A179" s="142">
        <f t="shared" si="18"/>
        <v>164</v>
      </c>
      <c r="B179" s="251"/>
      <c r="C179" s="252"/>
      <c r="D179" s="253"/>
      <c r="E179" s="254"/>
      <c r="F179" s="278"/>
      <c r="G179" s="256"/>
      <c r="H179" s="257"/>
      <c r="I179" s="231" t="str">
        <f t="shared" si="13"/>
        <v/>
      </c>
      <c r="J179" s="258">
        <f t="shared" si="14"/>
        <v>0</v>
      </c>
      <c r="K179" s="259"/>
      <c r="L179" s="260"/>
      <c r="M179" s="260"/>
      <c r="N179" s="235" t="str">
        <f t="shared" si="15"/>
        <v/>
      </c>
      <c r="O179" s="236" t="str">
        <f>IF('Data Set up'!$G$40="JUNE",IF(OR($N179=7,$N179=8,$N179=9),1,IF(OR($N179=10,$N179=11,$N179=12),2,IF(OR($N179=1,$N179=2,$N179=3),3,IF(OR($N179=4,$N179=5,$N179=6),4,"")))),IF(OR($N179=9,$N179=10,$N179=11),1,IF(OR($N179=12,$N179=1,$N179=2),2,IF(OR($N179=3,$N179=4,$N179=5),3,IF(OR($N179=6,$N179=7,$N179=8),4,"")))))</f>
        <v/>
      </c>
      <c r="P179" s="261"/>
      <c r="Q179" s="270"/>
      <c r="R179" s="295"/>
      <c r="S179" s="264">
        <f t="shared" si="16"/>
        <v>0</v>
      </c>
      <c r="T179" s="295"/>
      <c r="U179" s="295"/>
      <c r="V179" s="295"/>
      <c r="W179" s="295"/>
      <c r="X179" s="295"/>
      <c r="Y179" s="295"/>
      <c r="Z179" s="295"/>
      <c r="AA179" s="295"/>
      <c r="AB179" s="296"/>
      <c r="AC179" s="304"/>
      <c r="AD179" s="305"/>
      <c r="AE179" s="295"/>
      <c r="AF179" s="295"/>
      <c r="AG179" s="295"/>
      <c r="AH179" s="295"/>
      <c r="AI179" s="296"/>
      <c r="AJ179" s="296"/>
      <c r="AK179" s="295"/>
      <c r="AL179" s="310"/>
      <c r="AM179" s="270"/>
      <c r="AN179" s="295"/>
      <c r="AO179" s="295"/>
      <c r="AP179" s="295"/>
      <c r="AQ179" s="295"/>
      <c r="AR179" s="295"/>
      <c r="AS179" s="295"/>
      <c r="AT179" s="295"/>
      <c r="AU179" s="297"/>
      <c r="AV179" s="311"/>
      <c r="AW179" s="296"/>
      <c r="AX179" s="296"/>
      <c r="AY179" s="296"/>
      <c r="AZ179" s="296"/>
      <c r="BA179" s="296"/>
      <c r="BB179" s="296"/>
      <c r="BC179" s="296"/>
      <c r="BD179" s="297"/>
      <c r="BE179" s="270"/>
      <c r="BF179" s="295"/>
      <c r="BG179" s="298"/>
      <c r="BH179" s="299"/>
      <c r="BI179" s="295"/>
      <c r="BJ179" s="298"/>
      <c r="BK179" s="299"/>
      <c r="BL179" s="295"/>
      <c r="BM179" s="296"/>
      <c r="BN179" s="312"/>
      <c r="BO179" s="250">
        <f t="shared" si="17"/>
        <v>0</v>
      </c>
    </row>
    <row r="180" spans="1:67" ht="25.5" customHeight="1" x14ac:dyDescent="0.2">
      <c r="A180" s="142">
        <f t="shared" si="18"/>
        <v>165</v>
      </c>
      <c r="B180" s="251"/>
      <c r="C180" s="252"/>
      <c r="D180" s="253"/>
      <c r="E180" s="254"/>
      <c r="F180" s="278"/>
      <c r="G180" s="256"/>
      <c r="H180" s="257"/>
      <c r="I180" s="231" t="str">
        <f t="shared" si="13"/>
        <v/>
      </c>
      <c r="J180" s="258">
        <f t="shared" si="14"/>
        <v>0</v>
      </c>
      <c r="K180" s="259"/>
      <c r="L180" s="260"/>
      <c r="M180" s="260"/>
      <c r="N180" s="235" t="str">
        <f t="shared" si="15"/>
        <v/>
      </c>
      <c r="O180" s="236" t="str">
        <f>IF('Data Set up'!$G$40="JUNE",IF(OR($N180=7,$N180=8,$N180=9),1,IF(OR($N180=10,$N180=11,$N180=12),2,IF(OR($N180=1,$N180=2,$N180=3),3,IF(OR($N180=4,$N180=5,$N180=6),4,"")))),IF(OR($N180=9,$N180=10,$N180=11),1,IF(OR($N180=12,$N180=1,$N180=2),2,IF(OR($N180=3,$N180=4,$N180=5),3,IF(OR($N180=6,$N180=7,$N180=8),4,"")))))</f>
        <v/>
      </c>
      <c r="P180" s="261"/>
      <c r="Q180" s="270"/>
      <c r="R180" s="295"/>
      <c r="S180" s="264">
        <f t="shared" si="16"/>
        <v>0</v>
      </c>
      <c r="T180" s="295"/>
      <c r="U180" s="295"/>
      <c r="V180" s="295"/>
      <c r="W180" s="295"/>
      <c r="X180" s="295"/>
      <c r="Y180" s="295"/>
      <c r="Z180" s="295"/>
      <c r="AA180" s="295"/>
      <c r="AB180" s="296"/>
      <c r="AC180" s="304"/>
      <c r="AD180" s="305"/>
      <c r="AE180" s="295"/>
      <c r="AF180" s="295"/>
      <c r="AG180" s="295"/>
      <c r="AH180" s="295"/>
      <c r="AI180" s="296"/>
      <c r="AJ180" s="296"/>
      <c r="AK180" s="295"/>
      <c r="AL180" s="310"/>
      <c r="AM180" s="270"/>
      <c r="AN180" s="295"/>
      <c r="AO180" s="295"/>
      <c r="AP180" s="295"/>
      <c r="AQ180" s="295"/>
      <c r="AR180" s="295"/>
      <c r="AS180" s="295"/>
      <c r="AT180" s="295"/>
      <c r="AU180" s="297"/>
      <c r="AV180" s="311"/>
      <c r="AW180" s="296"/>
      <c r="AX180" s="296"/>
      <c r="AY180" s="296"/>
      <c r="AZ180" s="296"/>
      <c r="BA180" s="296"/>
      <c r="BB180" s="296"/>
      <c r="BC180" s="296"/>
      <c r="BD180" s="297"/>
      <c r="BE180" s="270"/>
      <c r="BF180" s="295"/>
      <c r="BG180" s="298"/>
      <c r="BH180" s="299"/>
      <c r="BI180" s="295"/>
      <c r="BJ180" s="298"/>
      <c r="BK180" s="299"/>
      <c r="BL180" s="295"/>
      <c r="BM180" s="296"/>
      <c r="BN180" s="312"/>
      <c r="BO180" s="250">
        <f t="shared" si="17"/>
        <v>0</v>
      </c>
    </row>
    <row r="181" spans="1:67" ht="25.5" customHeight="1" x14ac:dyDescent="0.2">
      <c r="A181" s="142">
        <f t="shared" si="18"/>
        <v>166</v>
      </c>
      <c r="B181" s="251"/>
      <c r="C181" s="252"/>
      <c r="D181" s="253"/>
      <c r="E181" s="254"/>
      <c r="F181" s="278"/>
      <c r="G181" s="256"/>
      <c r="H181" s="257"/>
      <c r="I181" s="231" t="str">
        <f t="shared" si="13"/>
        <v/>
      </c>
      <c r="J181" s="258">
        <f t="shared" si="14"/>
        <v>0</v>
      </c>
      <c r="K181" s="259"/>
      <c r="L181" s="260"/>
      <c r="M181" s="260"/>
      <c r="N181" s="235" t="str">
        <f t="shared" si="15"/>
        <v/>
      </c>
      <c r="O181" s="236" t="str">
        <f>IF('Data Set up'!$G$40="JUNE",IF(OR($N181=7,$N181=8,$N181=9),1,IF(OR($N181=10,$N181=11,$N181=12),2,IF(OR($N181=1,$N181=2,$N181=3),3,IF(OR($N181=4,$N181=5,$N181=6),4,"")))),IF(OR($N181=9,$N181=10,$N181=11),1,IF(OR($N181=12,$N181=1,$N181=2),2,IF(OR($N181=3,$N181=4,$N181=5),3,IF(OR($N181=6,$N181=7,$N181=8),4,"")))))</f>
        <v/>
      </c>
      <c r="P181" s="261"/>
      <c r="Q181" s="270"/>
      <c r="R181" s="295"/>
      <c r="S181" s="264">
        <f t="shared" si="16"/>
        <v>0</v>
      </c>
      <c r="T181" s="295"/>
      <c r="U181" s="295"/>
      <c r="V181" s="295"/>
      <c r="W181" s="295"/>
      <c r="X181" s="295"/>
      <c r="Y181" s="295"/>
      <c r="Z181" s="295"/>
      <c r="AA181" s="295"/>
      <c r="AB181" s="296"/>
      <c r="AC181" s="304"/>
      <c r="AD181" s="305"/>
      <c r="AE181" s="295"/>
      <c r="AF181" s="295"/>
      <c r="AG181" s="295"/>
      <c r="AH181" s="295"/>
      <c r="AI181" s="296"/>
      <c r="AJ181" s="296"/>
      <c r="AK181" s="295"/>
      <c r="AL181" s="310"/>
      <c r="AM181" s="270"/>
      <c r="AN181" s="295"/>
      <c r="AO181" s="295"/>
      <c r="AP181" s="295"/>
      <c r="AQ181" s="295"/>
      <c r="AR181" s="295"/>
      <c r="AS181" s="295"/>
      <c r="AT181" s="295"/>
      <c r="AU181" s="297"/>
      <c r="AV181" s="311"/>
      <c r="AW181" s="296"/>
      <c r="AX181" s="296"/>
      <c r="AY181" s="296"/>
      <c r="AZ181" s="296"/>
      <c r="BA181" s="296"/>
      <c r="BB181" s="296"/>
      <c r="BC181" s="296"/>
      <c r="BD181" s="297"/>
      <c r="BE181" s="270"/>
      <c r="BF181" s="295"/>
      <c r="BG181" s="298"/>
      <c r="BH181" s="299"/>
      <c r="BI181" s="295"/>
      <c r="BJ181" s="298"/>
      <c r="BK181" s="299"/>
      <c r="BL181" s="295"/>
      <c r="BM181" s="296"/>
      <c r="BN181" s="312"/>
      <c r="BO181" s="250">
        <f t="shared" si="17"/>
        <v>0</v>
      </c>
    </row>
    <row r="182" spans="1:67" ht="25.5" customHeight="1" x14ac:dyDescent="0.2">
      <c r="A182" s="142">
        <f t="shared" si="18"/>
        <v>167</v>
      </c>
      <c r="B182" s="251"/>
      <c r="C182" s="252"/>
      <c r="D182" s="253"/>
      <c r="E182" s="254"/>
      <c r="F182" s="278"/>
      <c r="G182" s="256"/>
      <c r="H182" s="257"/>
      <c r="I182" s="231" t="str">
        <f t="shared" si="13"/>
        <v/>
      </c>
      <c r="J182" s="258">
        <f t="shared" si="14"/>
        <v>0</v>
      </c>
      <c r="K182" s="259"/>
      <c r="L182" s="260"/>
      <c r="M182" s="260"/>
      <c r="N182" s="235" t="str">
        <f t="shared" si="15"/>
        <v/>
      </c>
      <c r="O182" s="236" t="str">
        <f>IF('Data Set up'!$G$40="JUNE",IF(OR($N182=7,$N182=8,$N182=9),1,IF(OR($N182=10,$N182=11,$N182=12),2,IF(OR($N182=1,$N182=2,$N182=3),3,IF(OR($N182=4,$N182=5,$N182=6),4,"")))),IF(OR($N182=9,$N182=10,$N182=11),1,IF(OR($N182=12,$N182=1,$N182=2),2,IF(OR($N182=3,$N182=4,$N182=5),3,IF(OR($N182=6,$N182=7,$N182=8),4,"")))))</f>
        <v/>
      </c>
      <c r="P182" s="261"/>
      <c r="Q182" s="270"/>
      <c r="R182" s="295"/>
      <c r="S182" s="264">
        <f t="shared" si="16"/>
        <v>0</v>
      </c>
      <c r="T182" s="295"/>
      <c r="U182" s="295"/>
      <c r="V182" s="295"/>
      <c r="W182" s="295"/>
      <c r="X182" s="295"/>
      <c r="Y182" s="295"/>
      <c r="Z182" s="295"/>
      <c r="AA182" s="295"/>
      <c r="AB182" s="296"/>
      <c r="AC182" s="304"/>
      <c r="AD182" s="305"/>
      <c r="AE182" s="295"/>
      <c r="AF182" s="295"/>
      <c r="AG182" s="295"/>
      <c r="AH182" s="295"/>
      <c r="AI182" s="296"/>
      <c r="AJ182" s="296"/>
      <c r="AK182" s="295"/>
      <c r="AL182" s="310"/>
      <c r="AM182" s="270"/>
      <c r="AN182" s="295"/>
      <c r="AO182" s="295"/>
      <c r="AP182" s="295"/>
      <c r="AQ182" s="295"/>
      <c r="AR182" s="295"/>
      <c r="AS182" s="295"/>
      <c r="AT182" s="295"/>
      <c r="AU182" s="297"/>
      <c r="AV182" s="311"/>
      <c r="AW182" s="296"/>
      <c r="AX182" s="296"/>
      <c r="AY182" s="296"/>
      <c r="AZ182" s="296"/>
      <c r="BA182" s="296"/>
      <c r="BB182" s="296"/>
      <c r="BC182" s="296"/>
      <c r="BD182" s="297"/>
      <c r="BE182" s="270"/>
      <c r="BF182" s="295"/>
      <c r="BG182" s="298"/>
      <c r="BH182" s="299"/>
      <c r="BI182" s="295"/>
      <c r="BJ182" s="298"/>
      <c r="BK182" s="299"/>
      <c r="BL182" s="295"/>
      <c r="BM182" s="296"/>
      <c r="BN182" s="312"/>
      <c r="BO182" s="250">
        <f t="shared" si="17"/>
        <v>0</v>
      </c>
    </row>
    <row r="183" spans="1:67" ht="25.5" customHeight="1" x14ac:dyDescent="0.2">
      <c r="A183" s="142">
        <f t="shared" si="18"/>
        <v>168</v>
      </c>
      <c r="B183" s="251"/>
      <c r="C183" s="252"/>
      <c r="D183" s="253"/>
      <c r="E183" s="254"/>
      <c r="F183" s="278"/>
      <c r="G183" s="256"/>
      <c r="H183" s="257"/>
      <c r="I183" s="231" t="str">
        <f t="shared" si="13"/>
        <v/>
      </c>
      <c r="J183" s="258">
        <f t="shared" si="14"/>
        <v>0</v>
      </c>
      <c r="K183" s="259"/>
      <c r="L183" s="260"/>
      <c r="M183" s="260"/>
      <c r="N183" s="235" t="str">
        <f t="shared" si="15"/>
        <v/>
      </c>
      <c r="O183" s="236" t="str">
        <f>IF('Data Set up'!$G$40="JUNE",IF(OR($N183=7,$N183=8,$N183=9),1,IF(OR($N183=10,$N183=11,$N183=12),2,IF(OR($N183=1,$N183=2,$N183=3),3,IF(OR($N183=4,$N183=5,$N183=6),4,"")))),IF(OR($N183=9,$N183=10,$N183=11),1,IF(OR($N183=12,$N183=1,$N183=2),2,IF(OR($N183=3,$N183=4,$N183=5),3,IF(OR($N183=6,$N183=7,$N183=8),4,"")))))</f>
        <v/>
      </c>
      <c r="P183" s="261"/>
      <c r="Q183" s="270"/>
      <c r="R183" s="295"/>
      <c r="S183" s="264">
        <f t="shared" si="16"/>
        <v>0</v>
      </c>
      <c r="T183" s="295"/>
      <c r="U183" s="295"/>
      <c r="V183" s="295"/>
      <c r="W183" s="295"/>
      <c r="X183" s="295"/>
      <c r="Y183" s="295"/>
      <c r="Z183" s="295"/>
      <c r="AA183" s="295"/>
      <c r="AB183" s="296"/>
      <c r="AC183" s="304"/>
      <c r="AD183" s="305"/>
      <c r="AE183" s="295"/>
      <c r="AF183" s="295"/>
      <c r="AG183" s="295"/>
      <c r="AH183" s="295"/>
      <c r="AI183" s="296"/>
      <c r="AJ183" s="296"/>
      <c r="AK183" s="295"/>
      <c r="AL183" s="310"/>
      <c r="AM183" s="270"/>
      <c r="AN183" s="295"/>
      <c r="AO183" s="295"/>
      <c r="AP183" s="295"/>
      <c r="AQ183" s="295"/>
      <c r="AR183" s="295"/>
      <c r="AS183" s="295"/>
      <c r="AT183" s="295"/>
      <c r="AU183" s="297"/>
      <c r="AV183" s="311"/>
      <c r="AW183" s="296"/>
      <c r="AX183" s="296"/>
      <c r="AY183" s="296"/>
      <c r="AZ183" s="296"/>
      <c r="BA183" s="296"/>
      <c r="BB183" s="296"/>
      <c r="BC183" s="296"/>
      <c r="BD183" s="297"/>
      <c r="BE183" s="270"/>
      <c r="BF183" s="295"/>
      <c r="BG183" s="298"/>
      <c r="BH183" s="299"/>
      <c r="BI183" s="295"/>
      <c r="BJ183" s="298"/>
      <c r="BK183" s="299"/>
      <c r="BL183" s="295"/>
      <c r="BM183" s="296"/>
      <c r="BN183" s="312"/>
      <c r="BO183" s="250">
        <f t="shared" si="17"/>
        <v>0</v>
      </c>
    </row>
    <row r="184" spans="1:67" ht="25.5" customHeight="1" x14ac:dyDescent="0.2">
      <c r="A184" s="142">
        <f t="shared" si="18"/>
        <v>169</v>
      </c>
      <c r="B184" s="251"/>
      <c r="C184" s="252"/>
      <c r="D184" s="253"/>
      <c r="E184" s="254"/>
      <c r="F184" s="278"/>
      <c r="G184" s="256"/>
      <c r="H184" s="257"/>
      <c r="I184" s="231" t="str">
        <f t="shared" si="13"/>
        <v/>
      </c>
      <c r="J184" s="258">
        <f t="shared" si="14"/>
        <v>0</v>
      </c>
      <c r="K184" s="259"/>
      <c r="L184" s="260"/>
      <c r="M184" s="260"/>
      <c r="N184" s="235" t="str">
        <f t="shared" si="15"/>
        <v/>
      </c>
      <c r="O184" s="236" t="str">
        <f>IF('Data Set up'!$G$40="JUNE",IF(OR($N184=7,$N184=8,$N184=9),1,IF(OR($N184=10,$N184=11,$N184=12),2,IF(OR($N184=1,$N184=2,$N184=3),3,IF(OR($N184=4,$N184=5,$N184=6),4,"")))),IF(OR($N184=9,$N184=10,$N184=11),1,IF(OR($N184=12,$N184=1,$N184=2),2,IF(OR($N184=3,$N184=4,$N184=5),3,IF(OR($N184=6,$N184=7,$N184=8),4,"")))))</f>
        <v/>
      </c>
      <c r="P184" s="261"/>
      <c r="Q184" s="270"/>
      <c r="R184" s="295"/>
      <c r="S184" s="264">
        <f t="shared" si="16"/>
        <v>0</v>
      </c>
      <c r="T184" s="295"/>
      <c r="U184" s="295"/>
      <c r="V184" s="295"/>
      <c r="W184" s="295"/>
      <c r="X184" s="295"/>
      <c r="Y184" s="295"/>
      <c r="Z184" s="295"/>
      <c r="AA184" s="295"/>
      <c r="AB184" s="296"/>
      <c r="AC184" s="304"/>
      <c r="AD184" s="305"/>
      <c r="AE184" s="295"/>
      <c r="AF184" s="295"/>
      <c r="AG184" s="295"/>
      <c r="AH184" s="295"/>
      <c r="AI184" s="296"/>
      <c r="AJ184" s="296"/>
      <c r="AK184" s="295"/>
      <c r="AL184" s="310"/>
      <c r="AM184" s="270"/>
      <c r="AN184" s="295"/>
      <c r="AO184" s="295"/>
      <c r="AP184" s="295"/>
      <c r="AQ184" s="295"/>
      <c r="AR184" s="295"/>
      <c r="AS184" s="295"/>
      <c r="AT184" s="295"/>
      <c r="AU184" s="297"/>
      <c r="AV184" s="311"/>
      <c r="AW184" s="296"/>
      <c r="AX184" s="296"/>
      <c r="AY184" s="296"/>
      <c r="AZ184" s="296"/>
      <c r="BA184" s="296"/>
      <c r="BB184" s="296"/>
      <c r="BC184" s="296"/>
      <c r="BD184" s="297"/>
      <c r="BE184" s="270"/>
      <c r="BF184" s="295"/>
      <c r="BG184" s="298"/>
      <c r="BH184" s="299"/>
      <c r="BI184" s="295"/>
      <c r="BJ184" s="298"/>
      <c r="BK184" s="299"/>
      <c r="BL184" s="295"/>
      <c r="BM184" s="296"/>
      <c r="BN184" s="312"/>
      <c r="BO184" s="250">
        <f t="shared" si="17"/>
        <v>0</v>
      </c>
    </row>
    <row r="185" spans="1:67" ht="25.5" customHeight="1" x14ac:dyDescent="0.2">
      <c r="A185" s="142">
        <f t="shared" si="18"/>
        <v>170</v>
      </c>
      <c r="B185" s="251"/>
      <c r="C185" s="252"/>
      <c r="D185" s="253"/>
      <c r="E185" s="254"/>
      <c r="F185" s="278"/>
      <c r="G185" s="256"/>
      <c r="H185" s="257"/>
      <c r="I185" s="231" t="str">
        <f t="shared" si="13"/>
        <v/>
      </c>
      <c r="J185" s="258">
        <f t="shared" si="14"/>
        <v>0</v>
      </c>
      <c r="K185" s="259"/>
      <c r="L185" s="260"/>
      <c r="M185" s="260"/>
      <c r="N185" s="235" t="str">
        <f t="shared" si="15"/>
        <v/>
      </c>
      <c r="O185" s="236" t="str">
        <f>IF('Data Set up'!$G$40="JUNE",IF(OR($N185=7,$N185=8,$N185=9),1,IF(OR($N185=10,$N185=11,$N185=12),2,IF(OR($N185=1,$N185=2,$N185=3),3,IF(OR($N185=4,$N185=5,$N185=6),4,"")))),IF(OR($N185=9,$N185=10,$N185=11),1,IF(OR($N185=12,$N185=1,$N185=2),2,IF(OR($N185=3,$N185=4,$N185=5),3,IF(OR($N185=6,$N185=7,$N185=8),4,"")))))</f>
        <v/>
      </c>
      <c r="P185" s="261"/>
      <c r="Q185" s="270"/>
      <c r="R185" s="295"/>
      <c r="S185" s="264">
        <f t="shared" si="16"/>
        <v>0</v>
      </c>
      <c r="T185" s="295"/>
      <c r="U185" s="295"/>
      <c r="V185" s="295"/>
      <c r="W185" s="295"/>
      <c r="X185" s="295"/>
      <c r="Y185" s="295"/>
      <c r="Z185" s="295"/>
      <c r="AA185" s="295"/>
      <c r="AB185" s="296"/>
      <c r="AC185" s="304"/>
      <c r="AD185" s="305"/>
      <c r="AE185" s="295"/>
      <c r="AF185" s="295"/>
      <c r="AG185" s="295"/>
      <c r="AH185" s="295"/>
      <c r="AI185" s="296"/>
      <c r="AJ185" s="296"/>
      <c r="AK185" s="295"/>
      <c r="AL185" s="310"/>
      <c r="AM185" s="270"/>
      <c r="AN185" s="295"/>
      <c r="AO185" s="295"/>
      <c r="AP185" s="295"/>
      <c r="AQ185" s="295"/>
      <c r="AR185" s="295"/>
      <c r="AS185" s="295"/>
      <c r="AT185" s="295"/>
      <c r="AU185" s="297"/>
      <c r="AV185" s="311"/>
      <c r="AW185" s="296"/>
      <c r="AX185" s="296"/>
      <c r="AY185" s="296"/>
      <c r="AZ185" s="296"/>
      <c r="BA185" s="296"/>
      <c r="BB185" s="296"/>
      <c r="BC185" s="296"/>
      <c r="BD185" s="297"/>
      <c r="BE185" s="270"/>
      <c r="BF185" s="295"/>
      <c r="BG185" s="298"/>
      <c r="BH185" s="299"/>
      <c r="BI185" s="295"/>
      <c r="BJ185" s="298"/>
      <c r="BK185" s="299"/>
      <c r="BL185" s="295"/>
      <c r="BM185" s="296"/>
      <c r="BN185" s="312"/>
      <c r="BO185" s="250">
        <f t="shared" si="17"/>
        <v>0</v>
      </c>
    </row>
    <row r="186" spans="1:67" ht="25.5" customHeight="1" x14ac:dyDescent="0.2">
      <c r="A186" s="142">
        <f t="shared" si="18"/>
        <v>171</v>
      </c>
      <c r="B186" s="251"/>
      <c r="C186" s="252"/>
      <c r="D186" s="253"/>
      <c r="E186" s="254"/>
      <c r="F186" s="278"/>
      <c r="G186" s="256"/>
      <c r="H186" s="257"/>
      <c r="I186" s="231" t="str">
        <f t="shared" si="13"/>
        <v/>
      </c>
      <c r="J186" s="258">
        <f t="shared" si="14"/>
        <v>0</v>
      </c>
      <c r="K186" s="259"/>
      <c r="L186" s="260"/>
      <c r="M186" s="260"/>
      <c r="N186" s="235" t="str">
        <f t="shared" si="15"/>
        <v/>
      </c>
      <c r="O186" s="236" t="str">
        <f>IF('Data Set up'!$G$40="JUNE",IF(OR($N186=7,$N186=8,$N186=9),1,IF(OR($N186=10,$N186=11,$N186=12),2,IF(OR($N186=1,$N186=2,$N186=3),3,IF(OR($N186=4,$N186=5,$N186=6),4,"")))),IF(OR($N186=9,$N186=10,$N186=11),1,IF(OR($N186=12,$N186=1,$N186=2),2,IF(OR($N186=3,$N186=4,$N186=5),3,IF(OR($N186=6,$N186=7,$N186=8),4,"")))))</f>
        <v/>
      </c>
      <c r="P186" s="261"/>
      <c r="Q186" s="270"/>
      <c r="R186" s="295"/>
      <c r="S186" s="264">
        <f t="shared" si="16"/>
        <v>0</v>
      </c>
      <c r="T186" s="295"/>
      <c r="U186" s="295"/>
      <c r="V186" s="295"/>
      <c r="W186" s="295"/>
      <c r="X186" s="295"/>
      <c r="Y186" s="295"/>
      <c r="Z186" s="295"/>
      <c r="AA186" s="295"/>
      <c r="AB186" s="296"/>
      <c r="AC186" s="304"/>
      <c r="AD186" s="305"/>
      <c r="AE186" s="295"/>
      <c r="AF186" s="295"/>
      <c r="AG186" s="295"/>
      <c r="AH186" s="295"/>
      <c r="AI186" s="296"/>
      <c r="AJ186" s="296"/>
      <c r="AK186" s="295"/>
      <c r="AL186" s="310"/>
      <c r="AM186" s="270"/>
      <c r="AN186" s="295"/>
      <c r="AO186" s="295"/>
      <c r="AP186" s="295"/>
      <c r="AQ186" s="295"/>
      <c r="AR186" s="295"/>
      <c r="AS186" s="295"/>
      <c r="AT186" s="295"/>
      <c r="AU186" s="297"/>
      <c r="AV186" s="311"/>
      <c r="AW186" s="296"/>
      <c r="AX186" s="296"/>
      <c r="AY186" s="296"/>
      <c r="AZ186" s="296"/>
      <c r="BA186" s="296"/>
      <c r="BB186" s="296"/>
      <c r="BC186" s="296"/>
      <c r="BD186" s="297"/>
      <c r="BE186" s="270"/>
      <c r="BF186" s="295"/>
      <c r="BG186" s="298"/>
      <c r="BH186" s="299"/>
      <c r="BI186" s="295"/>
      <c r="BJ186" s="298"/>
      <c r="BK186" s="299"/>
      <c r="BL186" s="295"/>
      <c r="BM186" s="296"/>
      <c r="BN186" s="312"/>
      <c r="BO186" s="250">
        <f t="shared" si="17"/>
        <v>0</v>
      </c>
    </row>
    <row r="187" spans="1:67" ht="25.5" customHeight="1" x14ac:dyDescent="0.2">
      <c r="A187" s="142">
        <f t="shared" si="18"/>
        <v>172</v>
      </c>
      <c r="B187" s="251"/>
      <c r="C187" s="252"/>
      <c r="D187" s="253"/>
      <c r="E187" s="254"/>
      <c r="F187" s="278"/>
      <c r="G187" s="256"/>
      <c r="H187" s="257"/>
      <c r="I187" s="231" t="str">
        <f t="shared" si="13"/>
        <v/>
      </c>
      <c r="J187" s="258">
        <f t="shared" si="14"/>
        <v>0</v>
      </c>
      <c r="K187" s="259"/>
      <c r="L187" s="260"/>
      <c r="M187" s="260"/>
      <c r="N187" s="235" t="str">
        <f t="shared" si="15"/>
        <v/>
      </c>
      <c r="O187" s="236" t="str">
        <f>IF('Data Set up'!$G$40="JUNE",IF(OR($N187=7,$N187=8,$N187=9),1,IF(OR($N187=10,$N187=11,$N187=12),2,IF(OR($N187=1,$N187=2,$N187=3),3,IF(OR($N187=4,$N187=5,$N187=6),4,"")))),IF(OR($N187=9,$N187=10,$N187=11),1,IF(OR($N187=12,$N187=1,$N187=2),2,IF(OR($N187=3,$N187=4,$N187=5),3,IF(OR($N187=6,$N187=7,$N187=8),4,"")))))</f>
        <v/>
      </c>
      <c r="P187" s="261"/>
      <c r="Q187" s="270"/>
      <c r="R187" s="295"/>
      <c r="S187" s="264">
        <f t="shared" si="16"/>
        <v>0</v>
      </c>
      <c r="T187" s="295"/>
      <c r="U187" s="295"/>
      <c r="V187" s="295"/>
      <c r="W187" s="295"/>
      <c r="X187" s="295"/>
      <c r="Y187" s="295"/>
      <c r="Z187" s="295"/>
      <c r="AA187" s="295"/>
      <c r="AB187" s="296"/>
      <c r="AC187" s="304"/>
      <c r="AD187" s="305"/>
      <c r="AE187" s="295"/>
      <c r="AF187" s="295"/>
      <c r="AG187" s="295"/>
      <c r="AH187" s="295"/>
      <c r="AI187" s="296"/>
      <c r="AJ187" s="296"/>
      <c r="AK187" s="295"/>
      <c r="AL187" s="310"/>
      <c r="AM187" s="270"/>
      <c r="AN187" s="295"/>
      <c r="AO187" s="295"/>
      <c r="AP187" s="295"/>
      <c r="AQ187" s="295"/>
      <c r="AR187" s="295"/>
      <c r="AS187" s="295"/>
      <c r="AT187" s="295"/>
      <c r="AU187" s="297"/>
      <c r="AV187" s="311"/>
      <c r="AW187" s="296"/>
      <c r="AX187" s="296"/>
      <c r="AY187" s="296"/>
      <c r="AZ187" s="296"/>
      <c r="BA187" s="296"/>
      <c r="BB187" s="296"/>
      <c r="BC187" s="296"/>
      <c r="BD187" s="297"/>
      <c r="BE187" s="270"/>
      <c r="BF187" s="295"/>
      <c r="BG187" s="298"/>
      <c r="BH187" s="299"/>
      <c r="BI187" s="295"/>
      <c r="BJ187" s="298"/>
      <c r="BK187" s="299"/>
      <c r="BL187" s="295"/>
      <c r="BM187" s="296"/>
      <c r="BN187" s="312"/>
      <c r="BO187" s="250">
        <f t="shared" si="17"/>
        <v>0</v>
      </c>
    </row>
    <row r="188" spans="1:67" ht="25.5" customHeight="1" x14ac:dyDescent="0.2">
      <c r="A188" s="142">
        <f t="shared" si="18"/>
        <v>173</v>
      </c>
      <c r="B188" s="251"/>
      <c r="C188" s="252"/>
      <c r="D188" s="253"/>
      <c r="E188" s="254"/>
      <c r="F188" s="278"/>
      <c r="G188" s="256"/>
      <c r="H188" s="257"/>
      <c r="I188" s="231" t="str">
        <f t="shared" si="13"/>
        <v/>
      </c>
      <c r="J188" s="258">
        <f t="shared" si="14"/>
        <v>0</v>
      </c>
      <c r="K188" s="259"/>
      <c r="L188" s="260"/>
      <c r="M188" s="260"/>
      <c r="N188" s="235" t="str">
        <f t="shared" si="15"/>
        <v/>
      </c>
      <c r="O188" s="236" t="str">
        <f>IF('Data Set up'!$G$40="JUNE",IF(OR($N188=7,$N188=8,$N188=9),1,IF(OR($N188=10,$N188=11,$N188=12),2,IF(OR($N188=1,$N188=2,$N188=3),3,IF(OR($N188=4,$N188=5,$N188=6),4,"")))),IF(OR($N188=9,$N188=10,$N188=11),1,IF(OR($N188=12,$N188=1,$N188=2),2,IF(OR($N188=3,$N188=4,$N188=5),3,IF(OR($N188=6,$N188=7,$N188=8),4,"")))))</f>
        <v/>
      </c>
      <c r="P188" s="261"/>
      <c r="Q188" s="270"/>
      <c r="R188" s="295"/>
      <c r="S188" s="264">
        <f t="shared" si="16"/>
        <v>0</v>
      </c>
      <c r="T188" s="295"/>
      <c r="U188" s="295"/>
      <c r="V188" s="295"/>
      <c r="W188" s="295"/>
      <c r="X188" s="295"/>
      <c r="Y188" s="295"/>
      <c r="Z188" s="295"/>
      <c r="AA188" s="295"/>
      <c r="AB188" s="296"/>
      <c r="AC188" s="304"/>
      <c r="AD188" s="305"/>
      <c r="AE188" s="295"/>
      <c r="AF188" s="295"/>
      <c r="AG188" s="295"/>
      <c r="AH188" s="295"/>
      <c r="AI188" s="296"/>
      <c r="AJ188" s="296"/>
      <c r="AK188" s="295"/>
      <c r="AL188" s="310"/>
      <c r="AM188" s="270"/>
      <c r="AN188" s="295"/>
      <c r="AO188" s="295"/>
      <c r="AP188" s="295"/>
      <c r="AQ188" s="295"/>
      <c r="AR188" s="295"/>
      <c r="AS188" s="295"/>
      <c r="AT188" s="295"/>
      <c r="AU188" s="297"/>
      <c r="AV188" s="311"/>
      <c r="AW188" s="296"/>
      <c r="AX188" s="296"/>
      <c r="AY188" s="296"/>
      <c r="AZ188" s="296"/>
      <c r="BA188" s="296"/>
      <c r="BB188" s="296"/>
      <c r="BC188" s="296"/>
      <c r="BD188" s="297"/>
      <c r="BE188" s="270"/>
      <c r="BF188" s="295"/>
      <c r="BG188" s="298"/>
      <c r="BH188" s="299"/>
      <c r="BI188" s="295"/>
      <c r="BJ188" s="298"/>
      <c r="BK188" s="299"/>
      <c r="BL188" s="295"/>
      <c r="BM188" s="296"/>
      <c r="BN188" s="312"/>
      <c r="BO188" s="250">
        <f t="shared" si="17"/>
        <v>0</v>
      </c>
    </row>
    <row r="189" spans="1:67" ht="25.5" customHeight="1" x14ac:dyDescent="0.2">
      <c r="A189" s="142">
        <f t="shared" si="18"/>
        <v>174</v>
      </c>
      <c r="B189" s="251"/>
      <c r="C189" s="252"/>
      <c r="D189" s="253"/>
      <c r="E189" s="254"/>
      <c r="F189" s="278"/>
      <c r="G189" s="256"/>
      <c r="H189" s="257"/>
      <c r="I189" s="231" t="str">
        <f t="shared" si="13"/>
        <v/>
      </c>
      <c r="J189" s="258">
        <f t="shared" si="14"/>
        <v>0</v>
      </c>
      <c r="K189" s="259"/>
      <c r="L189" s="260"/>
      <c r="M189" s="260"/>
      <c r="N189" s="235" t="str">
        <f t="shared" si="15"/>
        <v/>
      </c>
      <c r="O189" s="236" t="str">
        <f>IF('Data Set up'!$G$40="JUNE",IF(OR($N189=7,$N189=8,$N189=9),1,IF(OR($N189=10,$N189=11,$N189=12),2,IF(OR($N189=1,$N189=2,$N189=3),3,IF(OR($N189=4,$N189=5,$N189=6),4,"")))),IF(OR($N189=9,$N189=10,$N189=11),1,IF(OR($N189=12,$N189=1,$N189=2),2,IF(OR($N189=3,$N189=4,$N189=5),3,IF(OR($N189=6,$N189=7,$N189=8),4,"")))))</f>
        <v/>
      </c>
      <c r="P189" s="261"/>
      <c r="Q189" s="270"/>
      <c r="R189" s="295"/>
      <c r="S189" s="264">
        <f t="shared" si="16"/>
        <v>0</v>
      </c>
      <c r="T189" s="295"/>
      <c r="U189" s="295"/>
      <c r="V189" s="295"/>
      <c r="W189" s="295"/>
      <c r="X189" s="295"/>
      <c r="Y189" s="295"/>
      <c r="Z189" s="295"/>
      <c r="AA189" s="295"/>
      <c r="AB189" s="296"/>
      <c r="AC189" s="304"/>
      <c r="AD189" s="305"/>
      <c r="AE189" s="295"/>
      <c r="AF189" s="295"/>
      <c r="AG189" s="295"/>
      <c r="AH189" s="295"/>
      <c r="AI189" s="296"/>
      <c r="AJ189" s="296"/>
      <c r="AK189" s="295"/>
      <c r="AL189" s="310"/>
      <c r="AM189" s="270"/>
      <c r="AN189" s="295"/>
      <c r="AO189" s="295"/>
      <c r="AP189" s="295"/>
      <c r="AQ189" s="295"/>
      <c r="AR189" s="295"/>
      <c r="AS189" s="295"/>
      <c r="AT189" s="295"/>
      <c r="AU189" s="297"/>
      <c r="AV189" s="311"/>
      <c r="AW189" s="296"/>
      <c r="AX189" s="296"/>
      <c r="AY189" s="296"/>
      <c r="AZ189" s="296"/>
      <c r="BA189" s="296"/>
      <c r="BB189" s="296"/>
      <c r="BC189" s="296"/>
      <c r="BD189" s="297"/>
      <c r="BE189" s="270"/>
      <c r="BF189" s="295"/>
      <c r="BG189" s="298"/>
      <c r="BH189" s="299"/>
      <c r="BI189" s="295"/>
      <c r="BJ189" s="298"/>
      <c r="BK189" s="299"/>
      <c r="BL189" s="295"/>
      <c r="BM189" s="296"/>
      <c r="BN189" s="312"/>
      <c r="BO189" s="250">
        <f t="shared" si="17"/>
        <v>0</v>
      </c>
    </row>
    <row r="190" spans="1:67" ht="25.5" customHeight="1" x14ac:dyDescent="0.2">
      <c r="A190" s="142">
        <f t="shared" si="18"/>
        <v>175</v>
      </c>
      <c r="B190" s="251"/>
      <c r="C190" s="252"/>
      <c r="D190" s="253"/>
      <c r="E190" s="254"/>
      <c r="F190" s="278"/>
      <c r="G190" s="256"/>
      <c r="H190" s="257"/>
      <c r="I190" s="231" t="str">
        <f t="shared" si="13"/>
        <v/>
      </c>
      <c r="J190" s="258">
        <f t="shared" si="14"/>
        <v>0</v>
      </c>
      <c r="K190" s="259"/>
      <c r="L190" s="260"/>
      <c r="M190" s="260"/>
      <c r="N190" s="235" t="str">
        <f t="shared" si="15"/>
        <v/>
      </c>
      <c r="O190" s="236" t="str">
        <f>IF('Data Set up'!$G$40="JUNE",IF(OR($N190=7,$N190=8,$N190=9),1,IF(OR($N190=10,$N190=11,$N190=12),2,IF(OR($N190=1,$N190=2,$N190=3),3,IF(OR($N190=4,$N190=5,$N190=6),4,"")))),IF(OR($N190=9,$N190=10,$N190=11),1,IF(OR($N190=12,$N190=1,$N190=2),2,IF(OR($N190=3,$N190=4,$N190=5),3,IF(OR($N190=6,$N190=7,$N190=8),4,"")))))</f>
        <v/>
      </c>
      <c r="P190" s="261"/>
      <c r="Q190" s="270"/>
      <c r="R190" s="295"/>
      <c r="S190" s="264">
        <f t="shared" si="16"/>
        <v>0</v>
      </c>
      <c r="T190" s="295"/>
      <c r="U190" s="295"/>
      <c r="V190" s="295"/>
      <c r="W190" s="295"/>
      <c r="X190" s="295"/>
      <c r="Y190" s="295"/>
      <c r="Z190" s="295"/>
      <c r="AA190" s="295"/>
      <c r="AB190" s="296"/>
      <c r="AC190" s="304"/>
      <c r="AD190" s="305"/>
      <c r="AE190" s="295"/>
      <c r="AF190" s="295"/>
      <c r="AG190" s="295"/>
      <c r="AH190" s="295"/>
      <c r="AI190" s="296"/>
      <c r="AJ190" s="296"/>
      <c r="AK190" s="295"/>
      <c r="AL190" s="310"/>
      <c r="AM190" s="270"/>
      <c r="AN190" s="295"/>
      <c r="AO190" s="295"/>
      <c r="AP190" s="295"/>
      <c r="AQ190" s="295"/>
      <c r="AR190" s="295"/>
      <c r="AS190" s="295"/>
      <c r="AT190" s="295"/>
      <c r="AU190" s="297"/>
      <c r="AV190" s="311"/>
      <c r="AW190" s="296"/>
      <c r="AX190" s="296"/>
      <c r="AY190" s="296"/>
      <c r="AZ190" s="296"/>
      <c r="BA190" s="296"/>
      <c r="BB190" s="296"/>
      <c r="BC190" s="296"/>
      <c r="BD190" s="297"/>
      <c r="BE190" s="270"/>
      <c r="BF190" s="295"/>
      <c r="BG190" s="298"/>
      <c r="BH190" s="299"/>
      <c r="BI190" s="295"/>
      <c r="BJ190" s="298"/>
      <c r="BK190" s="299"/>
      <c r="BL190" s="295"/>
      <c r="BM190" s="296"/>
      <c r="BN190" s="312"/>
      <c r="BO190" s="250">
        <f t="shared" si="17"/>
        <v>0</v>
      </c>
    </row>
    <row r="191" spans="1:67" ht="25.5" customHeight="1" x14ac:dyDescent="0.2">
      <c r="A191" s="142">
        <f t="shared" si="18"/>
        <v>176</v>
      </c>
      <c r="B191" s="251"/>
      <c r="C191" s="252"/>
      <c r="D191" s="253"/>
      <c r="E191" s="254"/>
      <c r="F191" s="278"/>
      <c r="G191" s="256"/>
      <c r="H191" s="257"/>
      <c r="I191" s="231" t="str">
        <f t="shared" si="13"/>
        <v/>
      </c>
      <c r="J191" s="258">
        <f t="shared" si="14"/>
        <v>0</v>
      </c>
      <c r="K191" s="259"/>
      <c r="L191" s="260"/>
      <c r="M191" s="260"/>
      <c r="N191" s="235" t="str">
        <f t="shared" si="15"/>
        <v/>
      </c>
      <c r="O191" s="236" t="str">
        <f>IF('Data Set up'!$G$40="JUNE",IF(OR($N191=7,$N191=8,$N191=9),1,IF(OR($N191=10,$N191=11,$N191=12),2,IF(OR($N191=1,$N191=2,$N191=3),3,IF(OR($N191=4,$N191=5,$N191=6),4,"")))),IF(OR($N191=9,$N191=10,$N191=11),1,IF(OR($N191=12,$N191=1,$N191=2),2,IF(OR($N191=3,$N191=4,$N191=5),3,IF(OR($N191=6,$N191=7,$N191=8),4,"")))))</f>
        <v/>
      </c>
      <c r="P191" s="261"/>
      <c r="Q191" s="270"/>
      <c r="R191" s="295"/>
      <c r="S191" s="264">
        <f t="shared" si="16"/>
        <v>0</v>
      </c>
      <c r="T191" s="295"/>
      <c r="U191" s="295"/>
      <c r="V191" s="295"/>
      <c r="W191" s="295"/>
      <c r="X191" s="295"/>
      <c r="Y191" s="295"/>
      <c r="Z191" s="295"/>
      <c r="AA191" s="295"/>
      <c r="AB191" s="296"/>
      <c r="AC191" s="304"/>
      <c r="AD191" s="305"/>
      <c r="AE191" s="295"/>
      <c r="AF191" s="295"/>
      <c r="AG191" s="295"/>
      <c r="AH191" s="295"/>
      <c r="AI191" s="296"/>
      <c r="AJ191" s="296"/>
      <c r="AK191" s="295"/>
      <c r="AL191" s="310"/>
      <c r="AM191" s="270"/>
      <c r="AN191" s="295"/>
      <c r="AO191" s="295"/>
      <c r="AP191" s="295"/>
      <c r="AQ191" s="295"/>
      <c r="AR191" s="295"/>
      <c r="AS191" s="295"/>
      <c r="AT191" s="295"/>
      <c r="AU191" s="297"/>
      <c r="AV191" s="311"/>
      <c r="AW191" s="296"/>
      <c r="AX191" s="296"/>
      <c r="AY191" s="296"/>
      <c r="AZ191" s="296"/>
      <c r="BA191" s="296"/>
      <c r="BB191" s="296"/>
      <c r="BC191" s="296"/>
      <c r="BD191" s="297"/>
      <c r="BE191" s="270"/>
      <c r="BF191" s="295"/>
      <c r="BG191" s="298"/>
      <c r="BH191" s="299"/>
      <c r="BI191" s="295"/>
      <c r="BJ191" s="298"/>
      <c r="BK191" s="299"/>
      <c r="BL191" s="295"/>
      <c r="BM191" s="296"/>
      <c r="BN191" s="312"/>
      <c r="BO191" s="250">
        <f t="shared" si="17"/>
        <v>0</v>
      </c>
    </row>
    <row r="192" spans="1:67" ht="25.5" customHeight="1" x14ac:dyDescent="0.2">
      <c r="A192" s="142">
        <f t="shared" si="18"/>
        <v>177</v>
      </c>
      <c r="B192" s="251"/>
      <c r="C192" s="252"/>
      <c r="D192" s="253"/>
      <c r="E192" s="254"/>
      <c r="F192" s="278"/>
      <c r="G192" s="256"/>
      <c r="H192" s="257"/>
      <c r="I192" s="231" t="str">
        <f t="shared" si="13"/>
        <v/>
      </c>
      <c r="J192" s="258">
        <f t="shared" si="14"/>
        <v>0</v>
      </c>
      <c r="K192" s="259"/>
      <c r="L192" s="260"/>
      <c r="M192" s="260"/>
      <c r="N192" s="235" t="str">
        <f t="shared" si="15"/>
        <v/>
      </c>
      <c r="O192" s="236" t="str">
        <f>IF('Data Set up'!$G$40="JUNE",IF(OR($N192=7,$N192=8,$N192=9),1,IF(OR($N192=10,$N192=11,$N192=12),2,IF(OR($N192=1,$N192=2,$N192=3),3,IF(OR($N192=4,$N192=5,$N192=6),4,"")))),IF(OR($N192=9,$N192=10,$N192=11),1,IF(OR($N192=12,$N192=1,$N192=2),2,IF(OR($N192=3,$N192=4,$N192=5),3,IF(OR($N192=6,$N192=7,$N192=8),4,"")))))</f>
        <v/>
      </c>
      <c r="P192" s="261"/>
      <c r="Q192" s="270"/>
      <c r="R192" s="295"/>
      <c r="S192" s="264">
        <f t="shared" si="16"/>
        <v>0</v>
      </c>
      <c r="T192" s="295"/>
      <c r="U192" s="295"/>
      <c r="V192" s="295"/>
      <c r="W192" s="295"/>
      <c r="X192" s="295"/>
      <c r="Y192" s="295"/>
      <c r="Z192" s="295"/>
      <c r="AA192" s="295"/>
      <c r="AB192" s="296"/>
      <c r="AC192" s="304"/>
      <c r="AD192" s="305"/>
      <c r="AE192" s="295"/>
      <c r="AF192" s="295"/>
      <c r="AG192" s="295"/>
      <c r="AH192" s="295"/>
      <c r="AI192" s="296"/>
      <c r="AJ192" s="296"/>
      <c r="AK192" s="295"/>
      <c r="AL192" s="310"/>
      <c r="AM192" s="270"/>
      <c r="AN192" s="295"/>
      <c r="AO192" s="295"/>
      <c r="AP192" s="295"/>
      <c r="AQ192" s="295"/>
      <c r="AR192" s="295"/>
      <c r="AS192" s="295"/>
      <c r="AT192" s="295"/>
      <c r="AU192" s="297"/>
      <c r="AV192" s="311"/>
      <c r="AW192" s="296"/>
      <c r="AX192" s="296"/>
      <c r="AY192" s="296"/>
      <c r="AZ192" s="296"/>
      <c r="BA192" s="296"/>
      <c r="BB192" s="296"/>
      <c r="BC192" s="296"/>
      <c r="BD192" s="297"/>
      <c r="BE192" s="270"/>
      <c r="BF192" s="295"/>
      <c r="BG192" s="298"/>
      <c r="BH192" s="299"/>
      <c r="BI192" s="295"/>
      <c r="BJ192" s="298"/>
      <c r="BK192" s="299"/>
      <c r="BL192" s="295"/>
      <c r="BM192" s="296"/>
      <c r="BN192" s="312"/>
      <c r="BO192" s="250">
        <f t="shared" si="17"/>
        <v>0</v>
      </c>
    </row>
    <row r="193" spans="1:67" ht="25.5" customHeight="1" x14ac:dyDescent="0.2">
      <c r="A193" s="142">
        <f t="shared" si="18"/>
        <v>178</v>
      </c>
      <c r="B193" s="251"/>
      <c r="C193" s="252"/>
      <c r="D193" s="253"/>
      <c r="E193" s="254"/>
      <c r="F193" s="278"/>
      <c r="G193" s="256"/>
      <c r="H193" s="257"/>
      <c r="I193" s="231" t="str">
        <f t="shared" si="13"/>
        <v/>
      </c>
      <c r="J193" s="258">
        <f t="shared" si="14"/>
        <v>0</v>
      </c>
      <c r="K193" s="259"/>
      <c r="L193" s="260"/>
      <c r="M193" s="260"/>
      <c r="N193" s="235" t="str">
        <f t="shared" si="15"/>
        <v/>
      </c>
      <c r="O193" s="236" t="str">
        <f>IF('Data Set up'!$G$40="JUNE",IF(OR($N193=7,$N193=8,$N193=9),1,IF(OR($N193=10,$N193=11,$N193=12),2,IF(OR($N193=1,$N193=2,$N193=3),3,IF(OR($N193=4,$N193=5,$N193=6),4,"")))),IF(OR($N193=9,$N193=10,$N193=11),1,IF(OR($N193=12,$N193=1,$N193=2),2,IF(OR($N193=3,$N193=4,$N193=5),3,IF(OR($N193=6,$N193=7,$N193=8),4,"")))))</f>
        <v/>
      </c>
      <c r="P193" s="261"/>
      <c r="Q193" s="270"/>
      <c r="R193" s="295"/>
      <c r="S193" s="264">
        <f t="shared" si="16"/>
        <v>0</v>
      </c>
      <c r="T193" s="295"/>
      <c r="U193" s="295"/>
      <c r="V193" s="295"/>
      <c r="W193" s="295"/>
      <c r="X193" s="295"/>
      <c r="Y193" s="295"/>
      <c r="Z193" s="295"/>
      <c r="AA193" s="295"/>
      <c r="AB193" s="296"/>
      <c r="AC193" s="304"/>
      <c r="AD193" s="305"/>
      <c r="AE193" s="295"/>
      <c r="AF193" s="295"/>
      <c r="AG193" s="295"/>
      <c r="AH193" s="295"/>
      <c r="AI193" s="296"/>
      <c r="AJ193" s="296"/>
      <c r="AK193" s="295"/>
      <c r="AL193" s="310"/>
      <c r="AM193" s="270"/>
      <c r="AN193" s="295"/>
      <c r="AO193" s="295"/>
      <c r="AP193" s="295"/>
      <c r="AQ193" s="295"/>
      <c r="AR193" s="295"/>
      <c r="AS193" s="295"/>
      <c r="AT193" s="295"/>
      <c r="AU193" s="297"/>
      <c r="AV193" s="311"/>
      <c r="AW193" s="296"/>
      <c r="AX193" s="296"/>
      <c r="AY193" s="296"/>
      <c r="AZ193" s="296"/>
      <c r="BA193" s="296"/>
      <c r="BB193" s="296"/>
      <c r="BC193" s="296"/>
      <c r="BD193" s="297"/>
      <c r="BE193" s="270"/>
      <c r="BF193" s="295"/>
      <c r="BG193" s="298"/>
      <c r="BH193" s="299"/>
      <c r="BI193" s="295"/>
      <c r="BJ193" s="298"/>
      <c r="BK193" s="299"/>
      <c r="BL193" s="295"/>
      <c r="BM193" s="296"/>
      <c r="BN193" s="312"/>
      <c r="BO193" s="250">
        <f t="shared" si="17"/>
        <v>0</v>
      </c>
    </row>
    <row r="194" spans="1:67" ht="25.5" customHeight="1" x14ac:dyDescent="0.2">
      <c r="A194" s="142">
        <f t="shared" si="18"/>
        <v>179</v>
      </c>
      <c r="B194" s="251"/>
      <c r="C194" s="252"/>
      <c r="D194" s="253"/>
      <c r="E194" s="254"/>
      <c r="F194" s="278"/>
      <c r="G194" s="256"/>
      <c r="H194" s="257"/>
      <c r="I194" s="231" t="str">
        <f t="shared" si="13"/>
        <v/>
      </c>
      <c r="J194" s="258">
        <f t="shared" si="14"/>
        <v>0</v>
      </c>
      <c r="K194" s="259"/>
      <c r="L194" s="260"/>
      <c r="M194" s="260"/>
      <c r="N194" s="235" t="str">
        <f t="shared" si="15"/>
        <v/>
      </c>
      <c r="O194" s="236" t="str">
        <f>IF('Data Set up'!$G$40="JUNE",IF(OR($N194=7,$N194=8,$N194=9),1,IF(OR($N194=10,$N194=11,$N194=12),2,IF(OR($N194=1,$N194=2,$N194=3),3,IF(OR($N194=4,$N194=5,$N194=6),4,"")))),IF(OR($N194=9,$N194=10,$N194=11),1,IF(OR($N194=12,$N194=1,$N194=2),2,IF(OR($N194=3,$N194=4,$N194=5),3,IF(OR($N194=6,$N194=7,$N194=8),4,"")))))</f>
        <v/>
      </c>
      <c r="P194" s="261"/>
      <c r="Q194" s="270"/>
      <c r="R194" s="295"/>
      <c r="S194" s="264">
        <f t="shared" si="16"/>
        <v>0</v>
      </c>
      <c r="T194" s="295"/>
      <c r="U194" s="295"/>
      <c r="V194" s="295"/>
      <c r="W194" s="295"/>
      <c r="X194" s="295"/>
      <c r="Y194" s="295"/>
      <c r="Z194" s="295"/>
      <c r="AA194" s="295"/>
      <c r="AB194" s="296"/>
      <c r="AC194" s="304"/>
      <c r="AD194" s="305"/>
      <c r="AE194" s="295"/>
      <c r="AF194" s="295"/>
      <c r="AG194" s="295"/>
      <c r="AH194" s="295"/>
      <c r="AI194" s="296"/>
      <c r="AJ194" s="296"/>
      <c r="AK194" s="295"/>
      <c r="AL194" s="310"/>
      <c r="AM194" s="270"/>
      <c r="AN194" s="295"/>
      <c r="AO194" s="295"/>
      <c r="AP194" s="295"/>
      <c r="AQ194" s="295"/>
      <c r="AR194" s="295"/>
      <c r="AS194" s="295"/>
      <c r="AT194" s="295"/>
      <c r="AU194" s="297"/>
      <c r="AV194" s="311"/>
      <c r="AW194" s="296"/>
      <c r="AX194" s="296"/>
      <c r="AY194" s="296"/>
      <c r="AZ194" s="296"/>
      <c r="BA194" s="296"/>
      <c r="BB194" s="296"/>
      <c r="BC194" s="296"/>
      <c r="BD194" s="297"/>
      <c r="BE194" s="270"/>
      <c r="BF194" s="295"/>
      <c r="BG194" s="298"/>
      <c r="BH194" s="299"/>
      <c r="BI194" s="295"/>
      <c r="BJ194" s="298"/>
      <c r="BK194" s="299"/>
      <c r="BL194" s="295"/>
      <c r="BM194" s="296"/>
      <c r="BN194" s="312"/>
      <c r="BO194" s="250">
        <f t="shared" si="17"/>
        <v>0</v>
      </c>
    </row>
    <row r="195" spans="1:67" ht="25.5" customHeight="1" x14ac:dyDescent="0.2">
      <c r="A195" s="142">
        <f t="shared" si="18"/>
        <v>180</v>
      </c>
      <c r="B195" s="251"/>
      <c r="C195" s="252"/>
      <c r="D195" s="253"/>
      <c r="E195" s="254"/>
      <c r="F195" s="278"/>
      <c r="G195" s="256"/>
      <c r="H195" s="257"/>
      <c r="I195" s="231" t="str">
        <f t="shared" si="13"/>
        <v/>
      </c>
      <c r="J195" s="258">
        <f t="shared" si="14"/>
        <v>0</v>
      </c>
      <c r="K195" s="259"/>
      <c r="L195" s="260"/>
      <c r="M195" s="260"/>
      <c r="N195" s="235" t="str">
        <f t="shared" si="15"/>
        <v/>
      </c>
      <c r="O195" s="236" t="str">
        <f>IF('Data Set up'!$G$40="JUNE",IF(OR($N195=7,$N195=8,$N195=9),1,IF(OR($N195=10,$N195=11,$N195=12),2,IF(OR($N195=1,$N195=2,$N195=3),3,IF(OR($N195=4,$N195=5,$N195=6),4,"")))),IF(OR($N195=9,$N195=10,$N195=11),1,IF(OR($N195=12,$N195=1,$N195=2),2,IF(OR($N195=3,$N195=4,$N195=5),3,IF(OR($N195=6,$N195=7,$N195=8),4,"")))))</f>
        <v/>
      </c>
      <c r="P195" s="261"/>
      <c r="Q195" s="270"/>
      <c r="R195" s="295"/>
      <c r="S195" s="264">
        <f t="shared" si="16"/>
        <v>0</v>
      </c>
      <c r="T195" s="295"/>
      <c r="U195" s="295"/>
      <c r="V195" s="295"/>
      <c r="W195" s="295"/>
      <c r="X195" s="295"/>
      <c r="Y195" s="295"/>
      <c r="Z195" s="295"/>
      <c r="AA195" s="295"/>
      <c r="AB195" s="296"/>
      <c r="AC195" s="304"/>
      <c r="AD195" s="305"/>
      <c r="AE195" s="295"/>
      <c r="AF195" s="295"/>
      <c r="AG195" s="295"/>
      <c r="AH195" s="295"/>
      <c r="AI195" s="296"/>
      <c r="AJ195" s="296"/>
      <c r="AK195" s="295"/>
      <c r="AL195" s="310"/>
      <c r="AM195" s="270"/>
      <c r="AN195" s="295"/>
      <c r="AO195" s="295"/>
      <c r="AP195" s="295"/>
      <c r="AQ195" s="295"/>
      <c r="AR195" s="295"/>
      <c r="AS195" s="295"/>
      <c r="AT195" s="295"/>
      <c r="AU195" s="297"/>
      <c r="AV195" s="311"/>
      <c r="AW195" s="296"/>
      <c r="AX195" s="296"/>
      <c r="AY195" s="296"/>
      <c r="AZ195" s="296"/>
      <c r="BA195" s="296"/>
      <c r="BB195" s="296"/>
      <c r="BC195" s="296"/>
      <c r="BD195" s="297"/>
      <c r="BE195" s="270"/>
      <c r="BF195" s="295"/>
      <c r="BG195" s="298"/>
      <c r="BH195" s="299"/>
      <c r="BI195" s="295"/>
      <c r="BJ195" s="298"/>
      <c r="BK195" s="299"/>
      <c r="BL195" s="295"/>
      <c r="BM195" s="296"/>
      <c r="BN195" s="312"/>
      <c r="BO195" s="250">
        <f t="shared" si="17"/>
        <v>0</v>
      </c>
    </row>
    <row r="196" spans="1:67" ht="25.5" customHeight="1" x14ac:dyDescent="0.2">
      <c r="A196" s="142">
        <f t="shared" si="18"/>
        <v>181</v>
      </c>
      <c r="B196" s="251"/>
      <c r="C196" s="252"/>
      <c r="D196" s="253"/>
      <c r="E196" s="254"/>
      <c r="F196" s="278"/>
      <c r="G196" s="256"/>
      <c r="H196" s="257"/>
      <c r="I196" s="231" t="str">
        <f t="shared" si="13"/>
        <v/>
      </c>
      <c r="J196" s="258">
        <f t="shared" si="14"/>
        <v>0</v>
      </c>
      <c r="K196" s="259"/>
      <c r="L196" s="260"/>
      <c r="M196" s="260"/>
      <c r="N196" s="235" t="str">
        <f t="shared" si="15"/>
        <v/>
      </c>
      <c r="O196" s="236" t="str">
        <f>IF('Data Set up'!$G$40="JUNE",IF(OR($N196=7,$N196=8,$N196=9),1,IF(OR($N196=10,$N196=11,$N196=12),2,IF(OR($N196=1,$N196=2,$N196=3),3,IF(OR($N196=4,$N196=5,$N196=6),4,"")))),IF(OR($N196=9,$N196=10,$N196=11),1,IF(OR($N196=12,$N196=1,$N196=2),2,IF(OR($N196=3,$N196=4,$N196=5),3,IF(OR($N196=6,$N196=7,$N196=8),4,"")))))</f>
        <v/>
      </c>
      <c r="P196" s="261"/>
      <c r="Q196" s="270"/>
      <c r="R196" s="295"/>
      <c r="S196" s="264">
        <f t="shared" si="16"/>
        <v>0</v>
      </c>
      <c r="T196" s="295"/>
      <c r="U196" s="295"/>
      <c r="V196" s="295"/>
      <c r="W196" s="295"/>
      <c r="X196" s="295"/>
      <c r="Y196" s="295"/>
      <c r="Z196" s="295"/>
      <c r="AA196" s="295"/>
      <c r="AB196" s="296"/>
      <c r="AC196" s="304"/>
      <c r="AD196" s="305"/>
      <c r="AE196" s="295"/>
      <c r="AF196" s="295"/>
      <c r="AG196" s="295"/>
      <c r="AH196" s="295"/>
      <c r="AI196" s="296"/>
      <c r="AJ196" s="296"/>
      <c r="AK196" s="295"/>
      <c r="AL196" s="310"/>
      <c r="AM196" s="270"/>
      <c r="AN196" s="295"/>
      <c r="AO196" s="295"/>
      <c r="AP196" s="295"/>
      <c r="AQ196" s="295"/>
      <c r="AR196" s="295"/>
      <c r="AS196" s="295"/>
      <c r="AT196" s="295"/>
      <c r="AU196" s="297"/>
      <c r="AV196" s="311"/>
      <c r="AW196" s="296"/>
      <c r="AX196" s="296"/>
      <c r="AY196" s="296"/>
      <c r="AZ196" s="296"/>
      <c r="BA196" s="296"/>
      <c r="BB196" s="296"/>
      <c r="BC196" s="296"/>
      <c r="BD196" s="297"/>
      <c r="BE196" s="270"/>
      <c r="BF196" s="295"/>
      <c r="BG196" s="298"/>
      <c r="BH196" s="299"/>
      <c r="BI196" s="295"/>
      <c r="BJ196" s="298"/>
      <c r="BK196" s="299"/>
      <c r="BL196" s="295"/>
      <c r="BM196" s="296"/>
      <c r="BN196" s="312"/>
      <c r="BO196" s="250">
        <f t="shared" si="17"/>
        <v>0</v>
      </c>
    </row>
    <row r="197" spans="1:67" ht="25.5" customHeight="1" x14ac:dyDescent="0.2">
      <c r="A197" s="142">
        <f t="shared" si="18"/>
        <v>182</v>
      </c>
      <c r="B197" s="251"/>
      <c r="C197" s="252"/>
      <c r="D197" s="253"/>
      <c r="E197" s="254"/>
      <c r="F197" s="278"/>
      <c r="G197" s="256"/>
      <c r="H197" s="257"/>
      <c r="I197" s="231" t="str">
        <f t="shared" si="13"/>
        <v/>
      </c>
      <c r="J197" s="258">
        <f t="shared" si="14"/>
        <v>0</v>
      </c>
      <c r="K197" s="259"/>
      <c r="L197" s="260"/>
      <c r="M197" s="260"/>
      <c r="N197" s="235" t="str">
        <f t="shared" si="15"/>
        <v/>
      </c>
      <c r="O197" s="236" t="str">
        <f>IF('Data Set up'!$G$40="JUNE",IF(OR($N197=7,$N197=8,$N197=9),1,IF(OR($N197=10,$N197=11,$N197=12),2,IF(OR($N197=1,$N197=2,$N197=3),3,IF(OR($N197=4,$N197=5,$N197=6),4,"")))),IF(OR($N197=9,$N197=10,$N197=11),1,IF(OR($N197=12,$N197=1,$N197=2),2,IF(OR($N197=3,$N197=4,$N197=5),3,IF(OR($N197=6,$N197=7,$N197=8),4,"")))))</f>
        <v/>
      </c>
      <c r="P197" s="261"/>
      <c r="Q197" s="270"/>
      <c r="R197" s="295"/>
      <c r="S197" s="264">
        <f t="shared" si="16"/>
        <v>0</v>
      </c>
      <c r="T197" s="295"/>
      <c r="U197" s="295"/>
      <c r="V197" s="295"/>
      <c r="W197" s="295"/>
      <c r="X197" s="295"/>
      <c r="Y197" s="295"/>
      <c r="Z197" s="295"/>
      <c r="AA197" s="295"/>
      <c r="AB197" s="296"/>
      <c r="AC197" s="304"/>
      <c r="AD197" s="305"/>
      <c r="AE197" s="295"/>
      <c r="AF197" s="295"/>
      <c r="AG197" s="295"/>
      <c r="AH197" s="295"/>
      <c r="AI197" s="296"/>
      <c r="AJ197" s="296"/>
      <c r="AK197" s="295"/>
      <c r="AL197" s="310"/>
      <c r="AM197" s="270"/>
      <c r="AN197" s="295"/>
      <c r="AO197" s="295"/>
      <c r="AP197" s="295"/>
      <c r="AQ197" s="295"/>
      <c r="AR197" s="295"/>
      <c r="AS197" s="295"/>
      <c r="AT197" s="295"/>
      <c r="AU197" s="297"/>
      <c r="AV197" s="311"/>
      <c r="AW197" s="296"/>
      <c r="AX197" s="296"/>
      <c r="AY197" s="296"/>
      <c r="AZ197" s="296"/>
      <c r="BA197" s="296"/>
      <c r="BB197" s="296"/>
      <c r="BC197" s="296"/>
      <c r="BD197" s="297"/>
      <c r="BE197" s="270"/>
      <c r="BF197" s="295"/>
      <c r="BG197" s="298"/>
      <c r="BH197" s="299"/>
      <c r="BI197" s="295"/>
      <c r="BJ197" s="298"/>
      <c r="BK197" s="299"/>
      <c r="BL197" s="295"/>
      <c r="BM197" s="296"/>
      <c r="BN197" s="312"/>
      <c r="BO197" s="250">
        <f t="shared" si="17"/>
        <v>0</v>
      </c>
    </row>
    <row r="198" spans="1:67" ht="25.5" customHeight="1" x14ac:dyDescent="0.2">
      <c r="A198" s="142">
        <f t="shared" si="18"/>
        <v>183</v>
      </c>
      <c r="B198" s="251"/>
      <c r="C198" s="252"/>
      <c r="D198" s="253"/>
      <c r="E198" s="254"/>
      <c r="F198" s="278"/>
      <c r="G198" s="256"/>
      <c r="H198" s="257"/>
      <c r="I198" s="231" t="str">
        <f t="shared" si="13"/>
        <v/>
      </c>
      <c r="J198" s="258">
        <f t="shared" si="14"/>
        <v>0</v>
      </c>
      <c r="K198" s="259"/>
      <c r="L198" s="260"/>
      <c r="M198" s="260"/>
      <c r="N198" s="235" t="str">
        <f t="shared" si="15"/>
        <v/>
      </c>
      <c r="O198" s="236" t="str">
        <f>IF('Data Set up'!$G$40="JUNE",IF(OR($N198=7,$N198=8,$N198=9),1,IF(OR($N198=10,$N198=11,$N198=12),2,IF(OR($N198=1,$N198=2,$N198=3),3,IF(OR($N198=4,$N198=5,$N198=6),4,"")))),IF(OR($N198=9,$N198=10,$N198=11),1,IF(OR($N198=12,$N198=1,$N198=2),2,IF(OR($N198=3,$N198=4,$N198=5),3,IF(OR($N198=6,$N198=7,$N198=8),4,"")))))</f>
        <v/>
      </c>
      <c r="P198" s="261"/>
      <c r="Q198" s="270"/>
      <c r="R198" s="295"/>
      <c r="S198" s="264">
        <f t="shared" si="16"/>
        <v>0</v>
      </c>
      <c r="T198" s="295"/>
      <c r="U198" s="295"/>
      <c r="V198" s="295"/>
      <c r="W198" s="295"/>
      <c r="X198" s="295"/>
      <c r="Y198" s="295"/>
      <c r="Z198" s="295"/>
      <c r="AA198" s="295"/>
      <c r="AB198" s="296"/>
      <c r="AC198" s="304"/>
      <c r="AD198" s="305"/>
      <c r="AE198" s="295"/>
      <c r="AF198" s="295"/>
      <c r="AG198" s="295"/>
      <c r="AH198" s="295"/>
      <c r="AI198" s="296"/>
      <c r="AJ198" s="296"/>
      <c r="AK198" s="295"/>
      <c r="AL198" s="310"/>
      <c r="AM198" s="270"/>
      <c r="AN198" s="295"/>
      <c r="AO198" s="295"/>
      <c r="AP198" s="295"/>
      <c r="AQ198" s="295"/>
      <c r="AR198" s="295"/>
      <c r="AS198" s="295"/>
      <c r="AT198" s="295"/>
      <c r="AU198" s="297"/>
      <c r="AV198" s="311"/>
      <c r="AW198" s="296"/>
      <c r="AX198" s="296"/>
      <c r="AY198" s="296"/>
      <c r="AZ198" s="296"/>
      <c r="BA198" s="296"/>
      <c r="BB198" s="296"/>
      <c r="BC198" s="296"/>
      <c r="BD198" s="297"/>
      <c r="BE198" s="270"/>
      <c r="BF198" s="295"/>
      <c r="BG198" s="298"/>
      <c r="BH198" s="299"/>
      <c r="BI198" s="295"/>
      <c r="BJ198" s="298"/>
      <c r="BK198" s="299"/>
      <c r="BL198" s="295"/>
      <c r="BM198" s="296"/>
      <c r="BN198" s="312"/>
      <c r="BO198" s="250">
        <f t="shared" si="17"/>
        <v>0</v>
      </c>
    </row>
    <row r="199" spans="1:67" ht="25.5" customHeight="1" x14ac:dyDescent="0.2">
      <c r="A199" s="142">
        <f t="shared" si="18"/>
        <v>184</v>
      </c>
      <c r="B199" s="251"/>
      <c r="C199" s="252"/>
      <c r="D199" s="253"/>
      <c r="E199" s="254"/>
      <c r="F199" s="278"/>
      <c r="G199" s="256"/>
      <c r="H199" s="257"/>
      <c r="I199" s="231" t="str">
        <f t="shared" si="13"/>
        <v/>
      </c>
      <c r="J199" s="258">
        <f t="shared" si="14"/>
        <v>0</v>
      </c>
      <c r="K199" s="259"/>
      <c r="L199" s="260"/>
      <c r="M199" s="260"/>
      <c r="N199" s="235" t="str">
        <f t="shared" si="15"/>
        <v/>
      </c>
      <c r="O199" s="236" t="str">
        <f>IF('Data Set up'!$G$40="JUNE",IF(OR($N199=7,$N199=8,$N199=9),1,IF(OR($N199=10,$N199=11,$N199=12),2,IF(OR($N199=1,$N199=2,$N199=3),3,IF(OR($N199=4,$N199=5,$N199=6),4,"")))),IF(OR($N199=9,$N199=10,$N199=11),1,IF(OR($N199=12,$N199=1,$N199=2),2,IF(OR($N199=3,$N199=4,$N199=5),3,IF(OR($N199=6,$N199=7,$N199=8),4,"")))))</f>
        <v/>
      </c>
      <c r="P199" s="261"/>
      <c r="Q199" s="270"/>
      <c r="R199" s="295"/>
      <c r="S199" s="264">
        <f t="shared" si="16"/>
        <v>0</v>
      </c>
      <c r="T199" s="295"/>
      <c r="U199" s="295"/>
      <c r="V199" s="295"/>
      <c r="W199" s="295"/>
      <c r="X199" s="295"/>
      <c r="Y199" s="295"/>
      <c r="Z199" s="295"/>
      <c r="AA199" s="295"/>
      <c r="AB199" s="296"/>
      <c r="AC199" s="304"/>
      <c r="AD199" s="305"/>
      <c r="AE199" s="295"/>
      <c r="AF199" s="295"/>
      <c r="AG199" s="295"/>
      <c r="AH199" s="295"/>
      <c r="AI199" s="296"/>
      <c r="AJ199" s="296"/>
      <c r="AK199" s="295"/>
      <c r="AL199" s="310"/>
      <c r="AM199" s="270"/>
      <c r="AN199" s="295"/>
      <c r="AO199" s="295"/>
      <c r="AP199" s="295"/>
      <c r="AQ199" s="295"/>
      <c r="AR199" s="295"/>
      <c r="AS199" s="295"/>
      <c r="AT199" s="295"/>
      <c r="AU199" s="297"/>
      <c r="AV199" s="311"/>
      <c r="AW199" s="296"/>
      <c r="AX199" s="296"/>
      <c r="AY199" s="296"/>
      <c r="AZ199" s="296"/>
      <c r="BA199" s="296"/>
      <c r="BB199" s="296"/>
      <c r="BC199" s="296"/>
      <c r="BD199" s="297"/>
      <c r="BE199" s="270"/>
      <c r="BF199" s="295"/>
      <c r="BG199" s="298"/>
      <c r="BH199" s="299"/>
      <c r="BI199" s="295"/>
      <c r="BJ199" s="298"/>
      <c r="BK199" s="299"/>
      <c r="BL199" s="295"/>
      <c r="BM199" s="296"/>
      <c r="BN199" s="312"/>
      <c r="BO199" s="250">
        <f t="shared" si="17"/>
        <v>0</v>
      </c>
    </row>
    <row r="200" spans="1:67" ht="25.5" customHeight="1" x14ac:dyDescent="0.2">
      <c r="A200" s="142">
        <f t="shared" si="18"/>
        <v>185</v>
      </c>
      <c r="B200" s="251"/>
      <c r="C200" s="252"/>
      <c r="D200" s="253"/>
      <c r="E200" s="254"/>
      <c r="F200" s="278"/>
      <c r="G200" s="256"/>
      <c r="H200" s="257"/>
      <c r="I200" s="231" t="str">
        <f t="shared" si="13"/>
        <v/>
      </c>
      <c r="J200" s="258">
        <f t="shared" si="14"/>
        <v>0</v>
      </c>
      <c r="K200" s="259"/>
      <c r="L200" s="260"/>
      <c r="M200" s="260"/>
      <c r="N200" s="235" t="str">
        <f t="shared" si="15"/>
        <v/>
      </c>
      <c r="O200" s="236" t="str">
        <f>IF('Data Set up'!$G$40="JUNE",IF(OR($N200=7,$N200=8,$N200=9),1,IF(OR($N200=10,$N200=11,$N200=12),2,IF(OR($N200=1,$N200=2,$N200=3),3,IF(OR($N200=4,$N200=5,$N200=6),4,"")))),IF(OR($N200=9,$N200=10,$N200=11),1,IF(OR($N200=12,$N200=1,$N200=2),2,IF(OR($N200=3,$N200=4,$N200=5),3,IF(OR($N200=6,$N200=7,$N200=8),4,"")))))</f>
        <v/>
      </c>
      <c r="P200" s="261"/>
      <c r="Q200" s="270"/>
      <c r="R200" s="295"/>
      <c r="S200" s="264">
        <f t="shared" si="16"/>
        <v>0</v>
      </c>
      <c r="T200" s="295"/>
      <c r="U200" s="295"/>
      <c r="V200" s="295"/>
      <c r="W200" s="295"/>
      <c r="X200" s="295"/>
      <c r="Y200" s="295"/>
      <c r="Z200" s="295"/>
      <c r="AA200" s="295"/>
      <c r="AB200" s="296"/>
      <c r="AC200" s="304"/>
      <c r="AD200" s="305"/>
      <c r="AE200" s="295"/>
      <c r="AF200" s="295"/>
      <c r="AG200" s="295"/>
      <c r="AH200" s="295"/>
      <c r="AI200" s="296"/>
      <c r="AJ200" s="296"/>
      <c r="AK200" s="295"/>
      <c r="AL200" s="310"/>
      <c r="AM200" s="270"/>
      <c r="AN200" s="295"/>
      <c r="AO200" s="295"/>
      <c r="AP200" s="295"/>
      <c r="AQ200" s="295"/>
      <c r="AR200" s="295"/>
      <c r="AS200" s="295"/>
      <c r="AT200" s="295"/>
      <c r="AU200" s="297"/>
      <c r="AV200" s="311"/>
      <c r="AW200" s="296"/>
      <c r="AX200" s="296"/>
      <c r="AY200" s="296"/>
      <c r="AZ200" s="296"/>
      <c r="BA200" s="296"/>
      <c r="BB200" s="296"/>
      <c r="BC200" s="296"/>
      <c r="BD200" s="297"/>
      <c r="BE200" s="270"/>
      <c r="BF200" s="295"/>
      <c r="BG200" s="298"/>
      <c r="BH200" s="299"/>
      <c r="BI200" s="295"/>
      <c r="BJ200" s="298"/>
      <c r="BK200" s="299"/>
      <c r="BL200" s="295"/>
      <c r="BM200" s="296"/>
      <c r="BN200" s="312"/>
      <c r="BO200" s="250">
        <f t="shared" si="17"/>
        <v>0</v>
      </c>
    </row>
    <row r="201" spans="1:67" ht="25.5" customHeight="1" x14ac:dyDescent="0.2">
      <c r="A201" s="142">
        <f t="shared" si="18"/>
        <v>186</v>
      </c>
      <c r="B201" s="251"/>
      <c r="C201" s="252"/>
      <c r="D201" s="253"/>
      <c r="E201" s="254"/>
      <c r="F201" s="278"/>
      <c r="G201" s="256"/>
      <c r="H201" s="257"/>
      <c r="I201" s="231" t="str">
        <f t="shared" si="13"/>
        <v/>
      </c>
      <c r="J201" s="258">
        <f t="shared" si="14"/>
        <v>0</v>
      </c>
      <c r="K201" s="259"/>
      <c r="L201" s="260"/>
      <c r="M201" s="260"/>
      <c r="N201" s="235" t="str">
        <f t="shared" si="15"/>
        <v/>
      </c>
      <c r="O201" s="236" t="str">
        <f>IF('Data Set up'!$G$40="JUNE",IF(OR($N201=7,$N201=8,$N201=9),1,IF(OR($N201=10,$N201=11,$N201=12),2,IF(OR($N201=1,$N201=2,$N201=3),3,IF(OR($N201=4,$N201=5,$N201=6),4,"")))),IF(OR($N201=9,$N201=10,$N201=11),1,IF(OR($N201=12,$N201=1,$N201=2),2,IF(OR($N201=3,$N201=4,$N201=5),3,IF(OR($N201=6,$N201=7,$N201=8),4,"")))))</f>
        <v/>
      </c>
      <c r="P201" s="261"/>
      <c r="Q201" s="270"/>
      <c r="R201" s="295"/>
      <c r="S201" s="264">
        <f t="shared" si="16"/>
        <v>0</v>
      </c>
      <c r="T201" s="295"/>
      <c r="U201" s="295"/>
      <c r="V201" s="295"/>
      <c r="W201" s="295"/>
      <c r="X201" s="295"/>
      <c r="Y201" s="295"/>
      <c r="Z201" s="295"/>
      <c r="AA201" s="295"/>
      <c r="AB201" s="296"/>
      <c r="AC201" s="304"/>
      <c r="AD201" s="305"/>
      <c r="AE201" s="295"/>
      <c r="AF201" s="295"/>
      <c r="AG201" s="295"/>
      <c r="AH201" s="295"/>
      <c r="AI201" s="296"/>
      <c r="AJ201" s="296"/>
      <c r="AK201" s="295"/>
      <c r="AL201" s="310"/>
      <c r="AM201" s="270"/>
      <c r="AN201" s="295"/>
      <c r="AO201" s="295"/>
      <c r="AP201" s="295"/>
      <c r="AQ201" s="295"/>
      <c r="AR201" s="295"/>
      <c r="AS201" s="295"/>
      <c r="AT201" s="295"/>
      <c r="AU201" s="297"/>
      <c r="AV201" s="311"/>
      <c r="AW201" s="296"/>
      <c r="AX201" s="296"/>
      <c r="AY201" s="296"/>
      <c r="AZ201" s="296"/>
      <c r="BA201" s="296"/>
      <c r="BB201" s="296"/>
      <c r="BC201" s="296"/>
      <c r="BD201" s="297"/>
      <c r="BE201" s="270"/>
      <c r="BF201" s="295"/>
      <c r="BG201" s="298"/>
      <c r="BH201" s="299"/>
      <c r="BI201" s="295"/>
      <c r="BJ201" s="298"/>
      <c r="BK201" s="299"/>
      <c r="BL201" s="295"/>
      <c r="BM201" s="296"/>
      <c r="BN201" s="312"/>
      <c r="BO201" s="250">
        <f t="shared" si="17"/>
        <v>0</v>
      </c>
    </row>
    <row r="202" spans="1:67" ht="25.5" customHeight="1" x14ac:dyDescent="0.2">
      <c r="A202" s="142">
        <f t="shared" si="18"/>
        <v>187</v>
      </c>
      <c r="B202" s="251"/>
      <c r="C202" s="252"/>
      <c r="D202" s="253"/>
      <c r="E202" s="254"/>
      <c r="F202" s="278"/>
      <c r="G202" s="256"/>
      <c r="H202" s="257"/>
      <c r="I202" s="231" t="str">
        <f t="shared" si="13"/>
        <v/>
      </c>
      <c r="J202" s="258">
        <f t="shared" si="14"/>
        <v>0</v>
      </c>
      <c r="K202" s="259"/>
      <c r="L202" s="260"/>
      <c r="M202" s="260"/>
      <c r="N202" s="235" t="str">
        <f t="shared" si="15"/>
        <v/>
      </c>
      <c r="O202" s="236" t="str">
        <f>IF('Data Set up'!$G$40="JUNE",IF(OR($N202=7,$N202=8,$N202=9),1,IF(OR($N202=10,$N202=11,$N202=12),2,IF(OR($N202=1,$N202=2,$N202=3),3,IF(OR($N202=4,$N202=5,$N202=6),4,"")))),IF(OR($N202=9,$N202=10,$N202=11),1,IF(OR($N202=12,$N202=1,$N202=2),2,IF(OR($N202=3,$N202=4,$N202=5),3,IF(OR($N202=6,$N202=7,$N202=8),4,"")))))</f>
        <v/>
      </c>
      <c r="P202" s="261"/>
      <c r="Q202" s="270"/>
      <c r="R202" s="295"/>
      <c r="S202" s="264">
        <f t="shared" si="16"/>
        <v>0</v>
      </c>
      <c r="T202" s="295"/>
      <c r="U202" s="295"/>
      <c r="V202" s="295"/>
      <c r="W202" s="295"/>
      <c r="X202" s="295"/>
      <c r="Y202" s="295"/>
      <c r="Z202" s="295"/>
      <c r="AA202" s="295"/>
      <c r="AB202" s="296"/>
      <c r="AC202" s="304"/>
      <c r="AD202" s="305"/>
      <c r="AE202" s="295"/>
      <c r="AF202" s="295"/>
      <c r="AG202" s="295"/>
      <c r="AH202" s="295"/>
      <c r="AI202" s="296"/>
      <c r="AJ202" s="296"/>
      <c r="AK202" s="295"/>
      <c r="AL202" s="310"/>
      <c r="AM202" s="270"/>
      <c r="AN202" s="295"/>
      <c r="AO202" s="295"/>
      <c r="AP202" s="295"/>
      <c r="AQ202" s="295"/>
      <c r="AR202" s="295"/>
      <c r="AS202" s="295"/>
      <c r="AT202" s="295"/>
      <c r="AU202" s="297"/>
      <c r="AV202" s="311"/>
      <c r="AW202" s="296"/>
      <c r="AX202" s="296"/>
      <c r="AY202" s="296"/>
      <c r="AZ202" s="296"/>
      <c r="BA202" s="296"/>
      <c r="BB202" s="296"/>
      <c r="BC202" s="296"/>
      <c r="BD202" s="297"/>
      <c r="BE202" s="270"/>
      <c r="BF202" s="295"/>
      <c r="BG202" s="298"/>
      <c r="BH202" s="299"/>
      <c r="BI202" s="295"/>
      <c r="BJ202" s="298"/>
      <c r="BK202" s="299"/>
      <c r="BL202" s="295"/>
      <c r="BM202" s="296"/>
      <c r="BN202" s="312"/>
      <c r="BO202" s="250">
        <f t="shared" si="17"/>
        <v>0</v>
      </c>
    </row>
    <row r="203" spans="1:67" ht="25.5" customHeight="1" x14ac:dyDescent="0.2">
      <c r="A203" s="142">
        <f t="shared" si="18"/>
        <v>188</v>
      </c>
      <c r="B203" s="251"/>
      <c r="C203" s="252"/>
      <c r="D203" s="253"/>
      <c r="E203" s="254"/>
      <c r="F203" s="278"/>
      <c r="G203" s="256"/>
      <c r="H203" s="257"/>
      <c r="I203" s="231" t="str">
        <f t="shared" si="13"/>
        <v/>
      </c>
      <c r="J203" s="258">
        <f t="shared" si="14"/>
        <v>0</v>
      </c>
      <c r="K203" s="259"/>
      <c r="L203" s="260"/>
      <c r="M203" s="260"/>
      <c r="N203" s="235" t="str">
        <f t="shared" si="15"/>
        <v/>
      </c>
      <c r="O203" s="236" t="str">
        <f>IF('Data Set up'!$G$40="JUNE",IF(OR($N203=7,$N203=8,$N203=9),1,IF(OR($N203=10,$N203=11,$N203=12),2,IF(OR($N203=1,$N203=2,$N203=3),3,IF(OR($N203=4,$N203=5,$N203=6),4,"")))),IF(OR($N203=9,$N203=10,$N203=11),1,IF(OR($N203=12,$N203=1,$N203=2),2,IF(OR($N203=3,$N203=4,$N203=5),3,IF(OR($N203=6,$N203=7,$N203=8),4,"")))))</f>
        <v/>
      </c>
      <c r="P203" s="261"/>
      <c r="Q203" s="270"/>
      <c r="R203" s="295"/>
      <c r="S203" s="264">
        <f t="shared" si="16"/>
        <v>0</v>
      </c>
      <c r="T203" s="295"/>
      <c r="U203" s="295"/>
      <c r="V203" s="295"/>
      <c r="W203" s="295"/>
      <c r="X203" s="295"/>
      <c r="Y203" s="295"/>
      <c r="Z203" s="295"/>
      <c r="AA203" s="295"/>
      <c r="AB203" s="296"/>
      <c r="AC203" s="304"/>
      <c r="AD203" s="305"/>
      <c r="AE203" s="295"/>
      <c r="AF203" s="295"/>
      <c r="AG203" s="295"/>
      <c r="AH203" s="295"/>
      <c r="AI203" s="296"/>
      <c r="AJ203" s="296"/>
      <c r="AK203" s="295"/>
      <c r="AL203" s="310"/>
      <c r="AM203" s="270"/>
      <c r="AN203" s="295"/>
      <c r="AO203" s="295"/>
      <c r="AP203" s="295"/>
      <c r="AQ203" s="295"/>
      <c r="AR203" s="295"/>
      <c r="AS203" s="295"/>
      <c r="AT203" s="295"/>
      <c r="AU203" s="297"/>
      <c r="AV203" s="311"/>
      <c r="AW203" s="296"/>
      <c r="AX203" s="296"/>
      <c r="AY203" s="296"/>
      <c r="AZ203" s="296"/>
      <c r="BA203" s="296"/>
      <c r="BB203" s="296"/>
      <c r="BC203" s="296"/>
      <c r="BD203" s="297"/>
      <c r="BE203" s="270"/>
      <c r="BF203" s="295"/>
      <c r="BG203" s="298"/>
      <c r="BH203" s="299"/>
      <c r="BI203" s="295"/>
      <c r="BJ203" s="298"/>
      <c r="BK203" s="299"/>
      <c r="BL203" s="295"/>
      <c r="BM203" s="296"/>
      <c r="BN203" s="312"/>
      <c r="BO203" s="250">
        <f t="shared" si="17"/>
        <v>0</v>
      </c>
    </row>
    <row r="204" spans="1:67" ht="25.5" customHeight="1" x14ac:dyDescent="0.2">
      <c r="A204" s="142">
        <f t="shared" si="18"/>
        <v>189</v>
      </c>
      <c r="B204" s="251"/>
      <c r="C204" s="252"/>
      <c r="D204" s="253"/>
      <c r="E204" s="254"/>
      <c r="F204" s="278"/>
      <c r="G204" s="256"/>
      <c r="H204" s="257"/>
      <c r="I204" s="231" t="str">
        <f t="shared" si="13"/>
        <v/>
      </c>
      <c r="J204" s="258">
        <f t="shared" si="14"/>
        <v>0</v>
      </c>
      <c r="K204" s="259"/>
      <c r="L204" s="260"/>
      <c r="M204" s="260"/>
      <c r="N204" s="235" t="str">
        <f t="shared" si="15"/>
        <v/>
      </c>
      <c r="O204" s="236" t="str">
        <f>IF('Data Set up'!$G$40="JUNE",IF(OR($N204=7,$N204=8,$N204=9),1,IF(OR($N204=10,$N204=11,$N204=12),2,IF(OR($N204=1,$N204=2,$N204=3),3,IF(OR($N204=4,$N204=5,$N204=6),4,"")))),IF(OR($N204=9,$N204=10,$N204=11),1,IF(OR($N204=12,$N204=1,$N204=2),2,IF(OR($N204=3,$N204=4,$N204=5),3,IF(OR($N204=6,$N204=7,$N204=8),4,"")))))</f>
        <v/>
      </c>
      <c r="P204" s="261"/>
      <c r="Q204" s="270"/>
      <c r="R204" s="295"/>
      <c r="S204" s="264">
        <f t="shared" si="16"/>
        <v>0</v>
      </c>
      <c r="T204" s="295"/>
      <c r="U204" s="295"/>
      <c r="V204" s="295"/>
      <c r="W204" s="295"/>
      <c r="X204" s="295"/>
      <c r="Y204" s="295"/>
      <c r="Z204" s="295"/>
      <c r="AA204" s="295"/>
      <c r="AB204" s="296"/>
      <c r="AC204" s="304"/>
      <c r="AD204" s="305"/>
      <c r="AE204" s="295"/>
      <c r="AF204" s="295"/>
      <c r="AG204" s="295"/>
      <c r="AH204" s="295"/>
      <c r="AI204" s="296"/>
      <c r="AJ204" s="296"/>
      <c r="AK204" s="295"/>
      <c r="AL204" s="310"/>
      <c r="AM204" s="270"/>
      <c r="AN204" s="295"/>
      <c r="AO204" s="295"/>
      <c r="AP204" s="295"/>
      <c r="AQ204" s="295"/>
      <c r="AR204" s="295"/>
      <c r="AS204" s="295"/>
      <c r="AT204" s="295"/>
      <c r="AU204" s="297"/>
      <c r="AV204" s="311"/>
      <c r="AW204" s="296"/>
      <c r="AX204" s="296"/>
      <c r="AY204" s="296"/>
      <c r="AZ204" s="296"/>
      <c r="BA204" s="296"/>
      <c r="BB204" s="296"/>
      <c r="BC204" s="296"/>
      <c r="BD204" s="297"/>
      <c r="BE204" s="270"/>
      <c r="BF204" s="295"/>
      <c r="BG204" s="298"/>
      <c r="BH204" s="299"/>
      <c r="BI204" s="295"/>
      <c r="BJ204" s="298"/>
      <c r="BK204" s="299"/>
      <c r="BL204" s="295"/>
      <c r="BM204" s="296"/>
      <c r="BN204" s="312"/>
      <c r="BO204" s="250">
        <f t="shared" si="17"/>
        <v>0</v>
      </c>
    </row>
    <row r="205" spans="1:67" ht="25.5" customHeight="1" x14ac:dyDescent="0.2">
      <c r="A205" s="142">
        <f t="shared" si="18"/>
        <v>190</v>
      </c>
      <c r="B205" s="251"/>
      <c r="C205" s="252"/>
      <c r="D205" s="253"/>
      <c r="E205" s="254"/>
      <c r="F205" s="278"/>
      <c r="G205" s="256"/>
      <c r="H205" s="257"/>
      <c r="I205" s="231" t="str">
        <f t="shared" si="13"/>
        <v/>
      </c>
      <c r="J205" s="258">
        <f t="shared" si="14"/>
        <v>0</v>
      </c>
      <c r="K205" s="259"/>
      <c r="L205" s="260"/>
      <c r="M205" s="260"/>
      <c r="N205" s="235" t="str">
        <f t="shared" si="15"/>
        <v/>
      </c>
      <c r="O205" s="236" t="str">
        <f>IF('Data Set up'!$G$40="JUNE",IF(OR($N205=7,$N205=8,$N205=9),1,IF(OR($N205=10,$N205=11,$N205=12),2,IF(OR($N205=1,$N205=2,$N205=3),3,IF(OR($N205=4,$N205=5,$N205=6),4,"")))),IF(OR($N205=9,$N205=10,$N205=11),1,IF(OR($N205=12,$N205=1,$N205=2),2,IF(OR($N205=3,$N205=4,$N205=5),3,IF(OR($N205=6,$N205=7,$N205=8),4,"")))))</f>
        <v/>
      </c>
      <c r="P205" s="261"/>
      <c r="Q205" s="270"/>
      <c r="R205" s="295"/>
      <c r="S205" s="264">
        <f t="shared" si="16"/>
        <v>0</v>
      </c>
      <c r="T205" s="295"/>
      <c r="U205" s="295"/>
      <c r="V205" s="295"/>
      <c r="W205" s="295"/>
      <c r="X205" s="295"/>
      <c r="Y205" s="295"/>
      <c r="Z205" s="295"/>
      <c r="AA205" s="295"/>
      <c r="AB205" s="296"/>
      <c r="AC205" s="304"/>
      <c r="AD205" s="305"/>
      <c r="AE205" s="295"/>
      <c r="AF205" s="295"/>
      <c r="AG205" s="295"/>
      <c r="AH205" s="295"/>
      <c r="AI205" s="296"/>
      <c r="AJ205" s="296"/>
      <c r="AK205" s="295"/>
      <c r="AL205" s="310"/>
      <c r="AM205" s="270"/>
      <c r="AN205" s="295"/>
      <c r="AO205" s="295"/>
      <c r="AP205" s="295"/>
      <c r="AQ205" s="295"/>
      <c r="AR205" s="295"/>
      <c r="AS205" s="295"/>
      <c r="AT205" s="295"/>
      <c r="AU205" s="297"/>
      <c r="AV205" s="311"/>
      <c r="AW205" s="296"/>
      <c r="AX205" s="296"/>
      <c r="AY205" s="296"/>
      <c r="AZ205" s="296"/>
      <c r="BA205" s="296"/>
      <c r="BB205" s="296"/>
      <c r="BC205" s="296"/>
      <c r="BD205" s="297"/>
      <c r="BE205" s="270"/>
      <c r="BF205" s="295"/>
      <c r="BG205" s="298"/>
      <c r="BH205" s="299"/>
      <c r="BI205" s="295"/>
      <c r="BJ205" s="298"/>
      <c r="BK205" s="299"/>
      <c r="BL205" s="295"/>
      <c r="BM205" s="296"/>
      <c r="BN205" s="312"/>
      <c r="BO205" s="250">
        <f t="shared" si="17"/>
        <v>0</v>
      </c>
    </row>
    <row r="206" spans="1:67" ht="25.5" customHeight="1" x14ac:dyDescent="0.2">
      <c r="A206" s="142">
        <f t="shared" si="18"/>
        <v>191</v>
      </c>
      <c r="B206" s="251"/>
      <c r="C206" s="252"/>
      <c r="D206" s="253"/>
      <c r="E206" s="254"/>
      <c r="F206" s="278"/>
      <c r="G206" s="256"/>
      <c r="H206" s="257"/>
      <c r="I206" s="231" t="str">
        <f t="shared" si="13"/>
        <v/>
      </c>
      <c r="J206" s="258">
        <f t="shared" si="14"/>
        <v>0</v>
      </c>
      <c r="K206" s="259"/>
      <c r="L206" s="260"/>
      <c r="M206" s="260"/>
      <c r="N206" s="235" t="str">
        <f t="shared" si="15"/>
        <v/>
      </c>
      <c r="O206" s="236" t="str">
        <f>IF('Data Set up'!$G$40="JUNE",IF(OR($N206=7,$N206=8,$N206=9),1,IF(OR($N206=10,$N206=11,$N206=12),2,IF(OR($N206=1,$N206=2,$N206=3),3,IF(OR($N206=4,$N206=5,$N206=6),4,"")))),IF(OR($N206=9,$N206=10,$N206=11),1,IF(OR($N206=12,$N206=1,$N206=2),2,IF(OR($N206=3,$N206=4,$N206=5),3,IF(OR($N206=6,$N206=7,$N206=8),4,"")))))</f>
        <v/>
      </c>
      <c r="P206" s="261"/>
      <c r="Q206" s="270"/>
      <c r="R206" s="295"/>
      <c r="S206" s="264">
        <f t="shared" si="16"/>
        <v>0</v>
      </c>
      <c r="T206" s="295"/>
      <c r="U206" s="295"/>
      <c r="V206" s="295"/>
      <c r="W206" s="295"/>
      <c r="X206" s="295"/>
      <c r="Y206" s="295"/>
      <c r="Z206" s="295"/>
      <c r="AA206" s="295"/>
      <c r="AB206" s="296"/>
      <c r="AC206" s="304"/>
      <c r="AD206" s="305"/>
      <c r="AE206" s="295"/>
      <c r="AF206" s="295"/>
      <c r="AG206" s="295"/>
      <c r="AH206" s="295"/>
      <c r="AI206" s="296"/>
      <c r="AJ206" s="296"/>
      <c r="AK206" s="295"/>
      <c r="AL206" s="310"/>
      <c r="AM206" s="270"/>
      <c r="AN206" s="295"/>
      <c r="AO206" s="295"/>
      <c r="AP206" s="295"/>
      <c r="AQ206" s="295"/>
      <c r="AR206" s="295"/>
      <c r="AS206" s="295"/>
      <c r="AT206" s="295"/>
      <c r="AU206" s="297"/>
      <c r="AV206" s="311"/>
      <c r="AW206" s="296"/>
      <c r="AX206" s="296"/>
      <c r="AY206" s="296"/>
      <c r="AZ206" s="296"/>
      <c r="BA206" s="296"/>
      <c r="BB206" s="296"/>
      <c r="BC206" s="296"/>
      <c r="BD206" s="297"/>
      <c r="BE206" s="270"/>
      <c r="BF206" s="295"/>
      <c r="BG206" s="298"/>
      <c r="BH206" s="299"/>
      <c r="BI206" s="295"/>
      <c r="BJ206" s="298"/>
      <c r="BK206" s="299"/>
      <c r="BL206" s="295"/>
      <c r="BM206" s="296"/>
      <c r="BN206" s="312"/>
      <c r="BO206" s="250">
        <f t="shared" si="17"/>
        <v>0</v>
      </c>
    </row>
    <row r="207" spans="1:67" ht="25.5" customHeight="1" x14ac:dyDescent="0.2">
      <c r="A207" s="142">
        <f t="shared" si="18"/>
        <v>192</v>
      </c>
      <c r="B207" s="251"/>
      <c r="C207" s="252"/>
      <c r="D207" s="253"/>
      <c r="E207" s="254"/>
      <c r="F207" s="278"/>
      <c r="G207" s="256"/>
      <c r="H207" s="257"/>
      <c r="I207" s="231" t="str">
        <f t="shared" si="13"/>
        <v/>
      </c>
      <c r="J207" s="258">
        <f t="shared" si="14"/>
        <v>0</v>
      </c>
      <c r="K207" s="259"/>
      <c r="L207" s="260"/>
      <c r="M207" s="260"/>
      <c r="N207" s="235" t="str">
        <f t="shared" si="15"/>
        <v/>
      </c>
      <c r="O207" s="236" t="str">
        <f>IF('Data Set up'!$G$40="JUNE",IF(OR($N207=7,$N207=8,$N207=9),1,IF(OR($N207=10,$N207=11,$N207=12),2,IF(OR($N207=1,$N207=2,$N207=3),3,IF(OR($N207=4,$N207=5,$N207=6),4,"")))),IF(OR($N207=9,$N207=10,$N207=11),1,IF(OR($N207=12,$N207=1,$N207=2),2,IF(OR($N207=3,$N207=4,$N207=5),3,IF(OR($N207=6,$N207=7,$N207=8),4,"")))))</f>
        <v/>
      </c>
      <c r="P207" s="261"/>
      <c r="Q207" s="270"/>
      <c r="R207" s="295"/>
      <c r="S207" s="264">
        <f t="shared" si="16"/>
        <v>0</v>
      </c>
      <c r="T207" s="295"/>
      <c r="U207" s="295"/>
      <c r="V207" s="295"/>
      <c r="W207" s="295"/>
      <c r="X207" s="295"/>
      <c r="Y207" s="295"/>
      <c r="Z207" s="295"/>
      <c r="AA207" s="295"/>
      <c r="AB207" s="296"/>
      <c r="AC207" s="304"/>
      <c r="AD207" s="305"/>
      <c r="AE207" s="295"/>
      <c r="AF207" s="295"/>
      <c r="AG207" s="295"/>
      <c r="AH207" s="295"/>
      <c r="AI207" s="296"/>
      <c r="AJ207" s="296"/>
      <c r="AK207" s="295"/>
      <c r="AL207" s="310"/>
      <c r="AM207" s="270"/>
      <c r="AN207" s="295"/>
      <c r="AO207" s="295"/>
      <c r="AP207" s="295"/>
      <c r="AQ207" s="295"/>
      <c r="AR207" s="295"/>
      <c r="AS207" s="295"/>
      <c r="AT207" s="295"/>
      <c r="AU207" s="297"/>
      <c r="AV207" s="311"/>
      <c r="AW207" s="296"/>
      <c r="AX207" s="296"/>
      <c r="AY207" s="296"/>
      <c r="AZ207" s="296"/>
      <c r="BA207" s="296"/>
      <c r="BB207" s="296"/>
      <c r="BC207" s="296"/>
      <c r="BD207" s="297"/>
      <c r="BE207" s="270"/>
      <c r="BF207" s="295"/>
      <c r="BG207" s="298"/>
      <c r="BH207" s="299"/>
      <c r="BI207" s="295"/>
      <c r="BJ207" s="298"/>
      <c r="BK207" s="299"/>
      <c r="BL207" s="295"/>
      <c r="BM207" s="296"/>
      <c r="BN207" s="312"/>
      <c r="BO207" s="250">
        <f t="shared" si="17"/>
        <v>0</v>
      </c>
    </row>
    <row r="208" spans="1:67" ht="25.5" customHeight="1" x14ac:dyDescent="0.2">
      <c r="A208" s="142">
        <f t="shared" si="18"/>
        <v>193</v>
      </c>
      <c r="B208" s="251"/>
      <c r="C208" s="252"/>
      <c r="D208" s="253"/>
      <c r="E208" s="254"/>
      <c r="F208" s="278"/>
      <c r="G208" s="256"/>
      <c r="H208" s="257"/>
      <c r="I208" s="231" t="str">
        <f t="shared" ref="I208:I271" si="19">LEFT(H208,4)</f>
        <v/>
      </c>
      <c r="J208" s="258">
        <f t="shared" ref="J208:J271" si="20">G208-BO208</f>
        <v>0</v>
      </c>
      <c r="K208" s="259"/>
      <c r="L208" s="260"/>
      <c r="M208" s="260"/>
      <c r="N208" s="235" t="str">
        <f t="shared" ref="N208:N271" si="21">IF($E208="","",MONTH($E208))</f>
        <v/>
      </c>
      <c r="O208" s="236" t="str">
        <f>IF('Data Set up'!$G$40="JUNE",IF(OR($N208=7,$N208=8,$N208=9),1,IF(OR($N208=10,$N208=11,$N208=12),2,IF(OR($N208=1,$N208=2,$N208=3),3,IF(OR($N208=4,$N208=5,$N208=6),4,"")))),IF(OR($N208=9,$N208=10,$N208=11),1,IF(OR($N208=12,$N208=1,$N208=2),2,IF(OR($N208=3,$N208=4,$N208=5),3,IF(OR($N208=6,$N208=7,$N208=8),4,"")))))</f>
        <v/>
      </c>
      <c r="P208" s="261"/>
      <c r="Q208" s="270"/>
      <c r="R208" s="295"/>
      <c r="S208" s="264">
        <f t="shared" ref="S208:S271" si="22">SUM(T208:W208)</f>
        <v>0</v>
      </c>
      <c r="T208" s="295"/>
      <c r="U208" s="295"/>
      <c r="V208" s="295"/>
      <c r="W208" s="295"/>
      <c r="X208" s="295"/>
      <c r="Y208" s="295"/>
      <c r="Z208" s="295"/>
      <c r="AA208" s="295"/>
      <c r="AB208" s="296"/>
      <c r="AC208" s="304"/>
      <c r="AD208" s="305"/>
      <c r="AE208" s="295"/>
      <c r="AF208" s="295"/>
      <c r="AG208" s="295"/>
      <c r="AH208" s="295"/>
      <c r="AI208" s="296"/>
      <c r="AJ208" s="296"/>
      <c r="AK208" s="295"/>
      <c r="AL208" s="310"/>
      <c r="AM208" s="270"/>
      <c r="AN208" s="295"/>
      <c r="AO208" s="295"/>
      <c r="AP208" s="295"/>
      <c r="AQ208" s="295"/>
      <c r="AR208" s="295"/>
      <c r="AS208" s="295"/>
      <c r="AT208" s="295"/>
      <c r="AU208" s="297"/>
      <c r="AV208" s="311"/>
      <c r="AW208" s="296"/>
      <c r="AX208" s="296"/>
      <c r="AY208" s="296"/>
      <c r="AZ208" s="296"/>
      <c r="BA208" s="296"/>
      <c r="BB208" s="296"/>
      <c r="BC208" s="296"/>
      <c r="BD208" s="297"/>
      <c r="BE208" s="270"/>
      <c r="BF208" s="295"/>
      <c r="BG208" s="298"/>
      <c r="BH208" s="299"/>
      <c r="BI208" s="295"/>
      <c r="BJ208" s="298"/>
      <c r="BK208" s="299"/>
      <c r="BL208" s="295"/>
      <c r="BM208" s="296"/>
      <c r="BN208" s="312"/>
      <c r="BO208" s="250">
        <f t="shared" ref="BO208:BO271" si="23">SUM(Q208:R208,T208:BN208)</f>
        <v>0</v>
      </c>
    </row>
    <row r="209" spans="1:67" ht="25.5" customHeight="1" x14ac:dyDescent="0.2">
      <c r="A209" s="142">
        <f t="shared" ref="A209:A272" si="24">$A208+1</f>
        <v>194</v>
      </c>
      <c r="B209" s="251"/>
      <c r="C209" s="252"/>
      <c r="D209" s="253"/>
      <c r="E209" s="254"/>
      <c r="F209" s="278"/>
      <c r="G209" s="256"/>
      <c r="H209" s="257"/>
      <c r="I209" s="231" t="str">
        <f t="shared" si="19"/>
        <v/>
      </c>
      <c r="J209" s="258">
        <f t="shared" si="20"/>
        <v>0</v>
      </c>
      <c r="K209" s="259"/>
      <c r="L209" s="260"/>
      <c r="M209" s="260"/>
      <c r="N209" s="235" t="str">
        <f t="shared" si="21"/>
        <v/>
      </c>
      <c r="O209" s="236" t="str">
        <f>IF('Data Set up'!$G$40="JUNE",IF(OR($N209=7,$N209=8,$N209=9),1,IF(OR($N209=10,$N209=11,$N209=12),2,IF(OR($N209=1,$N209=2,$N209=3),3,IF(OR($N209=4,$N209=5,$N209=6),4,"")))),IF(OR($N209=9,$N209=10,$N209=11),1,IF(OR($N209=12,$N209=1,$N209=2),2,IF(OR($N209=3,$N209=4,$N209=5),3,IF(OR($N209=6,$N209=7,$N209=8),4,"")))))</f>
        <v/>
      </c>
      <c r="P209" s="261"/>
      <c r="Q209" s="270"/>
      <c r="R209" s="295"/>
      <c r="S209" s="264">
        <f t="shared" si="22"/>
        <v>0</v>
      </c>
      <c r="T209" s="295"/>
      <c r="U209" s="295"/>
      <c r="V209" s="295"/>
      <c r="W209" s="295"/>
      <c r="X209" s="295"/>
      <c r="Y209" s="295"/>
      <c r="Z209" s="295"/>
      <c r="AA209" s="295"/>
      <c r="AB209" s="296"/>
      <c r="AC209" s="304"/>
      <c r="AD209" s="305"/>
      <c r="AE209" s="295"/>
      <c r="AF209" s="295"/>
      <c r="AG209" s="295"/>
      <c r="AH209" s="295"/>
      <c r="AI209" s="296"/>
      <c r="AJ209" s="296"/>
      <c r="AK209" s="295"/>
      <c r="AL209" s="310"/>
      <c r="AM209" s="270"/>
      <c r="AN209" s="295"/>
      <c r="AO209" s="295"/>
      <c r="AP209" s="295"/>
      <c r="AQ209" s="295"/>
      <c r="AR209" s="295"/>
      <c r="AS209" s="295"/>
      <c r="AT209" s="295"/>
      <c r="AU209" s="297"/>
      <c r="AV209" s="311"/>
      <c r="AW209" s="296"/>
      <c r="AX209" s="296"/>
      <c r="AY209" s="296"/>
      <c r="AZ209" s="296"/>
      <c r="BA209" s="296"/>
      <c r="BB209" s="296"/>
      <c r="BC209" s="296"/>
      <c r="BD209" s="297"/>
      <c r="BE209" s="270"/>
      <c r="BF209" s="295"/>
      <c r="BG209" s="298"/>
      <c r="BH209" s="299"/>
      <c r="BI209" s="295"/>
      <c r="BJ209" s="298"/>
      <c r="BK209" s="299"/>
      <c r="BL209" s="295"/>
      <c r="BM209" s="296"/>
      <c r="BN209" s="312"/>
      <c r="BO209" s="250">
        <f t="shared" si="23"/>
        <v>0</v>
      </c>
    </row>
    <row r="210" spans="1:67" ht="25.5" customHeight="1" x14ac:dyDescent="0.2">
      <c r="A210" s="142">
        <f t="shared" si="24"/>
        <v>195</v>
      </c>
      <c r="B210" s="251"/>
      <c r="C210" s="252"/>
      <c r="D210" s="253"/>
      <c r="E210" s="254"/>
      <c r="F210" s="278"/>
      <c r="G210" s="256"/>
      <c r="H210" s="257"/>
      <c r="I210" s="231" t="str">
        <f t="shared" si="19"/>
        <v/>
      </c>
      <c r="J210" s="258">
        <f t="shared" si="20"/>
        <v>0</v>
      </c>
      <c r="K210" s="259"/>
      <c r="L210" s="260"/>
      <c r="M210" s="260"/>
      <c r="N210" s="235" t="str">
        <f t="shared" si="21"/>
        <v/>
      </c>
      <c r="O210" s="236" t="str">
        <f>IF('Data Set up'!$G$40="JUNE",IF(OR($N210=7,$N210=8,$N210=9),1,IF(OR($N210=10,$N210=11,$N210=12),2,IF(OR($N210=1,$N210=2,$N210=3),3,IF(OR($N210=4,$N210=5,$N210=6),4,"")))),IF(OR($N210=9,$N210=10,$N210=11),1,IF(OR($N210=12,$N210=1,$N210=2),2,IF(OR($N210=3,$N210=4,$N210=5),3,IF(OR($N210=6,$N210=7,$N210=8),4,"")))))</f>
        <v/>
      </c>
      <c r="P210" s="261"/>
      <c r="Q210" s="270"/>
      <c r="R210" s="295"/>
      <c r="S210" s="264">
        <f t="shared" si="22"/>
        <v>0</v>
      </c>
      <c r="T210" s="295"/>
      <c r="U210" s="295"/>
      <c r="V210" s="295"/>
      <c r="W210" s="295"/>
      <c r="X210" s="295"/>
      <c r="Y210" s="295"/>
      <c r="Z210" s="295"/>
      <c r="AA210" s="295"/>
      <c r="AB210" s="296"/>
      <c r="AC210" s="304"/>
      <c r="AD210" s="305"/>
      <c r="AE210" s="295"/>
      <c r="AF210" s="295"/>
      <c r="AG210" s="295"/>
      <c r="AH210" s="295"/>
      <c r="AI210" s="296"/>
      <c r="AJ210" s="296"/>
      <c r="AK210" s="295"/>
      <c r="AL210" s="310"/>
      <c r="AM210" s="270"/>
      <c r="AN210" s="295"/>
      <c r="AO210" s="295"/>
      <c r="AP210" s="295"/>
      <c r="AQ210" s="295"/>
      <c r="AR210" s="295"/>
      <c r="AS210" s="295"/>
      <c r="AT210" s="295"/>
      <c r="AU210" s="297"/>
      <c r="AV210" s="311"/>
      <c r="AW210" s="296"/>
      <c r="AX210" s="296"/>
      <c r="AY210" s="296"/>
      <c r="AZ210" s="296"/>
      <c r="BA210" s="296"/>
      <c r="BB210" s="296"/>
      <c r="BC210" s="296"/>
      <c r="BD210" s="297"/>
      <c r="BE210" s="270"/>
      <c r="BF210" s="295"/>
      <c r="BG210" s="298"/>
      <c r="BH210" s="299"/>
      <c r="BI210" s="295"/>
      <c r="BJ210" s="298"/>
      <c r="BK210" s="299"/>
      <c r="BL210" s="295"/>
      <c r="BM210" s="296"/>
      <c r="BN210" s="312"/>
      <c r="BO210" s="250">
        <f t="shared" si="23"/>
        <v>0</v>
      </c>
    </row>
    <row r="211" spans="1:67" ht="25.5" customHeight="1" x14ac:dyDescent="0.2">
      <c r="A211" s="142">
        <f t="shared" si="24"/>
        <v>196</v>
      </c>
      <c r="B211" s="251"/>
      <c r="C211" s="252"/>
      <c r="D211" s="253"/>
      <c r="E211" s="254"/>
      <c r="F211" s="278"/>
      <c r="G211" s="256"/>
      <c r="H211" s="257"/>
      <c r="I211" s="231" t="str">
        <f t="shared" si="19"/>
        <v/>
      </c>
      <c r="J211" s="258">
        <f t="shared" si="20"/>
        <v>0</v>
      </c>
      <c r="K211" s="259"/>
      <c r="L211" s="260"/>
      <c r="M211" s="260"/>
      <c r="N211" s="235" t="str">
        <f t="shared" si="21"/>
        <v/>
      </c>
      <c r="O211" s="236" t="str">
        <f>IF('Data Set up'!$G$40="JUNE",IF(OR($N211=7,$N211=8,$N211=9),1,IF(OR($N211=10,$N211=11,$N211=12),2,IF(OR($N211=1,$N211=2,$N211=3),3,IF(OR($N211=4,$N211=5,$N211=6),4,"")))),IF(OR($N211=9,$N211=10,$N211=11),1,IF(OR($N211=12,$N211=1,$N211=2),2,IF(OR($N211=3,$N211=4,$N211=5),3,IF(OR($N211=6,$N211=7,$N211=8),4,"")))))</f>
        <v/>
      </c>
      <c r="P211" s="261"/>
      <c r="Q211" s="270"/>
      <c r="R211" s="295"/>
      <c r="S211" s="264">
        <f t="shared" si="22"/>
        <v>0</v>
      </c>
      <c r="T211" s="295"/>
      <c r="U211" s="295"/>
      <c r="V211" s="295"/>
      <c r="W211" s="295"/>
      <c r="X211" s="295"/>
      <c r="Y211" s="295"/>
      <c r="Z211" s="295"/>
      <c r="AA211" s="295"/>
      <c r="AB211" s="296"/>
      <c r="AC211" s="304"/>
      <c r="AD211" s="305"/>
      <c r="AE211" s="295"/>
      <c r="AF211" s="295"/>
      <c r="AG211" s="295"/>
      <c r="AH211" s="295"/>
      <c r="AI211" s="296"/>
      <c r="AJ211" s="296"/>
      <c r="AK211" s="295"/>
      <c r="AL211" s="310"/>
      <c r="AM211" s="270"/>
      <c r="AN211" s="295"/>
      <c r="AO211" s="295"/>
      <c r="AP211" s="295"/>
      <c r="AQ211" s="295"/>
      <c r="AR211" s="295"/>
      <c r="AS211" s="295"/>
      <c r="AT211" s="295"/>
      <c r="AU211" s="297"/>
      <c r="AV211" s="311"/>
      <c r="AW211" s="296"/>
      <c r="AX211" s="296"/>
      <c r="AY211" s="296"/>
      <c r="AZ211" s="296"/>
      <c r="BA211" s="296"/>
      <c r="BB211" s="296"/>
      <c r="BC211" s="296"/>
      <c r="BD211" s="297"/>
      <c r="BE211" s="270"/>
      <c r="BF211" s="295"/>
      <c r="BG211" s="298"/>
      <c r="BH211" s="299"/>
      <c r="BI211" s="295"/>
      <c r="BJ211" s="298"/>
      <c r="BK211" s="299"/>
      <c r="BL211" s="295"/>
      <c r="BM211" s="296"/>
      <c r="BN211" s="312"/>
      <c r="BO211" s="250">
        <f t="shared" si="23"/>
        <v>0</v>
      </c>
    </row>
    <row r="212" spans="1:67" ht="25.5" customHeight="1" x14ac:dyDescent="0.2">
      <c r="A212" s="142">
        <f t="shared" si="24"/>
        <v>197</v>
      </c>
      <c r="B212" s="251"/>
      <c r="C212" s="252"/>
      <c r="D212" s="253"/>
      <c r="E212" s="254"/>
      <c r="F212" s="278"/>
      <c r="G212" s="256"/>
      <c r="H212" s="257"/>
      <c r="I212" s="231" t="str">
        <f t="shared" si="19"/>
        <v/>
      </c>
      <c r="J212" s="258">
        <f t="shared" si="20"/>
        <v>0</v>
      </c>
      <c r="K212" s="259"/>
      <c r="L212" s="260"/>
      <c r="M212" s="260"/>
      <c r="N212" s="235" t="str">
        <f t="shared" si="21"/>
        <v/>
      </c>
      <c r="O212" s="236" t="str">
        <f>IF('Data Set up'!$G$40="JUNE",IF(OR($N212=7,$N212=8,$N212=9),1,IF(OR($N212=10,$N212=11,$N212=12),2,IF(OR($N212=1,$N212=2,$N212=3),3,IF(OR($N212=4,$N212=5,$N212=6),4,"")))),IF(OR($N212=9,$N212=10,$N212=11),1,IF(OR($N212=12,$N212=1,$N212=2),2,IF(OR($N212=3,$N212=4,$N212=5),3,IF(OR($N212=6,$N212=7,$N212=8),4,"")))))</f>
        <v/>
      </c>
      <c r="P212" s="261"/>
      <c r="Q212" s="270"/>
      <c r="R212" s="295"/>
      <c r="S212" s="264">
        <f t="shared" si="22"/>
        <v>0</v>
      </c>
      <c r="T212" s="295"/>
      <c r="U212" s="295"/>
      <c r="V212" s="295"/>
      <c r="W212" s="295"/>
      <c r="X212" s="295"/>
      <c r="Y212" s="295"/>
      <c r="Z212" s="295"/>
      <c r="AA212" s="295"/>
      <c r="AB212" s="296"/>
      <c r="AC212" s="304"/>
      <c r="AD212" s="305"/>
      <c r="AE212" s="295"/>
      <c r="AF212" s="295"/>
      <c r="AG212" s="295"/>
      <c r="AH212" s="295"/>
      <c r="AI212" s="296"/>
      <c r="AJ212" s="296"/>
      <c r="AK212" s="295"/>
      <c r="AL212" s="310"/>
      <c r="AM212" s="270"/>
      <c r="AN212" s="295"/>
      <c r="AO212" s="295"/>
      <c r="AP212" s="295"/>
      <c r="AQ212" s="295"/>
      <c r="AR212" s="295"/>
      <c r="AS212" s="295"/>
      <c r="AT212" s="295"/>
      <c r="AU212" s="297"/>
      <c r="AV212" s="311"/>
      <c r="AW212" s="296"/>
      <c r="AX212" s="296"/>
      <c r="AY212" s="296"/>
      <c r="AZ212" s="296"/>
      <c r="BA212" s="296"/>
      <c r="BB212" s="296"/>
      <c r="BC212" s="296"/>
      <c r="BD212" s="297"/>
      <c r="BE212" s="270"/>
      <c r="BF212" s="295"/>
      <c r="BG212" s="298"/>
      <c r="BH212" s="299"/>
      <c r="BI212" s="295"/>
      <c r="BJ212" s="298"/>
      <c r="BK212" s="299"/>
      <c r="BL212" s="295"/>
      <c r="BM212" s="296"/>
      <c r="BN212" s="312"/>
      <c r="BO212" s="250">
        <f t="shared" si="23"/>
        <v>0</v>
      </c>
    </row>
    <row r="213" spans="1:67" ht="25.5" customHeight="1" x14ac:dyDescent="0.2">
      <c r="A213" s="142">
        <f t="shared" si="24"/>
        <v>198</v>
      </c>
      <c r="B213" s="251"/>
      <c r="C213" s="252"/>
      <c r="D213" s="253"/>
      <c r="E213" s="254"/>
      <c r="F213" s="278"/>
      <c r="G213" s="256"/>
      <c r="H213" s="257"/>
      <c r="I213" s="231" t="str">
        <f t="shared" si="19"/>
        <v/>
      </c>
      <c r="J213" s="258">
        <f t="shared" si="20"/>
        <v>0</v>
      </c>
      <c r="K213" s="259"/>
      <c r="L213" s="260"/>
      <c r="M213" s="260"/>
      <c r="N213" s="235" t="str">
        <f t="shared" si="21"/>
        <v/>
      </c>
      <c r="O213" s="236" t="str">
        <f>IF('Data Set up'!$G$40="JUNE",IF(OR($N213=7,$N213=8,$N213=9),1,IF(OR($N213=10,$N213=11,$N213=12),2,IF(OR($N213=1,$N213=2,$N213=3),3,IF(OR($N213=4,$N213=5,$N213=6),4,"")))),IF(OR($N213=9,$N213=10,$N213=11),1,IF(OR($N213=12,$N213=1,$N213=2),2,IF(OR($N213=3,$N213=4,$N213=5),3,IF(OR($N213=6,$N213=7,$N213=8),4,"")))))</f>
        <v/>
      </c>
      <c r="P213" s="261"/>
      <c r="Q213" s="270"/>
      <c r="R213" s="295"/>
      <c r="S213" s="264">
        <f t="shared" si="22"/>
        <v>0</v>
      </c>
      <c r="T213" s="295"/>
      <c r="U213" s="295"/>
      <c r="V213" s="295"/>
      <c r="W213" s="295"/>
      <c r="X213" s="295"/>
      <c r="Y213" s="295"/>
      <c r="Z213" s="295"/>
      <c r="AA213" s="295"/>
      <c r="AB213" s="296"/>
      <c r="AC213" s="304"/>
      <c r="AD213" s="305"/>
      <c r="AE213" s="295"/>
      <c r="AF213" s="295"/>
      <c r="AG213" s="295"/>
      <c r="AH213" s="295"/>
      <c r="AI213" s="296"/>
      <c r="AJ213" s="296"/>
      <c r="AK213" s="295"/>
      <c r="AL213" s="310"/>
      <c r="AM213" s="270"/>
      <c r="AN213" s="295"/>
      <c r="AO213" s="295"/>
      <c r="AP213" s="295"/>
      <c r="AQ213" s="295"/>
      <c r="AR213" s="295"/>
      <c r="AS213" s="295"/>
      <c r="AT213" s="295"/>
      <c r="AU213" s="297"/>
      <c r="AV213" s="311"/>
      <c r="AW213" s="296"/>
      <c r="AX213" s="296"/>
      <c r="AY213" s="296"/>
      <c r="AZ213" s="296"/>
      <c r="BA213" s="296"/>
      <c r="BB213" s="296"/>
      <c r="BC213" s="296"/>
      <c r="BD213" s="297"/>
      <c r="BE213" s="270"/>
      <c r="BF213" s="295"/>
      <c r="BG213" s="298"/>
      <c r="BH213" s="299"/>
      <c r="BI213" s="295"/>
      <c r="BJ213" s="298"/>
      <c r="BK213" s="299"/>
      <c r="BL213" s="295"/>
      <c r="BM213" s="296"/>
      <c r="BN213" s="312"/>
      <c r="BO213" s="250">
        <f t="shared" si="23"/>
        <v>0</v>
      </c>
    </row>
    <row r="214" spans="1:67" ht="25.5" customHeight="1" x14ac:dyDescent="0.2">
      <c r="A214" s="142">
        <f t="shared" si="24"/>
        <v>199</v>
      </c>
      <c r="B214" s="251"/>
      <c r="C214" s="252"/>
      <c r="D214" s="253"/>
      <c r="E214" s="254"/>
      <c r="F214" s="278"/>
      <c r="G214" s="256"/>
      <c r="H214" s="257"/>
      <c r="I214" s="231" t="str">
        <f t="shared" si="19"/>
        <v/>
      </c>
      <c r="J214" s="258">
        <f t="shared" si="20"/>
        <v>0</v>
      </c>
      <c r="K214" s="259"/>
      <c r="L214" s="260"/>
      <c r="M214" s="260"/>
      <c r="N214" s="235" t="str">
        <f t="shared" si="21"/>
        <v/>
      </c>
      <c r="O214" s="236" t="str">
        <f>IF('Data Set up'!$G$40="JUNE",IF(OR($N214=7,$N214=8,$N214=9),1,IF(OR($N214=10,$N214=11,$N214=12),2,IF(OR($N214=1,$N214=2,$N214=3),3,IF(OR($N214=4,$N214=5,$N214=6),4,"")))),IF(OR($N214=9,$N214=10,$N214=11),1,IF(OR($N214=12,$N214=1,$N214=2),2,IF(OR($N214=3,$N214=4,$N214=5),3,IF(OR($N214=6,$N214=7,$N214=8),4,"")))))</f>
        <v/>
      </c>
      <c r="P214" s="261"/>
      <c r="Q214" s="270"/>
      <c r="R214" s="295"/>
      <c r="S214" s="264">
        <f t="shared" si="22"/>
        <v>0</v>
      </c>
      <c r="T214" s="295"/>
      <c r="U214" s="295"/>
      <c r="V214" s="295"/>
      <c r="W214" s="295"/>
      <c r="X214" s="295"/>
      <c r="Y214" s="295"/>
      <c r="Z214" s="295"/>
      <c r="AA214" s="295"/>
      <c r="AB214" s="296"/>
      <c r="AC214" s="304"/>
      <c r="AD214" s="305"/>
      <c r="AE214" s="295"/>
      <c r="AF214" s="295"/>
      <c r="AG214" s="295"/>
      <c r="AH214" s="295"/>
      <c r="AI214" s="296"/>
      <c r="AJ214" s="296"/>
      <c r="AK214" s="295"/>
      <c r="AL214" s="310"/>
      <c r="AM214" s="270"/>
      <c r="AN214" s="295"/>
      <c r="AO214" s="295"/>
      <c r="AP214" s="295"/>
      <c r="AQ214" s="295"/>
      <c r="AR214" s="295"/>
      <c r="AS214" s="295"/>
      <c r="AT214" s="295"/>
      <c r="AU214" s="297"/>
      <c r="AV214" s="311"/>
      <c r="AW214" s="296"/>
      <c r="AX214" s="296"/>
      <c r="AY214" s="296"/>
      <c r="AZ214" s="296"/>
      <c r="BA214" s="296"/>
      <c r="BB214" s="296"/>
      <c r="BC214" s="296"/>
      <c r="BD214" s="297"/>
      <c r="BE214" s="270"/>
      <c r="BF214" s="295"/>
      <c r="BG214" s="298"/>
      <c r="BH214" s="299"/>
      <c r="BI214" s="295"/>
      <c r="BJ214" s="298"/>
      <c r="BK214" s="299"/>
      <c r="BL214" s="295"/>
      <c r="BM214" s="296"/>
      <c r="BN214" s="312"/>
      <c r="BO214" s="250">
        <f t="shared" si="23"/>
        <v>0</v>
      </c>
    </row>
    <row r="215" spans="1:67" ht="25.5" customHeight="1" x14ac:dyDescent="0.2">
      <c r="A215" s="142">
        <f t="shared" si="24"/>
        <v>200</v>
      </c>
      <c r="B215" s="251"/>
      <c r="C215" s="252"/>
      <c r="D215" s="253"/>
      <c r="E215" s="254"/>
      <c r="F215" s="278"/>
      <c r="G215" s="256"/>
      <c r="H215" s="257"/>
      <c r="I215" s="231" t="str">
        <f t="shared" si="19"/>
        <v/>
      </c>
      <c r="J215" s="258">
        <f t="shared" si="20"/>
        <v>0</v>
      </c>
      <c r="K215" s="313"/>
      <c r="L215" s="300"/>
      <c r="M215" s="300"/>
      <c r="N215" s="235" t="str">
        <f t="shared" si="21"/>
        <v/>
      </c>
      <c r="O215" s="236" t="str">
        <f>IF('Data Set up'!$G$40="JUNE",IF(OR($N215=7,$N215=8,$N215=9),1,IF(OR($N215=10,$N215=11,$N215=12),2,IF(OR($N215=1,$N215=2,$N215=3),3,IF(OR($N215=4,$N215=5,$N215=6),4,"")))),IF(OR($N215=9,$N215=10,$N215=11),1,IF(OR($N215=12,$N215=1,$N215=2),2,IF(OR($N215=3,$N215=4,$N215=5),3,IF(OR($N215=6,$N215=7,$N215=8),4,"")))))</f>
        <v/>
      </c>
      <c r="P215" s="261"/>
      <c r="Q215" s="305"/>
      <c r="R215" s="302"/>
      <c r="S215" s="264">
        <f t="shared" si="22"/>
        <v>0</v>
      </c>
      <c r="T215" s="302"/>
      <c r="U215" s="302"/>
      <c r="V215" s="302"/>
      <c r="W215" s="302"/>
      <c r="X215" s="302"/>
      <c r="Y215" s="302"/>
      <c r="Z215" s="302"/>
      <c r="AA215" s="302"/>
      <c r="AB215" s="303"/>
      <c r="AC215" s="304"/>
      <c r="AD215" s="305"/>
      <c r="AE215" s="302"/>
      <c r="AF215" s="302"/>
      <c r="AG215" s="302"/>
      <c r="AH215" s="302"/>
      <c r="AI215" s="303"/>
      <c r="AJ215" s="303"/>
      <c r="AK215" s="302"/>
      <c r="AL215" s="314"/>
      <c r="AM215" s="305"/>
      <c r="AN215" s="302"/>
      <c r="AO215" s="302"/>
      <c r="AP215" s="302"/>
      <c r="AQ215" s="302"/>
      <c r="AR215" s="302"/>
      <c r="AS215" s="302"/>
      <c r="AT215" s="302"/>
      <c r="AU215" s="304"/>
      <c r="AV215" s="306"/>
      <c r="AW215" s="303"/>
      <c r="AX215" s="303"/>
      <c r="AY215" s="303"/>
      <c r="AZ215" s="303"/>
      <c r="BA215" s="303"/>
      <c r="BB215" s="303"/>
      <c r="BC215" s="303"/>
      <c r="BD215" s="304"/>
      <c r="BE215" s="305"/>
      <c r="BF215" s="302"/>
      <c r="BG215" s="307"/>
      <c r="BH215" s="308"/>
      <c r="BI215" s="302"/>
      <c r="BJ215" s="307"/>
      <c r="BK215" s="308"/>
      <c r="BL215" s="302"/>
      <c r="BM215" s="303"/>
      <c r="BN215" s="315"/>
      <c r="BO215" s="250">
        <f t="shared" si="23"/>
        <v>0</v>
      </c>
    </row>
    <row r="216" spans="1:67" ht="25.5" customHeight="1" x14ac:dyDescent="0.2">
      <c r="A216" s="142">
        <f t="shared" si="24"/>
        <v>201</v>
      </c>
      <c r="B216" s="251"/>
      <c r="C216" s="252"/>
      <c r="D216" s="253"/>
      <c r="E216" s="254"/>
      <c r="F216" s="278"/>
      <c r="G216" s="256"/>
      <c r="H216" s="257"/>
      <c r="I216" s="231" t="str">
        <f t="shared" si="19"/>
        <v/>
      </c>
      <c r="J216" s="258">
        <f t="shared" si="20"/>
        <v>0</v>
      </c>
      <c r="K216" s="313"/>
      <c r="L216" s="300"/>
      <c r="M216" s="300"/>
      <c r="N216" s="235" t="str">
        <f t="shared" si="21"/>
        <v/>
      </c>
      <c r="O216" s="236" t="str">
        <f>IF('Data Set up'!$G$40="JUNE",IF(OR($N216=7,$N216=8,$N216=9),1,IF(OR($N216=10,$N216=11,$N216=12),2,IF(OR($N216=1,$N216=2,$N216=3),3,IF(OR($N216=4,$N216=5,$N216=6),4,"")))),IF(OR($N216=9,$N216=10,$N216=11),1,IF(OR($N216=12,$N216=1,$N216=2),2,IF(OR($N216=3,$N216=4,$N216=5),3,IF(OR($N216=6,$N216=7,$N216=8),4,"")))))</f>
        <v/>
      </c>
      <c r="P216" s="261"/>
      <c r="Q216" s="305"/>
      <c r="R216" s="302"/>
      <c r="S216" s="264">
        <f t="shared" si="22"/>
        <v>0</v>
      </c>
      <c r="T216" s="302"/>
      <c r="U216" s="302"/>
      <c r="V216" s="302"/>
      <c r="W216" s="302"/>
      <c r="X216" s="302"/>
      <c r="Y216" s="302"/>
      <c r="Z216" s="302"/>
      <c r="AA216" s="302"/>
      <c r="AB216" s="303"/>
      <c r="AC216" s="304"/>
      <c r="AD216" s="305"/>
      <c r="AE216" s="302"/>
      <c r="AF216" s="302"/>
      <c r="AG216" s="302"/>
      <c r="AH216" s="302"/>
      <c r="AI216" s="303"/>
      <c r="AJ216" s="303"/>
      <c r="AK216" s="302"/>
      <c r="AL216" s="314"/>
      <c r="AM216" s="305"/>
      <c r="AN216" s="302"/>
      <c r="AO216" s="302"/>
      <c r="AP216" s="302"/>
      <c r="AQ216" s="302"/>
      <c r="AR216" s="302"/>
      <c r="AS216" s="302"/>
      <c r="AT216" s="302"/>
      <c r="AU216" s="304"/>
      <c r="AV216" s="306"/>
      <c r="AW216" s="303"/>
      <c r="AX216" s="303"/>
      <c r="AY216" s="303"/>
      <c r="AZ216" s="303"/>
      <c r="BA216" s="303"/>
      <c r="BB216" s="303"/>
      <c r="BC216" s="303"/>
      <c r="BD216" s="304"/>
      <c r="BE216" s="305"/>
      <c r="BF216" s="302"/>
      <c r="BG216" s="307"/>
      <c r="BH216" s="308"/>
      <c r="BI216" s="302"/>
      <c r="BJ216" s="307"/>
      <c r="BK216" s="308"/>
      <c r="BL216" s="302"/>
      <c r="BM216" s="303"/>
      <c r="BN216" s="315"/>
      <c r="BO216" s="250">
        <f t="shared" si="23"/>
        <v>0</v>
      </c>
    </row>
    <row r="217" spans="1:67" ht="25.5" customHeight="1" x14ac:dyDescent="0.2">
      <c r="A217" s="142">
        <f t="shared" si="24"/>
        <v>202</v>
      </c>
      <c r="B217" s="251"/>
      <c r="C217" s="252"/>
      <c r="D217" s="253"/>
      <c r="E217" s="254"/>
      <c r="F217" s="278"/>
      <c r="G217" s="256"/>
      <c r="H217" s="257"/>
      <c r="I217" s="231" t="str">
        <f t="shared" si="19"/>
        <v/>
      </c>
      <c r="J217" s="258">
        <f t="shared" si="20"/>
        <v>0</v>
      </c>
      <c r="K217" s="313"/>
      <c r="L217" s="300"/>
      <c r="M217" s="300"/>
      <c r="N217" s="235" t="str">
        <f t="shared" si="21"/>
        <v/>
      </c>
      <c r="O217" s="236" t="str">
        <f>IF('Data Set up'!$G$40="JUNE",IF(OR($N217=7,$N217=8,$N217=9),1,IF(OR($N217=10,$N217=11,$N217=12),2,IF(OR($N217=1,$N217=2,$N217=3),3,IF(OR($N217=4,$N217=5,$N217=6),4,"")))),IF(OR($N217=9,$N217=10,$N217=11),1,IF(OR($N217=12,$N217=1,$N217=2),2,IF(OR($N217=3,$N217=4,$N217=5),3,IF(OR($N217=6,$N217=7,$N217=8),4,"")))))</f>
        <v/>
      </c>
      <c r="P217" s="261"/>
      <c r="Q217" s="305"/>
      <c r="R217" s="302"/>
      <c r="S217" s="264">
        <f t="shared" si="22"/>
        <v>0</v>
      </c>
      <c r="T217" s="302"/>
      <c r="U217" s="302"/>
      <c r="V217" s="302"/>
      <c r="W217" s="302"/>
      <c r="X217" s="302"/>
      <c r="Y217" s="302"/>
      <c r="Z217" s="302"/>
      <c r="AA217" s="302"/>
      <c r="AB217" s="303"/>
      <c r="AC217" s="304"/>
      <c r="AD217" s="305"/>
      <c r="AE217" s="302"/>
      <c r="AF217" s="302"/>
      <c r="AG217" s="302"/>
      <c r="AH217" s="302"/>
      <c r="AI217" s="303"/>
      <c r="AJ217" s="303"/>
      <c r="AK217" s="302"/>
      <c r="AL217" s="314"/>
      <c r="AM217" s="305"/>
      <c r="AN217" s="302"/>
      <c r="AO217" s="302"/>
      <c r="AP217" s="302"/>
      <c r="AQ217" s="302"/>
      <c r="AR217" s="302"/>
      <c r="AS217" s="302"/>
      <c r="AT217" s="302"/>
      <c r="AU217" s="304"/>
      <c r="AV217" s="306"/>
      <c r="AW217" s="303"/>
      <c r="AX217" s="303"/>
      <c r="AY217" s="303"/>
      <c r="AZ217" s="303"/>
      <c r="BA217" s="303"/>
      <c r="BB217" s="303"/>
      <c r="BC217" s="303"/>
      <c r="BD217" s="304"/>
      <c r="BE217" s="305"/>
      <c r="BF217" s="302"/>
      <c r="BG217" s="307"/>
      <c r="BH217" s="308"/>
      <c r="BI217" s="302"/>
      <c r="BJ217" s="307"/>
      <c r="BK217" s="308"/>
      <c r="BL217" s="302"/>
      <c r="BM217" s="303"/>
      <c r="BN217" s="315"/>
      <c r="BO217" s="250">
        <f t="shared" si="23"/>
        <v>0</v>
      </c>
    </row>
    <row r="218" spans="1:67" ht="25.5" customHeight="1" x14ac:dyDescent="0.2">
      <c r="A218" s="142">
        <f t="shared" si="24"/>
        <v>203</v>
      </c>
      <c r="B218" s="251"/>
      <c r="C218" s="252"/>
      <c r="D218" s="253"/>
      <c r="E218" s="254"/>
      <c r="F218" s="278"/>
      <c r="G218" s="256"/>
      <c r="H218" s="257"/>
      <c r="I218" s="231" t="str">
        <f t="shared" si="19"/>
        <v/>
      </c>
      <c r="J218" s="258">
        <f t="shared" si="20"/>
        <v>0</v>
      </c>
      <c r="K218" s="313"/>
      <c r="L218" s="300"/>
      <c r="M218" s="300"/>
      <c r="N218" s="235" t="str">
        <f t="shared" si="21"/>
        <v/>
      </c>
      <c r="O218" s="236" t="str">
        <f>IF('Data Set up'!$G$40="JUNE",IF(OR($N218=7,$N218=8,$N218=9),1,IF(OR($N218=10,$N218=11,$N218=12),2,IF(OR($N218=1,$N218=2,$N218=3),3,IF(OR($N218=4,$N218=5,$N218=6),4,"")))),IF(OR($N218=9,$N218=10,$N218=11),1,IF(OR($N218=12,$N218=1,$N218=2),2,IF(OR($N218=3,$N218=4,$N218=5),3,IF(OR($N218=6,$N218=7,$N218=8),4,"")))))</f>
        <v/>
      </c>
      <c r="P218" s="261"/>
      <c r="Q218" s="305"/>
      <c r="R218" s="302"/>
      <c r="S218" s="264">
        <f t="shared" si="22"/>
        <v>0</v>
      </c>
      <c r="T218" s="302"/>
      <c r="U218" s="302"/>
      <c r="V218" s="302"/>
      <c r="W218" s="302"/>
      <c r="X218" s="302"/>
      <c r="Y218" s="302"/>
      <c r="Z218" s="302"/>
      <c r="AA218" s="302"/>
      <c r="AB218" s="303"/>
      <c r="AC218" s="304"/>
      <c r="AD218" s="305"/>
      <c r="AE218" s="302"/>
      <c r="AF218" s="302"/>
      <c r="AG218" s="302"/>
      <c r="AH218" s="302"/>
      <c r="AI218" s="303"/>
      <c r="AJ218" s="303"/>
      <c r="AK218" s="302"/>
      <c r="AL218" s="314"/>
      <c r="AM218" s="305"/>
      <c r="AN218" s="302"/>
      <c r="AO218" s="302"/>
      <c r="AP218" s="302"/>
      <c r="AQ218" s="302"/>
      <c r="AR218" s="302"/>
      <c r="AS218" s="302"/>
      <c r="AT218" s="302"/>
      <c r="AU218" s="304"/>
      <c r="AV218" s="306"/>
      <c r="AW218" s="303"/>
      <c r="AX218" s="303"/>
      <c r="AY218" s="303"/>
      <c r="AZ218" s="303"/>
      <c r="BA218" s="303"/>
      <c r="BB218" s="303"/>
      <c r="BC218" s="303"/>
      <c r="BD218" s="304"/>
      <c r="BE218" s="305"/>
      <c r="BF218" s="302"/>
      <c r="BG218" s="307"/>
      <c r="BH218" s="308"/>
      <c r="BI218" s="302"/>
      <c r="BJ218" s="307"/>
      <c r="BK218" s="308"/>
      <c r="BL218" s="302"/>
      <c r="BM218" s="303"/>
      <c r="BN218" s="315"/>
      <c r="BO218" s="250">
        <f t="shared" si="23"/>
        <v>0</v>
      </c>
    </row>
    <row r="219" spans="1:67" ht="25.5" customHeight="1" x14ac:dyDescent="0.2">
      <c r="A219" s="142">
        <f t="shared" si="24"/>
        <v>204</v>
      </c>
      <c r="B219" s="251"/>
      <c r="C219" s="252"/>
      <c r="D219" s="253"/>
      <c r="E219" s="254"/>
      <c r="F219" s="278"/>
      <c r="G219" s="256"/>
      <c r="H219" s="257"/>
      <c r="I219" s="231" t="str">
        <f t="shared" si="19"/>
        <v/>
      </c>
      <c r="J219" s="258">
        <f t="shared" si="20"/>
        <v>0</v>
      </c>
      <c r="K219" s="313"/>
      <c r="L219" s="300"/>
      <c r="M219" s="300"/>
      <c r="N219" s="235" t="str">
        <f t="shared" si="21"/>
        <v/>
      </c>
      <c r="O219" s="236" t="str">
        <f>IF('Data Set up'!$G$40="JUNE",IF(OR($N219=7,$N219=8,$N219=9),1,IF(OR($N219=10,$N219=11,$N219=12),2,IF(OR($N219=1,$N219=2,$N219=3),3,IF(OR($N219=4,$N219=5,$N219=6),4,"")))),IF(OR($N219=9,$N219=10,$N219=11),1,IF(OR($N219=12,$N219=1,$N219=2),2,IF(OR($N219=3,$N219=4,$N219=5),3,IF(OR($N219=6,$N219=7,$N219=8),4,"")))))</f>
        <v/>
      </c>
      <c r="P219" s="261"/>
      <c r="Q219" s="305"/>
      <c r="R219" s="302"/>
      <c r="S219" s="264">
        <f t="shared" si="22"/>
        <v>0</v>
      </c>
      <c r="T219" s="302"/>
      <c r="U219" s="302"/>
      <c r="V219" s="302"/>
      <c r="W219" s="302"/>
      <c r="X219" s="302"/>
      <c r="Y219" s="302"/>
      <c r="Z219" s="302"/>
      <c r="AA219" s="302"/>
      <c r="AB219" s="303"/>
      <c r="AC219" s="304"/>
      <c r="AD219" s="305"/>
      <c r="AE219" s="302"/>
      <c r="AF219" s="302"/>
      <c r="AG219" s="302"/>
      <c r="AH219" s="302"/>
      <c r="AI219" s="303"/>
      <c r="AJ219" s="303"/>
      <c r="AK219" s="302"/>
      <c r="AL219" s="314"/>
      <c r="AM219" s="305"/>
      <c r="AN219" s="302"/>
      <c r="AO219" s="302"/>
      <c r="AP219" s="302"/>
      <c r="AQ219" s="302"/>
      <c r="AR219" s="302"/>
      <c r="AS219" s="302"/>
      <c r="AT219" s="302"/>
      <c r="AU219" s="304"/>
      <c r="AV219" s="306"/>
      <c r="AW219" s="303"/>
      <c r="AX219" s="303"/>
      <c r="AY219" s="303"/>
      <c r="AZ219" s="303"/>
      <c r="BA219" s="303"/>
      <c r="BB219" s="303"/>
      <c r="BC219" s="303"/>
      <c r="BD219" s="304"/>
      <c r="BE219" s="305"/>
      <c r="BF219" s="302"/>
      <c r="BG219" s="307"/>
      <c r="BH219" s="308"/>
      <c r="BI219" s="302"/>
      <c r="BJ219" s="307"/>
      <c r="BK219" s="308"/>
      <c r="BL219" s="302"/>
      <c r="BM219" s="303"/>
      <c r="BN219" s="315"/>
      <c r="BO219" s="250">
        <f t="shared" si="23"/>
        <v>0</v>
      </c>
    </row>
    <row r="220" spans="1:67" ht="25.5" customHeight="1" x14ac:dyDescent="0.2">
      <c r="A220" s="142">
        <f t="shared" si="24"/>
        <v>205</v>
      </c>
      <c r="B220" s="251"/>
      <c r="C220" s="252"/>
      <c r="D220" s="253"/>
      <c r="E220" s="254"/>
      <c r="F220" s="278"/>
      <c r="G220" s="256"/>
      <c r="H220" s="257"/>
      <c r="I220" s="231" t="str">
        <f t="shared" si="19"/>
        <v/>
      </c>
      <c r="J220" s="258">
        <f t="shared" si="20"/>
        <v>0</v>
      </c>
      <c r="K220" s="313"/>
      <c r="L220" s="300"/>
      <c r="M220" s="300"/>
      <c r="N220" s="235" t="str">
        <f t="shared" si="21"/>
        <v/>
      </c>
      <c r="O220" s="236" t="str">
        <f>IF('Data Set up'!$G$40="JUNE",IF(OR($N220=7,$N220=8,$N220=9),1,IF(OR($N220=10,$N220=11,$N220=12),2,IF(OR($N220=1,$N220=2,$N220=3),3,IF(OR($N220=4,$N220=5,$N220=6),4,"")))),IF(OR($N220=9,$N220=10,$N220=11),1,IF(OR($N220=12,$N220=1,$N220=2),2,IF(OR($N220=3,$N220=4,$N220=5),3,IF(OR($N220=6,$N220=7,$N220=8),4,"")))))</f>
        <v/>
      </c>
      <c r="P220" s="261"/>
      <c r="Q220" s="305"/>
      <c r="R220" s="302"/>
      <c r="S220" s="264">
        <f t="shared" si="22"/>
        <v>0</v>
      </c>
      <c r="T220" s="302"/>
      <c r="U220" s="302"/>
      <c r="V220" s="302"/>
      <c r="W220" s="302"/>
      <c r="X220" s="302"/>
      <c r="Y220" s="302"/>
      <c r="Z220" s="302"/>
      <c r="AA220" s="302"/>
      <c r="AB220" s="303"/>
      <c r="AC220" s="304"/>
      <c r="AD220" s="305"/>
      <c r="AE220" s="302"/>
      <c r="AF220" s="302"/>
      <c r="AG220" s="302"/>
      <c r="AH220" s="302"/>
      <c r="AI220" s="303"/>
      <c r="AJ220" s="303"/>
      <c r="AK220" s="302"/>
      <c r="AL220" s="314"/>
      <c r="AM220" s="305"/>
      <c r="AN220" s="302"/>
      <c r="AO220" s="302"/>
      <c r="AP220" s="302"/>
      <c r="AQ220" s="302"/>
      <c r="AR220" s="302"/>
      <c r="AS220" s="302"/>
      <c r="AT220" s="302"/>
      <c r="AU220" s="304"/>
      <c r="AV220" s="306"/>
      <c r="AW220" s="303"/>
      <c r="AX220" s="303"/>
      <c r="AY220" s="303"/>
      <c r="AZ220" s="303"/>
      <c r="BA220" s="303"/>
      <c r="BB220" s="303"/>
      <c r="BC220" s="303"/>
      <c r="BD220" s="304"/>
      <c r="BE220" s="305"/>
      <c r="BF220" s="302"/>
      <c r="BG220" s="307"/>
      <c r="BH220" s="308"/>
      <c r="BI220" s="302"/>
      <c r="BJ220" s="307"/>
      <c r="BK220" s="308"/>
      <c r="BL220" s="302"/>
      <c r="BM220" s="303"/>
      <c r="BN220" s="315"/>
      <c r="BO220" s="250">
        <f t="shared" si="23"/>
        <v>0</v>
      </c>
    </row>
    <row r="221" spans="1:67" ht="25.5" customHeight="1" x14ac:dyDescent="0.2">
      <c r="A221" s="142">
        <f t="shared" si="24"/>
        <v>206</v>
      </c>
      <c r="B221" s="251"/>
      <c r="C221" s="252"/>
      <c r="D221" s="253"/>
      <c r="E221" s="254"/>
      <c r="F221" s="278"/>
      <c r="G221" s="256"/>
      <c r="H221" s="257"/>
      <c r="I221" s="231" t="str">
        <f t="shared" si="19"/>
        <v/>
      </c>
      <c r="J221" s="258">
        <f t="shared" si="20"/>
        <v>0</v>
      </c>
      <c r="K221" s="313"/>
      <c r="L221" s="300"/>
      <c r="M221" s="300"/>
      <c r="N221" s="235" t="str">
        <f t="shared" si="21"/>
        <v/>
      </c>
      <c r="O221" s="236" t="str">
        <f>IF('Data Set up'!$G$40="JUNE",IF(OR($N221=7,$N221=8,$N221=9),1,IF(OR($N221=10,$N221=11,$N221=12),2,IF(OR($N221=1,$N221=2,$N221=3),3,IF(OR($N221=4,$N221=5,$N221=6),4,"")))),IF(OR($N221=9,$N221=10,$N221=11),1,IF(OR($N221=12,$N221=1,$N221=2),2,IF(OR($N221=3,$N221=4,$N221=5),3,IF(OR($N221=6,$N221=7,$N221=8),4,"")))))</f>
        <v/>
      </c>
      <c r="P221" s="261"/>
      <c r="Q221" s="305"/>
      <c r="R221" s="302"/>
      <c r="S221" s="264">
        <f t="shared" si="22"/>
        <v>0</v>
      </c>
      <c r="T221" s="302"/>
      <c r="U221" s="302"/>
      <c r="V221" s="302"/>
      <c r="W221" s="302"/>
      <c r="X221" s="302"/>
      <c r="Y221" s="302"/>
      <c r="Z221" s="302"/>
      <c r="AA221" s="302"/>
      <c r="AB221" s="303"/>
      <c r="AC221" s="304"/>
      <c r="AD221" s="305"/>
      <c r="AE221" s="302"/>
      <c r="AF221" s="302"/>
      <c r="AG221" s="302"/>
      <c r="AH221" s="302"/>
      <c r="AI221" s="303"/>
      <c r="AJ221" s="303"/>
      <c r="AK221" s="302"/>
      <c r="AL221" s="314"/>
      <c r="AM221" s="305"/>
      <c r="AN221" s="302"/>
      <c r="AO221" s="302"/>
      <c r="AP221" s="302"/>
      <c r="AQ221" s="302"/>
      <c r="AR221" s="302"/>
      <c r="AS221" s="302"/>
      <c r="AT221" s="302"/>
      <c r="AU221" s="304"/>
      <c r="AV221" s="306"/>
      <c r="AW221" s="303"/>
      <c r="AX221" s="303"/>
      <c r="AY221" s="303"/>
      <c r="AZ221" s="303"/>
      <c r="BA221" s="303"/>
      <c r="BB221" s="303"/>
      <c r="BC221" s="303"/>
      <c r="BD221" s="304"/>
      <c r="BE221" s="305"/>
      <c r="BF221" s="302"/>
      <c r="BG221" s="307"/>
      <c r="BH221" s="308"/>
      <c r="BI221" s="302"/>
      <c r="BJ221" s="307"/>
      <c r="BK221" s="308"/>
      <c r="BL221" s="302"/>
      <c r="BM221" s="303"/>
      <c r="BN221" s="315"/>
      <c r="BO221" s="250">
        <f t="shared" si="23"/>
        <v>0</v>
      </c>
    </row>
    <row r="222" spans="1:67" ht="25.5" customHeight="1" x14ac:dyDescent="0.2">
      <c r="A222" s="142">
        <f t="shared" si="24"/>
        <v>207</v>
      </c>
      <c r="B222" s="251"/>
      <c r="C222" s="252"/>
      <c r="D222" s="253"/>
      <c r="E222" s="254"/>
      <c r="F222" s="278"/>
      <c r="G222" s="256"/>
      <c r="H222" s="257"/>
      <c r="I222" s="231" t="str">
        <f t="shared" si="19"/>
        <v/>
      </c>
      <c r="J222" s="258">
        <f t="shared" si="20"/>
        <v>0</v>
      </c>
      <c r="K222" s="313"/>
      <c r="L222" s="300"/>
      <c r="M222" s="300"/>
      <c r="N222" s="235" t="str">
        <f t="shared" si="21"/>
        <v/>
      </c>
      <c r="O222" s="236" t="str">
        <f>IF('Data Set up'!$G$40="JUNE",IF(OR($N222=7,$N222=8,$N222=9),1,IF(OR($N222=10,$N222=11,$N222=12),2,IF(OR($N222=1,$N222=2,$N222=3),3,IF(OR($N222=4,$N222=5,$N222=6),4,"")))),IF(OR($N222=9,$N222=10,$N222=11),1,IF(OR($N222=12,$N222=1,$N222=2),2,IF(OR($N222=3,$N222=4,$N222=5),3,IF(OR($N222=6,$N222=7,$N222=8),4,"")))))</f>
        <v/>
      </c>
      <c r="P222" s="261"/>
      <c r="Q222" s="305"/>
      <c r="R222" s="302"/>
      <c r="S222" s="264">
        <f t="shared" si="22"/>
        <v>0</v>
      </c>
      <c r="T222" s="302"/>
      <c r="U222" s="302"/>
      <c r="V222" s="302"/>
      <c r="W222" s="302"/>
      <c r="X222" s="302"/>
      <c r="Y222" s="302"/>
      <c r="Z222" s="302"/>
      <c r="AA222" s="302"/>
      <c r="AB222" s="303"/>
      <c r="AC222" s="304"/>
      <c r="AD222" s="305"/>
      <c r="AE222" s="302"/>
      <c r="AF222" s="302"/>
      <c r="AG222" s="302"/>
      <c r="AH222" s="302"/>
      <c r="AI222" s="303"/>
      <c r="AJ222" s="303"/>
      <c r="AK222" s="302"/>
      <c r="AL222" s="314"/>
      <c r="AM222" s="305"/>
      <c r="AN222" s="302"/>
      <c r="AO222" s="302"/>
      <c r="AP222" s="302"/>
      <c r="AQ222" s="302"/>
      <c r="AR222" s="302"/>
      <c r="AS222" s="302"/>
      <c r="AT222" s="302"/>
      <c r="AU222" s="304"/>
      <c r="AV222" s="306"/>
      <c r="AW222" s="303"/>
      <c r="AX222" s="303"/>
      <c r="AY222" s="303"/>
      <c r="AZ222" s="303"/>
      <c r="BA222" s="303"/>
      <c r="BB222" s="303"/>
      <c r="BC222" s="303"/>
      <c r="BD222" s="304"/>
      <c r="BE222" s="305"/>
      <c r="BF222" s="302"/>
      <c r="BG222" s="307"/>
      <c r="BH222" s="308"/>
      <c r="BI222" s="302"/>
      <c r="BJ222" s="307"/>
      <c r="BK222" s="308"/>
      <c r="BL222" s="302"/>
      <c r="BM222" s="303"/>
      <c r="BN222" s="315"/>
      <c r="BO222" s="250">
        <f t="shared" si="23"/>
        <v>0</v>
      </c>
    </row>
    <row r="223" spans="1:67" ht="25.5" customHeight="1" x14ac:dyDescent="0.2">
      <c r="A223" s="142">
        <f t="shared" si="24"/>
        <v>208</v>
      </c>
      <c r="B223" s="251"/>
      <c r="C223" s="252"/>
      <c r="D223" s="253"/>
      <c r="E223" s="254"/>
      <c r="F223" s="278"/>
      <c r="G223" s="256"/>
      <c r="H223" s="257"/>
      <c r="I223" s="231" t="str">
        <f t="shared" si="19"/>
        <v/>
      </c>
      <c r="J223" s="258">
        <f t="shared" si="20"/>
        <v>0</v>
      </c>
      <c r="K223" s="313"/>
      <c r="L223" s="300"/>
      <c r="M223" s="300"/>
      <c r="N223" s="235" t="str">
        <f t="shared" si="21"/>
        <v/>
      </c>
      <c r="O223" s="236" t="str">
        <f>IF('Data Set up'!$G$40="JUNE",IF(OR($N223=7,$N223=8,$N223=9),1,IF(OR($N223=10,$N223=11,$N223=12),2,IF(OR($N223=1,$N223=2,$N223=3),3,IF(OR($N223=4,$N223=5,$N223=6),4,"")))),IF(OR($N223=9,$N223=10,$N223=11),1,IF(OR($N223=12,$N223=1,$N223=2),2,IF(OR($N223=3,$N223=4,$N223=5),3,IF(OR($N223=6,$N223=7,$N223=8),4,"")))))</f>
        <v/>
      </c>
      <c r="P223" s="261"/>
      <c r="Q223" s="305"/>
      <c r="R223" s="302"/>
      <c r="S223" s="264">
        <f t="shared" si="22"/>
        <v>0</v>
      </c>
      <c r="T223" s="302"/>
      <c r="U223" s="302"/>
      <c r="V223" s="302"/>
      <c r="W223" s="302"/>
      <c r="X223" s="302"/>
      <c r="Y223" s="302"/>
      <c r="Z223" s="302"/>
      <c r="AA223" s="302"/>
      <c r="AB223" s="303"/>
      <c r="AC223" s="304"/>
      <c r="AD223" s="305"/>
      <c r="AE223" s="302"/>
      <c r="AF223" s="302"/>
      <c r="AG223" s="302"/>
      <c r="AH223" s="302"/>
      <c r="AI223" s="303"/>
      <c r="AJ223" s="303"/>
      <c r="AK223" s="302"/>
      <c r="AL223" s="314"/>
      <c r="AM223" s="305"/>
      <c r="AN223" s="302"/>
      <c r="AO223" s="302"/>
      <c r="AP223" s="302"/>
      <c r="AQ223" s="302"/>
      <c r="AR223" s="302"/>
      <c r="AS223" s="302"/>
      <c r="AT223" s="302"/>
      <c r="AU223" s="304"/>
      <c r="AV223" s="306"/>
      <c r="AW223" s="303"/>
      <c r="AX223" s="303"/>
      <c r="AY223" s="303"/>
      <c r="AZ223" s="303"/>
      <c r="BA223" s="303"/>
      <c r="BB223" s="303"/>
      <c r="BC223" s="303"/>
      <c r="BD223" s="304"/>
      <c r="BE223" s="305"/>
      <c r="BF223" s="302"/>
      <c r="BG223" s="307"/>
      <c r="BH223" s="308"/>
      <c r="BI223" s="302"/>
      <c r="BJ223" s="307"/>
      <c r="BK223" s="308"/>
      <c r="BL223" s="302"/>
      <c r="BM223" s="303"/>
      <c r="BN223" s="315"/>
      <c r="BO223" s="250">
        <f t="shared" si="23"/>
        <v>0</v>
      </c>
    </row>
    <row r="224" spans="1:67" ht="25.5" customHeight="1" x14ac:dyDescent="0.2">
      <c r="A224" s="142">
        <f t="shared" si="24"/>
        <v>209</v>
      </c>
      <c r="B224" s="251"/>
      <c r="C224" s="252"/>
      <c r="D224" s="253"/>
      <c r="E224" s="254"/>
      <c r="F224" s="278"/>
      <c r="G224" s="256"/>
      <c r="H224" s="257"/>
      <c r="I224" s="231" t="str">
        <f t="shared" si="19"/>
        <v/>
      </c>
      <c r="J224" s="258">
        <f t="shared" si="20"/>
        <v>0</v>
      </c>
      <c r="K224" s="313"/>
      <c r="L224" s="300"/>
      <c r="M224" s="300"/>
      <c r="N224" s="235" t="str">
        <f t="shared" si="21"/>
        <v/>
      </c>
      <c r="O224" s="236" t="str">
        <f>IF('Data Set up'!$G$40="JUNE",IF(OR($N224=7,$N224=8,$N224=9),1,IF(OR($N224=10,$N224=11,$N224=12),2,IF(OR($N224=1,$N224=2,$N224=3),3,IF(OR($N224=4,$N224=5,$N224=6),4,"")))),IF(OR($N224=9,$N224=10,$N224=11),1,IF(OR($N224=12,$N224=1,$N224=2),2,IF(OR($N224=3,$N224=4,$N224=5),3,IF(OR($N224=6,$N224=7,$N224=8),4,"")))))</f>
        <v/>
      </c>
      <c r="P224" s="261"/>
      <c r="Q224" s="305"/>
      <c r="R224" s="302"/>
      <c r="S224" s="264">
        <f t="shared" si="22"/>
        <v>0</v>
      </c>
      <c r="T224" s="302"/>
      <c r="U224" s="302"/>
      <c r="V224" s="302"/>
      <c r="W224" s="302"/>
      <c r="X224" s="302"/>
      <c r="Y224" s="302"/>
      <c r="Z224" s="302"/>
      <c r="AA224" s="302"/>
      <c r="AB224" s="303"/>
      <c r="AC224" s="304"/>
      <c r="AD224" s="305"/>
      <c r="AE224" s="302"/>
      <c r="AF224" s="302"/>
      <c r="AG224" s="302"/>
      <c r="AH224" s="302"/>
      <c r="AI224" s="303"/>
      <c r="AJ224" s="303"/>
      <c r="AK224" s="302"/>
      <c r="AL224" s="314"/>
      <c r="AM224" s="305"/>
      <c r="AN224" s="302"/>
      <c r="AO224" s="302"/>
      <c r="AP224" s="302"/>
      <c r="AQ224" s="302"/>
      <c r="AR224" s="302"/>
      <c r="AS224" s="302"/>
      <c r="AT224" s="302"/>
      <c r="AU224" s="304"/>
      <c r="AV224" s="306"/>
      <c r="AW224" s="303"/>
      <c r="AX224" s="303"/>
      <c r="AY224" s="303"/>
      <c r="AZ224" s="303"/>
      <c r="BA224" s="303"/>
      <c r="BB224" s="303"/>
      <c r="BC224" s="303"/>
      <c r="BD224" s="304"/>
      <c r="BE224" s="305"/>
      <c r="BF224" s="302"/>
      <c r="BG224" s="307"/>
      <c r="BH224" s="308"/>
      <c r="BI224" s="302"/>
      <c r="BJ224" s="307"/>
      <c r="BK224" s="308"/>
      <c r="BL224" s="302"/>
      <c r="BM224" s="303"/>
      <c r="BN224" s="315"/>
      <c r="BO224" s="250">
        <f t="shared" si="23"/>
        <v>0</v>
      </c>
    </row>
    <row r="225" spans="1:67" ht="25.5" customHeight="1" x14ac:dyDescent="0.2">
      <c r="A225" s="142">
        <f t="shared" si="24"/>
        <v>210</v>
      </c>
      <c r="B225" s="251"/>
      <c r="C225" s="252"/>
      <c r="D225" s="253"/>
      <c r="E225" s="254"/>
      <c r="F225" s="278"/>
      <c r="G225" s="256"/>
      <c r="H225" s="257"/>
      <c r="I225" s="231" t="str">
        <f t="shared" si="19"/>
        <v/>
      </c>
      <c r="J225" s="258">
        <f t="shared" si="20"/>
        <v>0</v>
      </c>
      <c r="K225" s="313"/>
      <c r="L225" s="300"/>
      <c r="M225" s="300"/>
      <c r="N225" s="235" t="str">
        <f t="shared" si="21"/>
        <v/>
      </c>
      <c r="O225" s="236" t="str">
        <f>IF('Data Set up'!$G$40="JUNE",IF(OR($N225=7,$N225=8,$N225=9),1,IF(OR($N225=10,$N225=11,$N225=12),2,IF(OR($N225=1,$N225=2,$N225=3),3,IF(OR($N225=4,$N225=5,$N225=6),4,"")))),IF(OR($N225=9,$N225=10,$N225=11),1,IF(OR($N225=12,$N225=1,$N225=2),2,IF(OR($N225=3,$N225=4,$N225=5),3,IF(OR($N225=6,$N225=7,$N225=8),4,"")))))</f>
        <v/>
      </c>
      <c r="P225" s="261"/>
      <c r="Q225" s="305"/>
      <c r="R225" s="302"/>
      <c r="S225" s="264">
        <f t="shared" si="22"/>
        <v>0</v>
      </c>
      <c r="T225" s="302"/>
      <c r="U225" s="302"/>
      <c r="V225" s="302"/>
      <c r="W225" s="302"/>
      <c r="X225" s="302"/>
      <c r="Y225" s="302"/>
      <c r="Z225" s="302"/>
      <c r="AA225" s="302"/>
      <c r="AB225" s="303"/>
      <c r="AC225" s="304"/>
      <c r="AD225" s="305"/>
      <c r="AE225" s="302"/>
      <c r="AF225" s="302"/>
      <c r="AG225" s="302"/>
      <c r="AH225" s="302"/>
      <c r="AI225" s="303"/>
      <c r="AJ225" s="303"/>
      <c r="AK225" s="302"/>
      <c r="AL225" s="314"/>
      <c r="AM225" s="305"/>
      <c r="AN225" s="302"/>
      <c r="AO225" s="302"/>
      <c r="AP225" s="302"/>
      <c r="AQ225" s="302"/>
      <c r="AR225" s="302"/>
      <c r="AS225" s="302"/>
      <c r="AT225" s="302"/>
      <c r="AU225" s="304"/>
      <c r="AV225" s="306"/>
      <c r="AW225" s="303"/>
      <c r="AX225" s="303"/>
      <c r="AY225" s="303"/>
      <c r="AZ225" s="303"/>
      <c r="BA225" s="303"/>
      <c r="BB225" s="303"/>
      <c r="BC225" s="303"/>
      <c r="BD225" s="304"/>
      <c r="BE225" s="305"/>
      <c r="BF225" s="302"/>
      <c r="BG225" s="307"/>
      <c r="BH225" s="308"/>
      <c r="BI225" s="302"/>
      <c r="BJ225" s="307"/>
      <c r="BK225" s="308"/>
      <c r="BL225" s="302"/>
      <c r="BM225" s="303"/>
      <c r="BN225" s="315"/>
      <c r="BO225" s="250">
        <f t="shared" si="23"/>
        <v>0</v>
      </c>
    </row>
    <row r="226" spans="1:67" ht="25.5" customHeight="1" x14ac:dyDescent="0.2">
      <c r="A226" s="142">
        <f t="shared" si="24"/>
        <v>211</v>
      </c>
      <c r="B226" s="251"/>
      <c r="C226" s="252"/>
      <c r="D226" s="253"/>
      <c r="E226" s="254"/>
      <c r="F226" s="278"/>
      <c r="G226" s="256"/>
      <c r="H226" s="257"/>
      <c r="I226" s="231" t="str">
        <f t="shared" si="19"/>
        <v/>
      </c>
      <c r="J226" s="258">
        <f t="shared" si="20"/>
        <v>0</v>
      </c>
      <c r="K226" s="313"/>
      <c r="L226" s="300"/>
      <c r="M226" s="300"/>
      <c r="N226" s="235" t="str">
        <f t="shared" si="21"/>
        <v/>
      </c>
      <c r="O226" s="236" t="str">
        <f>IF('Data Set up'!$G$40="JUNE",IF(OR($N226=7,$N226=8,$N226=9),1,IF(OR($N226=10,$N226=11,$N226=12),2,IF(OR($N226=1,$N226=2,$N226=3),3,IF(OR($N226=4,$N226=5,$N226=6),4,"")))),IF(OR($N226=9,$N226=10,$N226=11),1,IF(OR($N226=12,$N226=1,$N226=2),2,IF(OR($N226=3,$N226=4,$N226=5),3,IF(OR($N226=6,$N226=7,$N226=8),4,"")))))</f>
        <v/>
      </c>
      <c r="P226" s="261"/>
      <c r="Q226" s="305"/>
      <c r="R226" s="302"/>
      <c r="S226" s="264">
        <f t="shared" si="22"/>
        <v>0</v>
      </c>
      <c r="T226" s="302"/>
      <c r="U226" s="302"/>
      <c r="V226" s="302"/>
      <c r="W226" s="302"/>
      <c r="X226" s="302"/>
      <c r="Y226" s="302"/>
      <c r="Z226" s="302"/>
      <c r="AA226" s="302"/>
      <c r="AB226" s="303"/>
      <c r="AC226" s="304"/>
      <c r="AD226" s="305"/>
      <c r="AE226" s="302"/>
      <c r="AF226" s="302"/>
      <c r="AG226" s="302"/>
      <c r="AH226" s="302"/>
      <c r="AI226" s="303"/>
      <c r="AJ226" s="303"/>
      <c r="AK226" s="302"/>
      <c r="AL226" s="314"/>
      <c r="AM226" s="305"/>
      <c r="AN226" s="302"/>
      <c r="AO226" s="302"/>
      <c r="AP226" s="302"/>
      <c r="AQ226" s="302"/>
      <c r="AR226" s="302"/>
      <c r="AS226" s="302"/>
      <c r="AT226" s="302"/>
      <c r="AU226" s="304"/>
      <c r="AV226" s="306"/>
      <c r="AW226" s="303"/>
      <c r="AX226" s="303"/>
      <c r="AY226" s="303"/>
      <c r="AZ226" s="303"/>
      <c r="BA226" s="303"/>
      <c r="BB226" s="303"/>
      <c r="BC226" s="303"/>
      <c r="BD226" s="304"/>
      <c r="BE226" s="305"/>
      <c r="BF226" s="302"/>
      <c r="BG226" s="307"/>
      <c r="BH226" s="308"/>
      <c r="BI226" s="302"/>
      <c r="BJ226" s="307"/>
      <c r="BK226" s="308"/>
      <c r="BL226" s="302"/>
      <c r="BM226" s="303"/>
      <c r="BN226" s="315"/>
      <c r="BO226" s="250">
        <f t="shared" si="23"/>
        <v>0</v>
      </c>
    </row>
    <row r="227" spans="1:67" ht="25.5" customHeight="1" x14ac:dyDescent="0.2">
      <c r="A227" s="142">
        <f t="shared" si="24"/>
        <v>212</v>
      </c>
      <c r="B227" s="251"/>
      <c r="C227" s="252"/>
      <c r="D227" s="253"/>
      <c r="E227" s="254"/>
      <c r="F227" s="278"/>
      <c r="G227" s="256"/>
      <c r="H227" s="257"/>
      <c r="I227" s="231" t="str">
        <f t="shared" si="19"/>
        <v/>
      </c>
      <c r="J227" s="258">
        <f t="shared" si="20"/>
        <v>0</v>
      </c>
      <c r="K227" s="313"/>
      <c r="L227" s="300"/>
      <c r="M227" s="300"/>
      <c r="N227" s="235" t="str">
        <f t="shared" si="21"/>
        <v/>
      </c>
      <c r="O227" s="236" t="str">
        <f>IF('Data Set up'!$G$40="JUNE",IF(OR($N227=7,$N227=8,$N227=9),1,IF(OR($N227=10,$N227=11,$N227=12),2,IF(OR($N227=1,$N227=2,$N227=3),3,IF(OR($N227=4,$N227=5,$N227=6),4,"")))),IF(OR($N227=9,$N227=10,$N227=11),1,IF(OR($N227=12,$N227=1,$N227=2),2,IF(OR($N227=3,$N227=4,$N227=5),3,IF(OR($N227=6,$N227=7,$N227=8),4,"")))))</f>
        <v/>
      </c>
      <c r="P227" s="261"/>
      <c r="Q227" s="305"/>
      <c r="R227" s="302"/>
      <c r="S227" s="264">
        <f t="shared" si="22"/>
        <v>0</v>
      </c>
      <c r="T227" s="302"/>
      <c r="U227" s="302"/>
      <c r="V227" s="302"/>
      <c r="W227" s="302"/>
      <c r="X227" s="302"/>
      <c r="Y227" s="302"/>
      <c r="Z227" s="302"/>
      <c r="AA227" s="302"/>
      <c r="AB227" s="303"/>
      <c r="AC227" s="304"/>
      <c r="AD227" s="305"/>
      <c r="AE227" s="302"/>
      <c r="AF227" s="302"/>
      <c r="AG227" s="302"/>
      <c r="AH227" s="302"/>
      <c r="AI227" s="303"/>
      <c r="AJ227" s="303"/>
      <c r="AK227" s="302"/>
      <c r="AL227" s="314"/>
      <c r="AM227" s="305"/>
      <c r="AN227" s="302"/>
      <c r="AO227" s="302"/>
      <c r="AP227" s="302"/>
      <c r="AQ227" s="302"/>
      <c r="AR227" s="302"/>
      <c r="AS227" s="302"/>
      <c r="AT227" s="302"/>
      <c r="AU227" s="304"/>
      <c r="AV227" s="306"/>
      <c r="AW227" s="303"/>
      <c r="AX227" s="303"/>
      <c r="AY227" s="303"/>
      <c r="AZ227" s="303"/>
      <c r="BA227" s="303"/>
      <c r="BB227" s="303"/>
      <c r="BC227" s="303"/>
      <c r="BD227" s="304"/>
      <c r="BE227" s="305"/>
      <c r="BF227" s="302"/>
      <c r="BG227" s="307"/>
      <c r="BH227" s="308"/>
      <c r="BI227" s="302"/>
      <c r="BJ227" s="307"/>
      <c r="BK227" s="308"/>
      <c r="BL227" s="302"/>
      <c r="BM227" s="303"/>
      <c r="BN227" s="315"/>
      <c r="BO227" s="250">
        <f t="shared" si="23"/>
        <v>0</v>
      </c>
    </row>
    <row r="228" spans="1:67" ht="25.5" customHeight="1" x14ac:dyDescent="0.2">
      <c r="A228" s="142">
        <f t="shared" si="24"/>
        <v>213</v>
      </c>
      <c r="B228" s="251"/>
      <c r="C228" s="252"/>
      <c r="D228" s="253"/>
      <c r="E228" s="254"/>
      <c r="F228" s="278"/>
      <c r="G228" s="256"/>
      <c r="H228" s="257"/>
      <c r="I228" s="231" t="str">
        <f t="shared" si="19"/>
        <v/>
      </c>
      <c r="J228" s="258">
        <f t="shared" si="20"/>
        <v>0</v>
      </c>
      <c r="K228" s="313"/>
      <c r="L228" s="300"/>
      <c r="M228" s="300"/>
      <c r="N228" s="235" t="str">
        <f t="shared" si="21"/>
        <v/>
      </c>
      <c r="O228" s="236" t="str">
        <f>IF('Data Set up'!$G$40="JUNE",IF(OR($N228=7,$N228=8,$N228=9),1,IF(OR($N228=10,$N228=11,$N228=12),2,IF(OR($N228=1,$N228=2,$N228=3),3,IF(OR($N228=4,$N228=5,$N228=6),4,"")))),IF(OR($N228=9,$N228=10,$N228=11),1,IF(OR($N228=12,$N228=1,$N228=2),2,IF(OR($N228=3,$N228=4,$N228=5),3,IF(OR($N228=6,$N228=7,$N228=8),4,"")))))</f>
        <v/>
      </c>
      <c r="P228" s="261"/>
      <c r="Q228" s="305"/>
      <c r="R228" s="302"/>
      <c r="S228" s="264">
        <f t="shared" si="22"/>
        <v>0</v>
      </c>
      <c r="T228" s="302"/>
      <c r="U228" s="302"/>
      <c r="V228" s="302"/>
      <c r="W228" s="302"/>
      <c r="X228" s="302"/>
      <c r="Y228" s="302"/>
      <c r="Z228" s="302"/>
      <c r="AA228" s="302"/>
      <c r="AB228" s="303"/>
      <c r="AC228" s="304"/>
      <c r="AD228" s="305"/>
      <c r="AE228" s="302"/>
      <c r="AF228" s="302"/>
      <c r="AG228" s="302"/>
      <c r="AH228" s="302"/>
      <c r="AI228" s="303"/>
      <c r="AJ228" s="303"/>
      <c r="AK228" s="302"/>
      <c r="AL228" s="314"/>
      <c r="AM228" s="305"/>
      <c r="AN228" s="302"/>
      <c r="AO228" s="302"/>
      <c r="AP228" s="302"/>
      <c r="AQ228" s="302"/>
      <c r="AR228" s="302"/>
      <c r="AS228" s="302"/>
      <c r="AT228" s="302"/>
      <c r="AU228" s="304"/>
      <c r="AV228" s="306"/>
      <c r="AW228" s="303"/>
      <c r="AX228" s="303"/>
      <c r="AY228" s="303"/>
      <c r="AZ228" s="303"/>
      <c r="BA228" s="303"/>
      <c r="BB228" s="303"/>
      <c r="BC228" s="303"/>
      <c r="BD228" s="304"/>
      <c r="BE228" s="305"/>
      <c r="BF228" s="302"/>
      <c r="BG228" s="307"/>
      <c r="BH228" s="308"/>
      <c r="BI228" s="302"/>
      <c r="BJ228" s="307"/>
      <c r="BK228" s="308"/>
      <c r="BL228" s="302"/>
      <c r="BM228" s="303"/>
      <c r="BN228" s="315"/>
      <c r="BO228" s="250">
        <f t="shared" si="23"/>
        <v>0</v>
      </c>
    </row>
    <row r="229" spans="1:67" ht="25.5" customHeight="1" x14ac:dyDescent="0.2">
      <c r="A229" s="142">
        <f t="shared" si="24"/>
        <v>214</v>
      </c>
      <c r="B229" s="251"/>
      <c r="C229" s="252"/>
      <c r="D229" s="253"/>
      <c r="E229" s="254"/>
      <c r="F229" s="278"/>
      <c r="G229" s="256"/>
      <c r="H229" s="257"/>
      <c r="I229" s="231" t="str">
        <f t="shared" si="19"/>
        <v/>
      </c>
      <c r="J229" s="258">
        <f t="shared" si="20"/>
        <v>0</v>
      </c>
      <c r="K229" s="313"/>
      <c r="L229" s="300"/>
      <c r="M229" s="300"/>
      <c r="N229" s="235" t="str">
        <f t="shared" si="21"/>
        <v/>
      </c>
      <c r="O229" s="236" t="str">
        <f>IF('Data Set up'!$G$40="JUNE",IF(OR($N229=7,$N229=8,$N229=9),1,IF(OR($N229=10,$N229=11,$N229=12),2,IF(OR($N229=1,$N229=2,$N229=3),3,IF(OR($N229=4,$N229=5,$N229=6),4,"")))),IF(OR($N229=9,$N229=10,$N229=11),1,IF(OR($N229=12,$N229=1,$N229=2),2,IF(OR($N229=3,$N229=4,$N229=5),3,IF(OR($N229=6,$N229=7,$N229=8),4,"")))))</f>
        <v/>
      </c>
      <c r="P229" s="261"/>
      <c r="Q229" s="305"/>
      <c r="R229" s="302"/>
      <c r="S229" s="264">
        <f t="shared" si="22"/>
        <v>0</v>
      </c>
      <c r="T229" s="302"/>
      <c r="U229" s="302"/>
      <c r="V229" s="302"/>
      <c r="W229" s="302"/>
      <c r="X229" s="302"/>
      <c r="Y229" s="302"/>
      <c r="Z229" s="302"/>
      <c r="AA229" s="302"/>
      <c r="AB229" s="303"/>
      <c r="AC229" s="304"/>
      <c r="AD229" s="305"/>
      <c r="AE229" s="302"/>
      <c r="AF229" s="302"/>
      <c r="AG229" s="302"/>
      <c r="AH229" s="302"/>
      <c r="AI229" s="303"/>
      <c r="AJ229" s="303"/>
      <c r="AK229" s="302"/>
      <c r="AL229" s="314"/>
      <c r="AM229" s="305"/>
      <c r="AN229" s="302"/>
      <c r="AO229" s="302"/>
      <c r="AP229" s="302"/>
      <c r="AQ229" s="302"/>
      <c r="AR229" s="302"/>
      <c r="AS229" s="302"/>
      <c r="AT229" s="302"/>
      <c r="AU229" s="304"/>
      <c r="AV229" s="306"/>
      <c r="AW229" s="303"/>
      <c r="AX229" s="303"/>
      <c r="AY229" s="303"/>
      <c r="AZ229" s="303"/>
      <c r="BA229" s="303"/>
      <c r="BB229" s="303"/>
      <c r="BC229" s="303"/>
      <c r="BD229" s="304"/>
      <c r="BE229" s="305"/>
      <c r="BF229" s="302"/>
      <c r="BG229" s="307"/>
      <c r="BH229" s="308"/>
      <c r="BI229" s="302"/>
      <c r="BJ229" s="307"/>
      <c r="BK229" s="308"/>
      <c r="BL229" s="302"/>
      <c r="BM229" s="303"/>
      <c r="BN229" s="315"/>
      <c r="BO229" s="250">
        <f t="shared" si="23"/>
        <v>0</v>
      </c>
    </row>
    <row r="230" spans="1:67" ht="25.5" customHeight="1" x14ac:dyDescent="0.2">
      <c r="A230" s="142">
        <f t="shared" si="24"/>
        <v>215</v>
      </c>
      <c r="B230" s="251"/>
      <c r="C230" s="252"/>
      <c r="D230" s="253"/>
      <c r="E230" s="254"/>
      <c r="F230" s="278"/>
      <c r="G230" s="256"/>
      <c r="H230" s="257"/>
      <c r="I230" s="231" t="str">
        <f t="shared" si="19"/>
        <v/>
      </c>
      <c r="J230" s="258">
        <f t="shared" si="20"/>
        <v>0</v>
      </c>
      <c r="K230" s="313"/>
      <c r="L230" s="300"/>
      <c r="M230" s="300"/>
      <c r="N230" s="235" t="str">
        <f t="shared" si="21"/>
        <v/>
      </c>
      <c r="O230" s="236" t="str">
        <f>IF('Data Set up'!$G$40="JUNE",IF(OR($N230=7,$N230=8,$N230=9),1,IF(OR($N230=10,$N230=11,$N230=12),2,IF(OR($N230=1,$N230=2,$N230=3),3,IF(OR($N230=4,$N230=5,$N230=6),4,"")))),IF(OR($N230=9,$N230=10,$N230=11),1,IF(OR($N230=12,$N230=1,$N230=2),2,IF(OR($N230=3,$N230=4,$N230=5),3,IF(OR($N230=6,$N230=7,$N230=8),4,"")))))</f>
        <v/>
      </c>
      <c r="P230" s="261"/>
      <c r="Q230" s="305"/>
      <c r="R230" s="302"/>
      <c r="S230" s="264">
        <f t="shared" si="22"/>
        <v>0</v>
      </c>
      <c r="T230" s="302"/>
      <c r="U230" s="302"/>
      <c r="V230" s="302"/>
      <c r="W230" s="302"/>
      <c r="X230" s="302"/>
      <c r="Y230" s="302"/>
      <c r="Z230" s="302"/>
      <c r="AA230" s="302"/>
      <c r="AB230" s="303"/>
      <c r="AC230" s="304"/>
      <c r="AD230" s="305"/>
      <c r="AE230" s="302"/>
      <c r="AF230" s="302"/>
      <c r="AG230" s="302"/>
      <c r="AH230" s="302"/>
      <c r="AI230" s="303"/>
      <c r="AJ230" s="303"/>
      <c r="AK230" s="302"/>
      <c r="AL230" s="314"/>
      <c r="AM230" s="305"/>
      <c r="AN230" s="302"/>
      <c r="AO230" s="302"/>
      <c r="AP230" s="302"/>
      <c r="AQ230" s="302"/>
      <c r="AR230" s="302"/>
      <c r="AS230" s="302"/>
      <c r="AT230" s="302"/>
      <c r="AU230" s="304"/>
      <c r="AV230" s="306"/>
      <c r="AW230" s="303"/>
      <c r="AX230" s="303"/>
      <c r="AY230" s="303"/>
      <c r="AZ230" s="303"/>
      <c r="BA230" s="303"/>
      <c r="BB230" s="303"/>
      <c r="BC230" s="303"/>
      <c r="BD230" s="304"/>
      <c r="BE230" s="305"/>
      <c r="BF230" s="302"/>
      <c r="BG230" s="307"/>
      <c r="BH230" s="308"/>
      <c r="BI230" s="302"/>
      <c r="BJ230" s="307"/>
      <c r="BK230" s="308"/>
      <c r="BL230" s="302"/>
      <c r="BM230" s="303"/>
      <c r="BN230" s="315"/>
      <c r="BO230" s="250">
        <f t="shared" si="23"/>
        <v>0</v>
      </c>
    </row>
    <row r="231" spans="1:67" ht="25.5" customHeight="1" x14ac:dyDescent="0.2">
      <c r="A231" s="142">
        <f t="shared" si="24"/>
        <v>216</v>
      </c>
      <c r="B231" s="251"/>
      <c r="C231" s="252"/>
      <c r="D231" s="253"/>
      <c r="E231" s="254"/>
      <c r="F231" s="278"/>
      <c r="G231" s="256"/>
      <c r="H231" s="257"/>
      <c r="I231" s="231" t="str">
        <f t="shared" si="19"/>
        <v/>
      </c>
      <c r="J231" s="258">
        <f t="shared" si="20"/>
        <v>0</v>
      </c>
      <c r="K231" s="313"/>
      <c r="L231" s="300"/>
      <c r="M231" s="300"/>
      <c r="N231" s="235" t="str">
        <f t="shared" si="21"/>
        <v/>
      </c>
      <c r="O231" s="236" t="str">
        <f>IF('Data Set up'!$G$40="JUNE",IF(OR($N231=7,$N231=8,$N231=9),1,IF(OR($N231=10,$N231=11,$N231=12),2,IF(OR($N231=1,$N231=2,$N231=3),3,IF(OR($N231=4,$N231=5,$N231=6),4,"")))),IF(OR($N231=9,$N231=10,$N231=11),1,IF(OR($N231=12,$N231=1,$N231=2),2,IF(OR($N231=3,$N231=4,$N231=5),3,IF(OR($N231=6,$N231=7,$N231=8),4,"")))))</f>
        <v/>
      </c>
      <c r="P231" s="261"/>
      <c r="Q231" s="305"/>
      <c r="R231" s="302"/>
      <c r="S231" s="264">
        <f t="shared" si="22"/>
        <v>0</v>
      </c>
      <c r="T231" s="302"/>
      <c r="U231" s="302"/>
      <c r="V231" s="302"/>
      <c r="W231" s="302"/>
      <c r="X231" s="302"/>
      <c r="Y231" s="302"/>
      <c r="Z231" s="302"/>
      <c r="AA231" s="302"/>
      <c r="AB231" s="303"/>
      <c r="AC231" s="304"/>
      <c r="AD231" s="305"/>
      <c r="AE231" s="302"/>
      <c r="AF231" s="302"/>
      <c r="AG231" s="302"/>
      <c r="AH231" s="302"/>
      <c r="AI231" s="303"/>
      <c r="AJ231" s="303"/>
      <c r="AK231" s="302"/>
      <c r="AL231" s="314"/>
      <c r="AM231" s="305"/>
      <c r="AN231" s="302"/>
      <c r="AO231" s="302"/>
      <c r="AP231" s="302"/>
      <c r="AQ231" s="302"/>
      <c r="AR231" s="302"/>
      <c r="AS231" s="302"/>
      <c r="AT231" s="302"/>
      <c r="AU231" s="304"/>
      <c r="AV231" s="306"/>
      <c r="AW231" s="303"/>
      <c r="AX231" s="303"/>
      <c r="AY231" s="303"/>
      <c r="AZ231" s="303"/>
      <c r="BA231" s="303"/>
      <c r="BB231" s="303"/>
      <c r="BC231" s="303"/>
      <c r="BD231" s="304"/>
      <c r="BE231" s="305"/>
      <c r="BF231" s="302"/>
      <c r="BG231" s="307"/>
      <c r="BH231" s="308"/>
      <c r="BI231" s="302"/>
      <c r="BJ231" s="307"/>
      <c r="BK231" s="308"/>
      <c r="BL231" s="302"/>
      <c r="BM231" s="303"/>
      <c r="BN231" s="315"/>
      <c r="BO231" s="250">
        <f t="shared" si="23"/>
        <v>0</v>
      </c>
    </row>
    <row r="232" spans="1:67" ht="25.5" customHeight="1" x14ac:dyDescent="0.2">
      <c r="A232" s="142">
        <f t="shared" si="24"/>
        <v>217</v>
      </c>
      <c r="B232" s="251"/>
      <c r="C232" s="252"/>
      <c r="D232" s="253"/>
      <c r="E232" s="254"/>
      <c r="F232" s="278"/>
      <c r="G232" s="256"/>
      <c r="H232" s="257"/>
      <c r="I232" s="231" t="str">
        <f t="shared" si="19"/>
        <v/>
      </c>
      <c r="J232" s="258">
        <f t="shared" si="20"/>
        <v>0</v>
      </c>
      <c r="K232" s="313"/>
      <c r="L232" s="300"/>
      <c r="M232" s="300"/>
      <c r="N232" s="235" t="str">
        <f t="shared" si="21"/>
        <v/>
      </c>
      <c r="O232" s="236" t="str">
        <f>IF('Data Set up'!$G$40="JUNE",IF(OR($N232=7,$N232=8,$N232=9),1,IF(OR($N232=10,$N232=11,$N232=12),2,IF(OR($N232=1,$N232=2,$N232=3),3,IF(OR($N232=4,$N232=5,$N232=6),4,"")))),IF(OR($N232=9,$N232=10,$N232=11),1,IF(OR($N232=12,$N232=1,$N232=2),2,IF(OR($N232=3,$N232=4,$N232=5),3,IF(OR($N232=6,$N232=7,$N232=8),4,"")))))</f>
        <v/>
      </c>
      <c r="P232" s="261"/>
      <c r="Q232" s="305"/>
      <c r="R232" s="302"/>
      <c r="S232" s="264">
        <f t="shared" si="22"/>
        <v>0</v>
      </c>
      <c r="T232" s="302"/>
      <c r="U232" s="302"/>
      <c r="V232" s="302"/>
      <c r="W232" s="302"/>
      <c r="X232" s="302"/>
      <c r="Y232" s="302"/>
      <c r="Z232" s="302"/>
      <c r="AA232" s="302"/>
      <c r="AB232" s="303"/>
      <c r="AC232" s="304"/>
      <c r="AD232" s="305"/>
      <c r="AE232" s="302"/>
      <c r="AF232" s="302"/>
      <c r="AG232" s="302"/>
      <c r="AH232" s="302"/>
      <c r="AI232" s="303"/>
      <c r="AJ232" s="303"/>
      <c r="AK232" s="302"/>
      <c r="AL232" s="314"/>
      <c r="AM232" s="305"/>
      <c r="AN232" s="302"/>
      <c r="AO232" s="302"/>
      <c r="AP232" s="302"/>
      <c r="AQ232" s="302"/>
      <c r="AR232" s="302"/>
      <c r="AS232" s="302"/>
      <c r="AT232" s="302"/>
      <c r="AU232" s="304"/>
      <c r="AV232" s="306"/>
      <c r="AW232" s="303"/>
      <c r="AX232" s="303"/>
      <c r="AY232" s="303"/>
      <c r="AZ232" s="303"/>
      <c r="BA232" s="303"/>
      <c r="BB232" s="303"/>
      <c r="BC232" s="303"/>
      <c r="BD232" s="304"/>
      <c r="BE232" s="305"/>
      <c r="BF232" s="302"/>
      <c r="BG232" s="307"/>
      <c r="BH232" s="308"/>
      <c r="BI232" s="302"/>
      <c r="BJ232" s="307"/>
      <c r="BK232" s="308"/>
      <c r="BL232" s="302"/>
      <c r="BM232" s="303"/>
      <c r="BN232" s="315"/>
      <c r="BO232" s="250">
        <f t="shared" si="23"/>
        <v>0</v>
      </c>
    </row>
    <row r="233" spans="1:67" ht="25.5" customHeight="1" x14ac:dyDescent="0.2">
      <c r="A233" s="142">
        <f t="shared" si="24"/>
        <v>218</v>
      </c>
      <c r="B233" s="251"/>
      <c r="C233" s="252"/>
      <c r="D233" s="253"/>
      <c r="E233" s="254"/>
      <c r="F233" s="278"/>
      <c r="G233" s="256"/>
      <c r="H233" s="257"/>
      <c r="I233" s="231" t="str">
        <f t="shared" si="19"/>
        <v/>
      </c>
      <c r="J233" s="258">
        <f t="shared" si="20"/>
        <v>0</v>
      </c>
      <c r="K233" s="313"/>
      <c r="L233" s="300"/>
      <c r="M233" s="300"/>
      <c r="N233" s="235" t="str">
        <f t="shared" si="21"/>
        <v/>
      </c>
      <c r="O233" s="236" t="str">
        <f>IF('Data Set up'!$G$40="JUNE",IF(OR($N233=7,$N233=8,$N233=9),1,IF(OR($N233=10,$N233=11,$N233=12),2,IF(OR($N233=1,$N233=2,$N233=3),3,IF(OR($N233=4,$N233=5,$N233=6),4,"")))),IF(OR($N233=9,$N233=10,$N233=11),1,IF(OR($N233=12,$N233=1,$N233=2),2,IF(OR($N233=3,$N233=4,$N233=5),3,IF(OR($N233=6,$N233=7,$N233=8),4,"")))))</f>
        <v/>
      </c>
      <c r="P233" s="261"/>
      <c r="Q233" s="305"/>
      <c r="R233" s="302"/>
      <c r="S233" s="264">
        <f t="shared" si="22"/>
        <v>0</v>
      </c>
      <c r="T233" s="302"/>
      <c r="U233" s="302"/>
      <c r="V233" s="302"/>
      <c r="W233" s="302"/>
      <c r="X233" s="302"/>
      <c r="Y233" s="302"/>
      <c r="Z233" s="302"/>
      <c r="AA233" s="302"/>
      <c r="AB233" s="303"/>
      <c r="AC233" s="304"/>
      <c r="AD233" s="305"/>
      <c r="AE233" s="302"/>
      <c r="AF233" s="302"/>
      <c r="AG233" s="302"/>
      <c r="AH233" s="302"/>
      <c r="AI233" s="303"/>
      <c r="AJ233" s="303"/>
      <c r="AK233" s="302"/>
      <c r="AL233" s="314"/>
      <c r="AM233" s="305"/>
      <c r="AN233" s="302"/>
      <c r="AO233" s="302"/>
      <c r="AP233" s="302"/>
      <c r="AQ233" s="302"/>
      <c r="AR233" s="302"/>
      <c r="AS233" s="302"/>
      <c r="AT233" s="302"/>
      <c r="AU233" s="304"/>
      <c r="AV233" s="306"/>
      <c r="AW233" s="303"/>
      <c r="AX233" s="303"/>
      <c r="AY233" s="303"/>
      <c r="AZ233" s="303"/>
      <c r="BA233" s="303"/>
      <c r="BB233" s="303"/>
      <c r="BC233" s="303"/>
      <c r="BD233" s="304"/>
      <c r="BE233" s="305"/>
      <c r="BF233" s="302"/>
      <c r="BG233" s="307"/>
      <c r="BH233" s="308"/>
      <c r="BI233" s="302"/>
      <c r="BJ233" s="307"/>
      <c r="BK233" s="308"/>
      <c r="BL233" s="302"/>
      <c r="BM233" s="303"/>
      <c r="BN233" s="315"/>
      <c r="BO233" s="250">
        <f t="shared" si="23"/>
        <v>0</v>
      </c>
    </row>
    <row r="234" spans="1:67" ht="25.5" customHeight="1" x14ac:dyDescent="0.2">
      <c r="A234" s="142">
        <f t="shared" si="24"/>
        <v>219</v>
      </c>
      <c r="B234" s="251"/>
      <c r="C234" s="252"/>
      <c r="D234" s="253"/>
      <c r="E234" s="254"/>
      <c r="F234" s="278"/>
      <c r="G234" s="256"/>
      <c r="H234" s="257"/>
      <c r="I234" s="231" t="str">
        <f t="shared" si="19"/>
        <v/>
      </c>
      <c r="J234" s="258">
        <f t="shared" si="20"/>
        <v>0</v>
      </c>
      <c r="K234" s="313"/>
      <c r="L234" s="300"/>
      <c r="M234" s="300"/>
      <c r="N234" s="235" t="str">
        <f t="shared" si="21"/>
        <v/>
      </c>
      <c r="O234" s="236" t="str">
        <f>IF('Data Set up'!$G$40="JUNE",IF(OR($N234=7,$N234=8,$N234=9),1,IF(OR($N234=10,$N234=11,$N234=12),2,IF(OR($N234=1,$N234=2,$N234=3),3,IF(OR($N234=4,$N234=5,$N234=6),4,"")))),IF(OR($N234=9,$N234=10,$N234=11),1,IF(OR($N234=12,$N234=1,$N234=2),2,IF(OR($N234=3,$N234=4,$N234=5),3,IF(OR($N234=6,$N234=7,$N234=8),4,"")))))</f>
        <v/>
      </c>
      <c r="P234" s="261"/>
      <c r="Q234" s="305"/>
      <c r="R234" s="302"/>
      <c r="S234" s="264">
        <f t="shared" si="22"/>
        <v>0</v>
      </c>
      <c r="T234" s="302"/>
      <c r="U234" s="302"/>
      <c r="V234" s="302"/>
      <c r="W234" s="302"/>
      <c r="X234" s="302"/>
      <c r="Y234" s="302"/>
      <c r="Z234" s="302"/>
      <c r="AA234" s="302"/>
      <c r="AB234" s="303"/>
      <c r="AC234" s="304"/>
      <c r="AD234" s="305"/>
      <c r="AE234" s="302"/>
      <c r="AF234" s="302"/>
      <c r="AG234" s="302"/>
      <c r="AH234" s="302"/>
      <c r="AI234" s="303"/>
      <c r="AJ234" s="303"/>
      <c r="AK234" s="302"/>
      <c r="AL234" s="314"/>
      <c r="AM234" s="305"/>
      <c r="AN234" s="302"/>
      <c r="AO234" s="302"/>
      <c r="AP234" s="302"/>
      <c r="AQ234" s="302"/>
      <c r="AR234" s="302"/>
      <c r="AS234" s="302"/>
      <c r="AT234" s="302"/>
      <c r="AU234" s="304"/>
      <c r="AV234" s="306"/>
      <c r="AW234" s="303"/>
      <c r="AX234" s="303"/>
      <c r="AY234" s="303"/>
      <c r="AZ234" s="303"/>
      <c r="BA234" s="303"/>
      <c r="BB234" s="303"/>
      <c r="BC234" s="303"/>
      <c r="BD234" s="304"/>
      <c r="BE234" s="305"/>
      <c r="BF234" s="302"/>
      <c r="BG234" s="307"/>
      <c r="BH234" s="308"/>
      <c r="BI234" s="302"/>
      <c r="BJ234" s="307"/>
      <c r="BK234" s="308"/>
      <c r="BL234" s="302"/>
      <c r="BM234" s="303"/>
      <c r="BN234" s="315"/>
      <c r="BO234" s="250">
        <f t="shared" si="23"/>
        <v>0</v>
      </c>
    </row>
    <row r="235" spans="1:67" ht="25.5" customHeight="1" x14ac:dyDescent="0.2">
      <c r="A235" s="142">
        <f t="shared" si="24"/>
        <v>220</v>
      </c>
      <c r="B235" s="251"/>
      <c r="C235" s="252"/>
      <c r="D235" s="253"/>
      <c r="E235" s="254"/>
      <c r="F235" s="278"/>
      <c r="G235" s="256"/>
      <c r="H235" s="257"/>
      <c r="I235" s="231" t="str">
        <f t="shared" si="19"/>
        <v/>
      </c>
      <c r="J235" s="258">
        <f t="shared" si="20"/>
        <v>0</v>
      </c>
      <c r="K235" s="313"/>
      <c r="L235" s="300"/>
      <c r="M235" s="300"/>
      <c r="N235" s="235" t="str">
        <f t="shared" si="21"/>
        <v/>
      </c>
      <c r="O235" s="236" t="str">
        <f>IF('Data Set up'!$G$40="JUNE",IF(OR($N235=7,$N235=8,$N235=9),1,IF(OR($N235=10,$N235=11,$N235=12),2,IF(OR($N235=1,$N235=2,$N235=3),3,IF(OR($N235=4,$N235=5,$N235=6),4,"")))),IF(OR($N235=9,$N235=10,$N235=11),1,IF(OR($N235=12,$N235=1,$N235=2),2,IF(OR($N235=3,$N235=4,$N235=5),3,IF(OR($N235=6,$N235=7,$N235=8),4,"")))))</f>
        <v/>
      </c>
      <c r="P235" s="261"/>
      <c r="Q235" s="305"/>
      <c r="R235" s="302"/>
      <c r="S235" s="264">
        <f t="shared" si="22"/>
        <v>0</v>
      </c>
      <c r="T235" s="302"/>
      <c r="U235" s="302"/>
      <c r="V235" s="302"/>
      <c r="W235" s="302"/>
      <c r="X235" s="302"/>
      <c r="Y235" s="302"/>
      <c r="Z235" s="302"/>
      <c r="AA235" s="302"/>
      <c r="AB235" s="303"/>
      <c r="AC235" s="304"/>
      <c r="AD235" s="305"/>
      <c r="AE235" s="302"/>
      <c r="AF235" s="302"/>
      <c r="AG235" s="302"/>
      <c r="AH235" s="302"/>
      <c r="AI235" s="303"/>
      <c r="AJ235" s="303"/>
      <c r="AK235" s="302"/>
      <c r="AL235" s="314"/>
      <c r="AM235" s="305"/>
      <c r="AN235" s="302"/>
      <c r="AO235" s="302"/>
      <c r="AP235" s="302"/>
      <c r="AQ235" s="302"/>
      <c r="AR235" s="302"/>
      <c r="AS235" s="302"/>
      <c r="AT235" s="302"/>
      <c r="AU235" s="304"/>
      <c r="AV235" s="306"/>
      <c r="AW235" s="303"/>
      <c r="AX235" s="303"/>
      <c r="AY235" s="303"/>
      <c r="AZ235" s="303"/>
      <c r="BA235" s="303"/>
      <c r="BB235" s="303"/>
      <c r="BC235" s="303"/>
      <c r="BD235" s="304"/>
      <c r="BE235" s="305"/>
      <c r="BF235" s="302"/>
      <c r="BG235" s="307"/>
      <c r="BH235" s="308"/>
      <c r="BI235" s="302"/>
      <c r="BJ235" s="307"/>
      <c r="BK235" s="308"/>
      <c r="BL235" s="302"/>
      <c r="BM235" s="303"/>
      <c r="BN235" s="315"/>
      <c r="BO235" s="250">
        <f t="shared" si="23"/>
        <v>0</v>
      </c>
    </row>
    <row r="236" spans="1:67" ht="25.5" customHeight="1" x14ac:dyDescent="0.2">
      <c r="A236" s="142">
        <f t="shared" si="24"/>
        <v>221</v>
      </c>
      <c r="B236" s="251"/>
      <c r="C236" s="252"/>
      <c r="D236" s="253"/>
      <c r="E236" s="254"/>
      <c r="F236" s="278"/>
      <c r="G236" s="256"/>
      <c r="H236" s="257"/>
      <c r="I236" s="231" t="str">
        <f t="shared" si="19"/>
        <v/>
      </c>
      <c r="J236" s="258">
        <f t="shared" si="20"/>
        <v>0</v>
      </c>
      <c r="K236" s="313"/>
      <c r="L236" s="300"/>
      <c r="M236" s="300"/>
      <c r="N236" s="235" t="str">
        <f t="shared" si="21"/>
        <v/>
      </c>
      <c r="O236" s="236" t="str">
        <f>IF('Data Set up'!$G$40="JUNE",IF(OR($N236=7,$N236=8,$N236=9),1,IF(OR($N236=10,$N236=11,$N236=12),2,IF(OR($N236=1,$N236=2,$N236=3),3,IF(OR($N236=4,$N236=5,$N236=6),4,"")))),IF(OR($N236=9,$N236=10,$N236=11),1,IF(OR($N236=12,$N236=1,$N236=2),2,IF(OR($N236=3,$N236=4,$N236=5),3,IF(OR($N236=6,$N236=7,$N236=8),4,"")))))</f>
        <v/>
      </c>
      <c r="P236" s="261"/>
      <c r="Q236" s="305"/>
      <c r="R236" s="302"/>
      <c r="S236" s="264">
        <f t="shared" si="22"/>
        <v>0</v>
      </c>
      <c r="T236" s="302"/>
      <c r="U236" s="302"/>
      <c r="V236" s="302"/>
      <c r="W236" s="302"/>
      <c r="X236" s="302"/>
      <c r="Y236" s="302"/>
      <c r="Z236" s="302"/>
      <c r="AA236" s="302"/>
      <c r="AB236" s="303"/>
      <c r="AC236" s="304"/>
      <c r="AD236" s="305"/>
      <c r="AE236" s="302"/>
      <c r="AF236" s="302"/>
      <c r="AG236" s="302"/>
      <c r="AH236" s="302"/>
      <c r="AI236" s="303"/>
      <c r="AJ236" s="303"/>
      <c r="AK236" s="302"/>
      <c r="AL236" s="314"/>
      <c r="AM236" s="305"/>
      <c r="AN236" s="302"/>
      <c r="AO236" s="302"/>
      <c r="AP236" s="302"/>
      <c r="AQ236" s="302"/>
      <c r="AR236" s="302"/>
      <c r="AS236" s="302"/>
      <c r="AT236" s="302"/>
      <c r="AU236" s="304"/>
      <c r="AV236" s="306"/>
      <c r="AW236" s="303"/>
      <c r="AX236" s="303"/>
      <c r="AY236" s="303"/>
      <c r="AZ236" s="303"/>
      <c r="BA236" s="303"/>
      <c r="BB236" s="303"/>
      <c r="BC236" s="303"/>
      <c r="BD236" s="304"/>
      <c r="BE236" s="305"/>
      <c r="BF236" s="302"/>
      <c r="BG236" s="307"/>
      <c r="BH236" s="308"/>
      <c r="BI236" s="302"/>
      <c r="BJ236" s="307"/>
      <c r="BK236" s="308"/>
      <c r="BL236" s="302"/>
      <c r="BM236" s="303"/>
      <c r="BN236" s="315"/>
      <c r="BO236" s="250">
        <f t="shared" si="23"/>
        <v>0</v>
      </c>
    </row>
    <row r="237" spans="1:67" ht="25.5" customHeight="1" x14ac:dyDescent="0.2">
      <c r="A237" s="142">
        <f t="shared" si="24"/>
        <v>222</v>
      </c>
      <c r="B237" s="251"/>
      <c r="C237" s="252"/>
      <c r="D237" s="253"/>
      <c r="E237" s="254"/>
      <c r="F237" s="278"/>
      <c r="G237" s="256"/>
      <c r="H237" s="257"/>
      <c r="I237" s="231" t="str">
        <f t="shared" si="19"/>
        <v/>
      </c>
      <c r="J237" s="258">
        <f t="shared" si="20"/>
        <v>0</v>
      </c>
      <c r="K237" s="313"/>
      <c r="L237" s="300"/>
      <c r="M237" s="300"/>
      <c r="N237" s="235" t="str">
        <f t="shared" si="21"/>
        <v/>
      </c>
      <c r="O237" s="236" t="str">
        <f>IF('Data Set up'!$G$40="JUNE",IF(OR($N237=7,$N237=8,$N237=9),1,IF(OR($N237=10,$N237=11,$N237=12),2,IF(OR($N237=1,$N237=2,$N237=3),3,IF(OR($N237=4,$N237=5,$N237=6),4,"")))),IF(OR($N237=9,$N237=10,$N237=11),1,IF(OR($N237=12,$N237=1,$N237=2),2,IF(OR($N237=3,$N237=4,$N237=5),3,IF(OR($N237=6,$N237=7,$N237=8),4,"")))))</f>
        <v/>
      </c>
      <c r="P237" s="261"/>
      <c r="Q237" s="305"/>
      <c r="R237" s="302"/>
      <c r="S237" s="264">
        <f t="shared" si="22"/>
        <v>0</v>
      </c>
      <c r="T237" s="302"/>
      <c r="U237" s="302"/>
      <c r="V237" s="302"/>
      <c r="W237" s="302"/>
      <c r="X237" s="302"/>
      <c r="Y237" s="302"/>
      <c r="Z237" s="302"/>
      <c r="AA237" s="302"/>
      <c r="AB237" s="303"/>
      <c r="AC237" s="304"/>
      <c r="AD237" s="305"/>
      <c r="AE237" s="302"/>
      <c r="AF237" s="302"/>
      <c r="AG237" s="302"/>
      <c r="AH237" s="302"/>
      <c r="AI237" s="303"/>
      <c r="AJ237" s="303"/>
      <c r="AK237" s="302"/>
      <c r="AL237" s="314"/>
      <c r="AM237" s="305"/>
      <c r="AN237" s="302"/>
      <c r="AO237" s="302"/>
      <c r="AP237" s="302"/>
      <c r="AQ237" s="302"/>
      <c r="AR237" s="302"/>
      <c r="AS237" s="302"/>
      <c r="AT237" s="302"/>
      <c r="AU237" s="304"/>
      <c r="AV237" s="306"/>
      <c r="AW237" s="303"/>
      <c r="AX237" s="303"/>
      <c r="AY237" s="303"/>
      <c r="AZ237" s="303"/>
      <c r="BA237" s="303"/>
      <c r="BB237" s="303"/>
      <c r="BC237" s="303"/>
      <c r="BD237" s="304"/>
      <c r="BE237" s="305"/>
      <c r="BF237" s="302"/>
      <c r="BG237" s="307"/>
      <c r="BH237" s="308"/>
      <c r="BI237" s="302"/>
      <c r="BJ237" s="307"/>
      <c r="BK237" s="308"/>
      <c r="BL237" s="302"/>
      <c r="BM237" s="303"/>
      <c r="BN237" s="315"/>
      <c r="BO237" s="250">
        <f t="shared" si="23"/>
        <v>0</v>
      </c>
    </row>
    <row r="238" spans="1:67" ht="25.5" customHeight="1" x14ac:dyDescent="0.2">
      <c r="A238" s="142">
        <f t="shared" si="24"/>
        <v>223</v>
      </c>
      <c r="B238" s="251"/>
      <c r="C238" s="252"/>
      <c r="D238" s="253"/>
      <c r="E238" s="254"/>
      <c r="F238" s="278"/>
      <c r="G238" s="256"/>
      <c r="H238" s="257"/>
      <c r="I238" s="231" t="str">
        <f t="shared" si="19"/>
        <v/>
      </c>
      <c r="J238" s="258">
        <f t="shared" si="20"/>
        <v>0</v>
      </c>
      <c r="K238" s="313"/>
      <c r="L238" s="300"/>
      <c r="M238" s="300"/>
      <c r="N238" s="235" t="str">
        <f t="shared" si="21"/>
        <v/>
      </c>
      <c r="O238" s="236" t="str">
        <f>IF('Data Set up'!$G$40="JUNE",IF(OR($N238=7,$N238=8,$N238=9),1,IF(OR($N238=10,$N238=11,$N238=12),2,IF(OR($N238=1,$N238=2,$N238=3),3,IF(OR($N238=4,$N238=5,$N238=6),4,"")))),IF(OR($N238=9,$N238=10,$N238=11),1,IF(OR($N238=12,$N238=1,$N238=2),2,IF(OR($N238=3,$N238=4,$N238=5),3,IF(OR($N238=6,$N238=7,$N238=8),4,"")))))</f>
        <v/>
      </c>
      <c r="P238" s="261"/>
      <c r="Q238" s="305"/>
      <c r="R238" s="302"/>
      <c r="S238" s="264">
        <f t="shared" si="22"/>
        <v>0</v>
      </c>
      <c r="T238" s="302"/>
      <c r="U238" s="302"/>
      <c r="V238" s="302"/>
      <c r="W238" s="302"/>
      <c r="X238" s="302"/>
      <c r="Y238" s="302"/>
      <c r="Z238" s="302"/>
      <c r="AA238" s="302"/>
      <c r="AB238" s="303"/>
      <c r="AC238" s="304"/>
      <c r="AD238" s="305"/>
      <c r="AE238" s="302"/>
      <c r="AF238" s="302"/>
      <c r="AG238" s="302"/>
      <c r="AH238" s="302"/>
      <c r="AI238" s="303"/>
      <c r="AJ238" s="303"/>
      <c r="AK238" s="302"/>
      <c r="AL238" s="314"/>
      <c r="AM238" s="305"/>
      <c r="AN238" s="302"/>
      <c r="AO238" s="302"/>
      <c r="AP238" s="302"/>
      <c r="AQ238" s="302"/>
      <c r="AR238" s="302"/>
      <c r="AS238" s="302"/>
      <c r="AT238" s="302"/>
      <c r="AU238" s="304"/>
      <c r="AV238" s="306"/>
      <c r="AW238" s="303"/>
      <c r="AX238" s="303"/>
      <c r="AY238" s="303"/>
      <c r="AZ238" s="303"/>
      <c r="BA238" s="303"/>
      <c r="BB238" s="303"/>
      <c r="BC238" s="303"/>
      <c r="BD238" s="304"/>
      <c r="BE238" s="305"/>
      <c r="BF238" s="302"/>
      <c r="BG238" s="307"/>
      <c r="BH238" s="308"/>
      <c r="BI238" s="302"/>
      <c r="BJ238" s="307"/>
      <c r="BK238" s="308"/>
      <c r="BL238" s="302"/>
      <c r="BM238" s="303"/>
      <c r="BN238" s="315"/>
      <c r="BO238" s="250">
        <f t="shared" si="23"/>
        <v>0</v>
      </c>
    </row>
    <row r="239" spans="1:67" ht="25.5" customHeight="1" x14ac:dyDescent="0.2">
      <c r="A239" s="142">
        <f t="shared" si="24"/>
        <v>224</v>
      </c>
      <c r="B239" s="251"/>
      <c r="C239" s="252"/>
      <c r="D239" s="253"/>
      <c r="E239" s="254"/>
      <c r="F239" s="278"/>
      <c r="G239" s="256"/>
      <c r="H239" s="257"/>
      <c r="I239" s="231" t="str">
        <f t="shared" si="19"/>
        <v/>
      </c>
      <c r="J239" s="258">
        <f t="shared" si="20"/>
        <v>0</v>
      </c>
      <c r="K239" s="313"/>
      <c r="L239" s="300"/>
      <c r="M239" s="300"/>
      <c r="N239" s="235" t="str">
        <f t="shared" si="21"/>
        <v/>
      </c>
      <c r="O239" s="236" t="str">
        <f>IF('Data Set up'!$G$40="JUNE",IF(OR($N239=7,$N239=8,$N239=9),1,IF(OR($N239=10,$N239=11,$N239=12),2,IF(OR($N239=1,$N239=2,$N239=3),3,IF(OR($N239=4,$N239=5,$N239=6),4,"")))),IF(OR($N239=9,$N239=10,$N239=11),1,IF(OR($N239=12,$N239=1,$N239=2),2,IF(OR($N239=3,$N239=4,$N239=5),3,IF(OR($N239=6,$N239=7,$N239=8),4,"")))))</f>
        <v/>
      </c>
      <c r="P239" s="261"/>
      <c r="Q239" s="305"/>
      <c r="R239" s="302"/>
      <c r="S239" s="264">
        <f t="shared" si="22"/>
        <v>0</v>
      </c>
      <c r="T239" s="302"/>
      <c r="U239" s="302"/>
      <c r="V239" s="302"/>
      <c r="W239" s="302"/>
      <c r="X239" s="302"/>
      <c r="Y239" s="302"/>
      <c r="Z239" s="302"/>
      <c r="AA239" s="302"/>
      <c r="AB239" s="303"/>
      <c r="AC239" s="304"/>
      <c r="AD239" s="305"/>
      <c r="AE239" s="302"/>
      <c r="AF239" s="302"/>
      <c r="AG239" s="302"/>
      <c r="AH239" s="302"/>
      <c r="AI239" s="303"/>
      <c r="AJ239" s="303"/>
      <c r="AK239" s="302"/>
      <c r="AL239" s="314"/>
      <c r="AM239" s="305"/>
      <c r="AN239" s="302"/>
      <c r="AO239" s="302"/>
      <c r="AP239" s="302"/>
      <c r="AQ239" s="302"/>
      <c r="AR239" s="302"/>
      <c r="AS239" s="302"/>
      <c r="AT239" s="302"/>
      <c r="AU239" s="304"/>
      <c r="AV239" s="306"/>
      <c r="AW239" s="303"/>
      <c r="AX239" s="303"/>
      <c r="AY239" s="303"/>
      <c r="AZ239" s="303"/>
      <c r="BA239" s="303"/>
      <c r="BB239" s="303"/>
      <c r="BC239" s="303"/>
      <c r="BD239" s="304"/>
      <c r="BE239" s="305"/>
      <c r="BF239" s="302"/>
      <c r="BG239" s="307"/>
      <c r="BH239" s="308"/>
      <c r="BI239" s="302"/>
      <c r="BJ239" s="307"/>
      <c r="BK239" s="308"/>
      <c r="BL239" s="302"/>
      <c r="BM239" s="303"/>
      <c r="BN239" s="315"/>
      <c r="BO239" s="250">
        <f t="shared" si="23"/>
        <v>0</v>
      </c>
    </row>
    <row r="240" spans="1:67" ht="25.5" customHeight="1" x14ac:dyDescent="0.2">
      <c r="A240" s="142">
        <f t="shared" si="24"/>
        <v>225</v>
      </c>
      <c r="B240" s="251"/>
      <c r="C240" s="252"/>
      <c r="D240" s="253"/>
      <c r="E240" s="254"/>
      <c r="F240" s="278"/>
      <c r="G240" s="256"/>
      <c r="H240" s="257"/>
      <c r="I240" s="231" t="str">
        <f t="shared" si="19"/>
        <v/>
      </c>
      <c r="J240" s="258">
        <f t="shared" si="20"/>
        <v>0</v>
      </c>
      <c r="K240" s="313"/>
      <c r="L240" s="300"/>
      <c r="M240" s="300"/>
      <c r="N240" s="235" t="str">
        <f t="shared" si="21"/>
        <v/>
      </c>
      <c r="O240" s="236" t="str">
        <f>IF('Data Set up'!$G$40="JUNE",IF(OR($N240=7,$N240=8,$N240=9),1,IF(OR($N240=10,$N240=11,$N240=12),2,IF(OR($N240=1,$N240=2,$N240=3),3,IF(OR($N240=4,$N240=5,$N240=6),4,"")))),IF(OR($N240=9,$N240=10,$N240=11),1,IF(OR($N240=12,$N240=1,$N240=2),2,IF(OR($N240=3,$N240=4,$N240=5),3,IF(OR($N240=6,$N240=7,$N240=8),4,"")))))</f>
        <v/>
      </c>
      <c r="P240" s="261"/>
      <c r="Q240" s="305"/>
      <c r="R240" s="302"/>
      <c r="S240" s="264">
        <f t="shared" si="22"/>
        <v>0</v>
      </c>
      <c r="T240" s="302"/>
      <c r="U240" s="302"/>
      <c r="V240" s="302"/>
      <c r="W240" s="302"/>
      <c r="X240" s="302"/>
      <c r="Y240" s="302"/>
      <c r="Z240" s="302"/>
      <c r="AA240" s="302"/>
      <c r="AB240" s="303"/>
      <c r="AC240" s="304"/>
      <c r="AD240" s="305"/>
      <c r="AE240" s="302"/>
      <c r="AF240" s="302"/>
      <c r="AG240" s="302"/>
      <c r="AH240" s="302"/>
      <c r="AI240" s="303"/>
      <c r="AJ240" s="303"/>
      <c r="AK240" s="302"/>
      <c r="AL240" s="314"/>
      <c r="AM240" s="305"/>
      <c r="AN240" s="302"/>
      <c r="AO240" s="302"/>
      <c r="AP240" s="302"/>
      <c r="AQ240" s="302"/>
      <c r="AR240" s="302"/>
      <c r="AS240" s="302"/>
      <c r="AT240" s="302"/>
      <c r="AU240" s="304"/>
      <c r="AV240" s="306"/>
      <c r="AW240" s="303"/>
      <c r="AX240" s="303"/>
      <c r="AY240" s="303"/>
      <c r="AZ240" s="303"/>
      <c r="BA240" s="303"/>
      <c r="BB240" s="303"/>
      <c r="BC240" s="303"/>
      <c r="BD240" s="304"/>
      <c r="BE240" s="305"/>
      <c r="BF240" s="302"/>
      <c r="BG240" s="307"/>
      <c r="BH240" s="308"/>
      <c r="BI240" s="302"/>
      <c r="BJ240" s="307"/>
      <c r="BK240" s="308"/>
      <c r="BL240" s="302"/>
      <c r="BM240" s="303"/>
      <c r="BN240" s="315"/>
      <c r="BO240" s="250">
        <f t="shared" si="23"/>
        <v>0</v>
      </c>
    </row>
    <row r="241" spans="1:67" ht="25.5" customHeight="1" x14ac:dyDescent="0.2">
      <c r="A241" s="142">
        <f t="shared" si="24"/>
        <v>226</v>
      </c>
      <c r="B241" s="251"/>
      <c r="C241" s="252"/>
      <c r="D241" s="253"/>
      <c r="E241" s="254"/>
      <c r="F241" s="278"/>
      <c r="G241" s="256"/>
      <c r="H241" s="257"/>
      <c r="I241" s="231" t="str">
        <f t="shared" si="19"/>
        <v/>
      </c>
      <c r="J241" s="258">
        <f t="shared" si="20"/>
        <v>0</v>
      </c>
      <c r="K241" s="313"/>
      <c r="L241" s="300"/>
      <c r="M241" s="300"/>
      <c r="N241" s="235" t="str">
        <f t="shared" si="21"/>
        <v/>
      </c>
      <c r="O241" s="236" t="str">
        <f>IF('Data Set up'!$G$40="JUNE",IF(OR($N241=7,$N241=8,$N241=9),1,IF(OR($N241=10,$N241=11,$N241=12),2,IF(OR($N241=1,$N241=2,$N241=3),3,IF(OR($N241=4,$N241=5,$N241=6),4,"")))),IF(OR($N241=9,$N241=10,$N241=11),1,IF(OR($N241=12,$N241=1,$N241=2),2,IF(OR($N241=3,$N241=4,$N241=5),3,IF(OR($N241=6,$N241=7,$N241=8),4,"")))))</f>
        <v/>
      </c>
      <c r="P241" s="261"/>
      <c r="Q241" s="305"/>
      <c r="R241" s="302"/>
      <c r="S241" s="264">
        <f t="shared" si="22"/>
        <v>0</v>
      </c>
      <c r="T241" s="302"/>
      <c r="U241" s="302"/>
      <c r="V241" s="302"/>
      <c r="W241" s="302"/>
      <c r="X241" s="302"/>
      <c r="Y241" s="302"/>
      <c r="Z241" s="302"/>
      <c r="AA241" s="302"/>
      <c r="AB241" s="303"/>
      <c r="AC241" s="304"/>
      <c r="AD241" s="305"/>
      <c r="AE241" s="302"/>
      <c r="AF241" s="302"/>
      <c r="AG241" s="302"/>
      <c r="AH241" s="302"/>
      <c r="AI241" s="303"/>
      <c r="AJ241" s="303"/>
      <c r="AK241" s="302"/>
      <c r="AL241" s="314"/>
      <c r="AM241" s="305"/>
      <c r="AN241" s="302"/>
      <c r="AO241" s="302"/>
      <c r="AP241" s="302"/>
      <c r="AQ241" s="302"/>
      <c r="AR241" s="302"/>
      <c r="AS241" s="302"/>
      <c r="AT241" s="302"/>
      <c r="AU241" s="304"/>
      <c r="AV241" s="306"/>
      <c r="AW241" s="303"/>
      <c r="AX241" s="303"/>
      <c r="AY241" s="303"/>
      <c r="AZ241" s="303"/>
      <c r="BA241" s="303"/>
      <c r="BB241" s="303"/>
      <c r="BC241" s="303"/>
      <c r="BD241" s="304"/>
      <c r="BE241" s="305"/>
      <c r="BF241" s="302"/>
      <c r="BG241" s="307"/>
      <c r="BH241" s="308"/>
      <c r="BI241" s="302"/>
      <c r="BJ241" s="307"/>
      <c r="BK241" s="308"/>
      <c r="BL241" s="302"/>
      <c r="BM241" s="303"/>
      <c r="BN241" s="315"/>
      <c r="BO241" s="250">
        <f t="shared" si="23"/>
        <v>0</v>
      </c>
    </row>
    <row r="242" spans="1:67" ht="25.5" customHeight="1" x14ac:dyDescent="0.2">
      <c r="A242" s="142">
        <f t="shared" si="24"/>
        <v>227</v>
      </c>
      <c r="B242" s="251"/>
      <c r="C242" s="252"/>
      <c r="D242" s="253"/>
      <c r="E242" s="254"/>
      <c r="F242" s="278"/>
      <c r="G242" s="256"/>
      <c r="H242" s="257"/>
      <c r="I242" s="231" t="str">
        <f t="shared" si="19"/>
        <v/>
      </c>
      <c r="J242" s="258">
        <f t="shared" si="20"/>
        <v>0</v>
      </c>
      <c r="K242" s="313"/>
      <c r="L242" s="300"/>
      <c r="M242" s="300"/>
      <c r="N242" s="235" t="str">
        <f t="shared" si="21"/>
        <v/>
      </c>
      <c r="O242" s="236" t="str">
        <f>IF('Data Set up'!$G$40="JUNE",IF(OR($N242=7,$N242=8,$N242=9),1,IF(OR($N242=10,$N242=11,$N242=12),2,IF(OR($N242=1,$N242=2,$N242=3),3,IF(OR($N242=4,$N242=5,$N242=6),4,"")))),IF(OR($N242=9,$N242=10,$N242=11),1,IF(OR($N242=12,$N242=1,$N242=2),2,IF(OR($N242=3,$N242=4,$N242=5),3,IF(OR($N242=6,$N242=7,$N242=8),4,"")))))</f>
        <v/>
      </c>
      <c r="P242" s="261"/>
      <c r="Q242" s="305"/>
      <c r="R242" s="302"/>
      <c r="S242" s="264">
        <f t="shared" si="22"/>
        <v>0</v>
      </c>
      <c r="T242" s="302"/>
      <c r="U242" s="302"/>
      <c r="V242" s="302"/>
      <c r="W242" s="302"/>
      <c r="X242" s="302"/>
      <c r="Y242" s="302"/>
      <c r="Z242" s="302"/>
      <c r="AA242" s="302"/>
      <c r="AB242" s="303"/>
      <c r="AC242" s="304"/>
      <c r="AD242" s="305"/>
      <c r="AE242" s="302"/>
      <c r="AF242" s="302"/>
      <c r="AG242" s="302"/>
      <c r="AH242" s="302"/>
      <c r="AI242" s="303"/>
      <c r="AJ242" s="303"/>
      <c r="AK242" s="302"/>
      <c r="AL242" s="314"/>
      <c r="AM242" s="305"/>
      <c r="AN242" s="302"/>
      <c r="AO242" s="302"/>
      <c r="AP242" s="302"/>
      <c r="AQ242" s="302"/>
      <c r="AR242" s="302"/>
      <c r="AS242" s="302"/>
      <c r="AT242" s="302"/>
      <c r="AU242" s="304"/>
      <c r="AV242" s="306"/>
      <c r="AW242" s="303"/>
      <c r="AX242" s="303"/>
      <c r="AY242" s="303"/>
      <c r="AZ242" s="303"/>
      <c r="BA242" s="303"/>
      <c r="BB242" s="303"/>
      <c r="BC242" s="303"/>
      <c r="BD242" s="304"/>
      <c r="BE242" s="305"/>
      <c r="BF242" s="302"/>
      <c r="BG242" s="307"/>
      <c r="BH242" s="308"/>
      <c r="BI242" s="302"/>
      <c r="BJ242" s="307"/>
      <c r="BK242" s="308"/>
      <c r="BL242" s="302"/>
      <c r="BM242" s="303"/>
      <c r="BN242" s="315"/>
      <c r="BO242" s="250">
        <f t="shared" si="23"/>
        <v>0</v>
      </c>
    </row>
    <row r="243" spans="1:67" ht="25.5" customHeight="1" x14ac:dyDescent="0.2">
      <c r="A243" s="142">
        <f t="shared" si="24"/>
        <v>228</v>
      </c>
      <c r="B243" s="251"/>
      <c r="C243" s="252"/>
      <c r="D243" s="253"/>
      <c r="E243" s="254"/>
      <c r="F243" s="278"/>
      <c r="G243" s="256"/>
      <c r="H243" s="257"/>
      <c r="I243" s="231" t="str">
        <f t="shared" si="19"/>
        <v/>
      </c>
      <c r="J243" s="258">
        <f t="shared" si="20"/>
        <v>0</v>
      </c>
      <c r="K243" s="313"/>
      <c r="L243" s="300"/>
      <c r="M243" s="300"/>
      <c r="N243" s="235" t="str">
        <f t="shared" si="21"/>
        <v/>
      </c>
      <c r="O243" s="236" t="str">
        <f>IF('Data Set up'!$G$40="JUNE",IF(OR($N243=7,$N243=8,$N243=9),1,IF(OR($N243=10,$N243=11,$N243=12),2,IF(OR($N243=1,$N243=2,$N243=3),3,IF(OR($N243=4,$N243=5,$N243=6),4,"")))),IF(OR($N243=9,$N243=10,$N243=11),1,IF(OR($N243=12,$N243=1,$N243=2),2,IF(OR($N243=3,$N243=4,$N243=5),3,IF(OR($N243=6,$N243=7,$N243=8),4,"")))))</f>
        <v/>
      </c>
      <c r="P243" s="261"/>
      <c r="Q243" s="305"/>
      <c r="R243" s="302"/>
      <c r="S243" s="264">
        <f t="shared" si="22"/>
        <v>0</v>
      </c>
      <c r="T243" s="302"/>
      <c r="U243" s="302"/>
      <c r="V243" s="302"/>
      <c r="W243" s="302"/>
      <c r="X243" s="302"/>
      <c r="Y243" s="302"/>
      <c r="Z243" s="302"/>
      <c r="AA243" s="302"/>
      <c r="AB243" s="303"/>
      <c r="AC243" s="304"/>
      <c r="AD243" s="305"/>
      <c r="AE243" s="302"/>
      <c r="AF243" s="302"/>
      <c r="AG243" s="302"/>
      <c r="AH243" s="302"/>
      <c r="AI243" s="303"/>
      <c r="AJ243" s="303"/>
      <c r="AK243" s="302"/>
      <c r="AL243" s="314"/>
      <c r="AM243" s="305"/>
      <c r="AN243" s="302"/>
      <c r="AO243" s="302"/>
      <c r="AP243" s="302"/>
      <c r="AQ243" s="302"/>
      <c r="AR243" s="302"/>
      <c r="AS243" s="302"/>
      <c r="AT243" s="302"/>
      <c r="AU243" s="304"/>
      <c r="AV243" s="306"/>
      <c r="AW243" s="303"/>
      <c r="AX243" s="303"/>
      <c r="AY243" s="303"/>
      <c r="AZ243" s="303"/>
      <c r="BA243" s="303"/>
      <c r="BB243" s="303"/>
      <c r="BC243" s="303"/>
      <c r="BD243" s="304"/>
      <c r="BE243" s="305"/>
      <c r="BF243" s="302"/>
      <c r="BG243" s="307"/>
      <c r="BH243" s="308"/>
      <c r="BI243" s="302"/>
      <c r="BJ243" s="307"/>
      <c r="BK243" s="308"/>
      <c r="BL243" s="302"/>
      <c r="BM243" s="303"/>
      <c r="BN243" s="315"/>
      <c r="BO243" s="250">
        <f t="shared" si="23"/>
        <v>0</v>
      </c>
    </row>
    <row r="244" spans="1:67" ht="25.5" customHeight="1" x14ac:dyDescent="0.2">
      <c r="A244" s="142">
        <f t="shared" si="24"/>
        <v>229</v>
      </c>
      <c r="B244" s="251"/>
      <c r="C244" s="252"/>
      <c r="D244" s="253"/>
      <c r="E244" s="254"/>
      <c r="F244" s="278"/>
      <c r="G244" s="256"/>
      <c r="H244" s="257"/>
      <c r="I244" s="231" t="str">
        <f t="shared" si="19"/>
        <v/>
      </c>
      <c r="J244" s="258">
        <f t="shared" si="20"/>
        <v>0</v>
      </c>
      <c r="K244" s="313"/>
      <c r="L244" s="300"/>
      <c r="M244" s="300"/>
      <c r="N244" s="235" t="str">
        <f t="shared" si="21"/>
        <v/>
      </c>
      <c r="O244" s="236" t="str">
        <f>IF('Data Set up'!$G$40="JUNE",IF(OR($N244=7,$N244=8,$N244=9),1,IF(OR($N244=10,$N244=11,$N244=12),2,IF(OR($N244=1,$N244=2,$N244=3),3,IF(OR($N244=4,$N244=5,$N244=6),4,"")))),IF(OR($N244=9,$N244=10,$N244=11),1,IF(OR($N244=12,$N244=1,$N244=2),2,IF(OR($N244=3,$N244=4,$N244=5),3,IF(OR($N244=6,$N244=7,$N244=8),4,"")))))</f>
        <v/>
      </c>
      <c r="P244" s="261"/>
      <c r="Q244" s="305"/>
      <c r="R244" s="302"/>
      <c r="S244" s="264">
        <f t="shared" si="22"/>
        <v>0</v>
      </c>
      <c r="T244" s="302"/>
      <c r="U244" s="302"/>
      <c r="V244" s="302"/>
      <c r="W244" s="302"/>
      <c r="X244" s="302"/>
      <c r="Y244" s="302"/>
      <c r="Z244" s="302"/>
      <c r="AA244" s="302"/>
      <c r="AB244" s="303"/>
      <c r="AC244" s="304"/>
      <c r="AD244" s="305"/>
      <c r="AE244" s="302"/>
      <c r="AF244" s="302"/>
      <c r="AG244" s="302"/>
      <c r="AH244" s="302"/>
      <c r="AI244" s="303"/>
      <c r="AJ244" s="303"/>
      <c r="AK244" s="302"/>
      <c r="AL244" s="314"/>
      <c r="AM244" s="305"/>
      <c r="AN244" s="302"/>
      <c r="AO244" s="302"/>
      <c r="AP244" s="302"/>
      <c r="AQ244" s="302"/>
      <c r="AR244" s="302"/>
      <c r="AS244" s="302"/>
      <c r="AT244" s="302"/>
      <c r="AU244" s="304"/>
      <c r="AV244" s="306"/>
      <c r="AW244" s="303"/>
      <c r="AX244" s="303"/>
      <c r="AY244" s="303"/>
      <c r="AZ244" s="303"/>
      <c r="BA244" s="303"/>
      <c r="BB244" s="303"/>
      <c r="BC244" s="303"/>
      <c r="BD244" s="304"/>
      <c r="BE244" s="305"/>
      <c r="BF244" s="302"/>
      <c r="BG244" s="307"/>
      <c r="BH244" s="308"/>
      <c r="BI244" s="302"/>
      <c r="BJ244" s="307"/>
      <c r="BK244" s="308"/>
      <c r="BL244" s="302"/>
      <c r="BM244" s="303"/>
      <c r="BN244" s="315"/>
      <c r="BO244" s="250">
        <f t="shared" si="23"/>
        <v>0</v>
      </c>
    </row>
    <row r="245" spans="1:67" ht="25.5" customHeight="1" x14ac:dyDescent="0.2">
      <c r="A245" s="142">
        <f t="shared" si="24"/>
        <v>230</v>
      </c>
      <c r="B245" s="251"/>
      <c r="C245" s="252"/>
      <c r="D245" s="253"/>
      <c r="E245" s="254"/>
      <c r="F245" s="278"/>
      <c r="G245" s="256"/>
      <c r="H245" s="257"/>
      <c r="I245" s="231" t="str">
        <f t="shared" si="19"/>
        <v/>
      </c>
      <c r="J245" s="258">
        <f t="shared" si="20"/>
        <v>0</v>
      </c>
      <c r="K245" s="313"/>
      <c r="L245" s="300"/>
      <c r="M245" s="300"/>
      <c r="N245" s="235" t="str">
        <f t="shared" si="21"/>
        <v/>
      </c>
      <c r="O245" s="236" t="str">
        <f>IF('Data Set up'!$G$40="JUNE",IF(OR($N245=7,$N245=8,$N245=9),1,IF(OR($N245=10,$N245=11,$N245=12),2,IF(OR($N245=1,$N245=2,$N245=3),3,IF(OR($N245=4,$N245=5,$N245=6),4,"")))),IF(OR($N245=9,$N245=10,$N245=11),1,IF(OR($N245=12,$N245=1,$N245=2),2,IF(OR($N245=3,$N245=4,$N245=5),3,IF(OR($N245=6,$N245=7,$N245=8),4,"")))))</f>
        <v/>
      </c>
      <c r="P245" s="261"/>
      <c r="Q245" s="305"/>
      <c r="R245" s="302"/>
      <c r="S245" s="264">
        <f t="shared" si="22"/>
        <v>0</v>
      </c>
      <c r="T245" s="302"/>
      <c r="U245" s="302"/>
      <c r="V245" s="302"/>
      <c r="W245" s="302"/>
      <c r="X245" s="302"/>
      <c r="Y245" s="302"/>
      <c r="Z245" s="302"/>
      <c r="AA245" s="302"/>
      <c r="AB245" s="303"/>
      <c r="AC245" s="304"/>
      <c r="AD245" s="305"/>
      <c r="AE245" s="302"/>
      <c r="AF245" s="302"/>
      <c r="AG245" s="302"/>
      <c r="AH245" s="302"/>
      <c r="AI245" s="303"/>
      <c r="AJ245" s="303"/>
      <c r="AK245" s="302"/>
      <c r="AL245" s="314"/>
      <c r="AM245" s="305"/>
      <c r="AN245" s="302"/>
      <c r="AO245" s="302"/>
      <c r="AP245" s="302"/>
      <c r="AQ245" s="302"/>
      <c r="AR245" s="302"/>
      <c r="AS245" s="302"/>
      <c r="AT245" s="302"/>
      <c r="AU245" s="304"/>
      <c r="AV245" s="306"/>
      <c r="AW245" s="303"/>
      <c r="AX245" s="303"/>
      <c r="AY245" s="303"/>
      <c r="AZ245" s="303"/>
      <c r="BA245" s="303"/>
      <c r="BB245" s="303"/>
      <c r="BC245" s="303"/>
      <c r="BD245" s="304"/>
      <c r="BE245" s="305"/>
      <c r="BF245" s="302"/>
      <c r="BG245" s="307"/>
      <c r="BH245" s="308"/>
      <c r="BI245" s="302"/>
      <c r="BJ245" s="307"/>
      <c r="BK245" s="308"/>
      <c r="BL245" s="302"/>
      <c r="BM245" s="303"/>
      <c r="BN245" s="315"/>
      <c r="BO245" s="250">
        <f t="shared" si="23"/>
        <v>0</v>
      </c>
    </row>
    <row r="246" spans="1:67" ht="25.5" customHeight="1" x14ac:dyDescent="0.2">
      <c r="A246" s="142">
        <f t="shared" si="24"/>
        <v>231</v>
      </c>
      <c r="B246" s="251"/>
      <c r="C246" s="252"/>
      <c r="D246" s="253"/>
      <c r="E246" s="254"/>
      <c r="F246" s="278"/>
      <c r="G246" s="256"/>
      <c r="H246" s="257"/>
      <c r="I246" s="231" t="str">
        <f t="shared" si="19"/>
        <v/>
      </c>
      <c r="J246" s="258">
        <f t="shared" si="20"/>
        <v>0</v>
      </c>
      <c r="K246" s="313"/>
      <c r="L246" s="300"/>
      <c r="M246" s="300"/>
      <c r="N246" s="235" t="str">
        <f t="shared" si="21"/>
        <v/>
      </c>
      <c r="O246" s="236" t="str">
        <f>IF('Data Set up'!$G$40="JUNE",IF(OR($N246=7,$N246=8,$N246=9),1,IF(OR($N246=10,$N246=11,$N246=12),2,IF(OR($N246=1,$N246=2,$N246=3),3,IF(OR($N246=4,$N246=5,$N246=6),4,"")))),IF(OR($N246=9,$N246=10,$N246=11),1,IF(OR($N246=12,$N246=1,$N246=2),2,IF(OR($N246=3,$N246=4,$N246=5),3,IF(OR($N246=6,$N246=7,$N246=8),4,"")))))</f>
        <v/>
      </c>
      <c r="P246" s="261"/>
      <c r="Q246" s="305"/>
      <c r="R246" s="302"/>
      <c r="S246" s="264">
        <f t="shared" si="22"/>
        <v>0</v>
      </c>
      <c r="T246" s="302"/>
      <c r="U246" s="302"/>
      <c r="V246" s="302"/>
      <c r="W246" s="302"/>
      <c r="X246" s="302"/>
      <c r="Y246" s="302"/>
      <c r="Z246" s="302"/>
      <c r="AA246" s="302"/>
      <c r="AB246" s="303"/>
      <c r="AC246" s="304"/>
      <c r="AD246" s="305"/>
      <c r="AE246" s="302"/>
      <c r="AF246" s="302"/>
      <c r="AG246" s="302"/>
      <c r="AH246" s="302"/>
      <c r="AI246" s="303"/>
      <c r="AJ246" s="303"/>
      <c r="AK246" s="302"/>
      <c r="AL246" s="314"/>
      <c r="AM246" s="305"/>
      <c r="AN246" s="302"/>
      <c r="AO246" s="302"/>
      <c r="AP246" s="302"/>
      <c r="AQ246" s="302"/>
      <c r="AR246" s="302"/>
      <c r="AS246" s="302"/>
      <c r="AT246" s="302"/>
      <c r="AU246" s="304"/>
      <c r="AV246" s="306"/>
      <c r="AW246" s="303"/>
      <c r="AX246" s="303"/>
      <c r="AY246" s="303"/>
      <c r="AZ246" s="303"/>
      <c r="BA246" s="303"/>
      <c r="BB246" s="303"/>
      <c r="BC246" s="303"/>
      <c r="BD246" s="304"/>
      <c r="BE246" s="305"/>
      <c r="BF246" s="302"/>
      <c r="BG246" s="307"/>
      <c r="BH246" s="308"/>
      <c r="BI246" s="302"/>
      <c r="BJ246" s="307"/>
      <c r="BK246" s="308"/>
      <c r="BL246" s="302"/>
      <c r="BM246" s="303"/>
      <c r="BN246" s="315"/>
      <c r="BO246" s="250">
        <f t="shared" si="23"/>
        <v>0</v>
      </c>
    </row>
    <row r="247" spans="1:67" ht="25.5" customHeight="1" x14ac:dyDescent="0.2">
      <c r="A247" s="142">
        <f t="shared" si="24"/>
        <v>232</v>
      </c>
      <c r="B247" s="251"/>
      <c r="C247" s="252"/>
      <c r="D247" s="253"/>
      <c r="E247" s="254"/>
      <c r="F247" s="278"/>
      <c r="G247" s="256"/>
      <c r="H247" s="257"/>
      <c r="I247" s="231" t="str">
        <f t="shared" si="19"/>
        <v/>
      </c>
      <c r="J247" s="258">
        <f t="shared" si="20"/>
        <v>0</v>
      </c>
      <c r="K247" s="313"/>
      <c r="L247" s="300"/>
      <c r="M247" s="300"/>
      <c r="N247" s="235" t="str">
        <f t="shared" si="21"/>
        <v/>
      </c>
      <c r="O247" s="236" t="str">
        <f>IF('Data Set up'!$G$40="JUNE",IF(OR($N247=7,$N247=8,$N247=9),1,IF(OR($N247=10,$N247=11,$N247=12),2,IF(OR($N247=1,$N247=2,$N247=3),3,IF(OR($N247=4,$N247=5,$N247=6),4,"")))),IF(OR($N247=9,$N247=10,$N247=11),1,IF(OR($N247=12,$N247=1,$N247=2),2,IF(OR($N247=3,$N247=4,$N247=5),3,IF(OR($N247=6,$N247=7,$N247=8),4,"")))))</f>
        <v/>
      </c>
      <c r="P247" s="261"/>
      <c r="Q247" s="305"/>
      <c r="R247" s="302"/>
      <c r="S247" s="264">
        <f t="shared" si="22"/>
        <v>0</v>
      </c>
      <c r="T247" s="302"/>
      <c r="U247" s="302"/>
      <c r="V247" s="302"/>
      <c r="W247" s="302"/>
      <c r="X247" s="302"/>
      <c r="Y247" s="302"/>
      <c r="Z247" s="302"/>
      <c r="AA247" s="302"/>
      <c r="AB247" s="303"/>
      <c r="AC247" s="304"/>
      <c r="AD247" s="305"/>
      <c r="AE247" s="302"/>
      <c r="AF247" s="302"/>
      <c r="AG247" s="302"/>
      <c r="AH247" s="302"/>
      <c r="AI247" s="303"/>
      <c r="AJ247" s="303"/>
      <c r="AK247" s="302"/>
      <c r="AL247" s="314"/>
      <c r="AM247" s="305"/>
      <c r="AN247" s="302"/>
      <c r="AO247" s="302"/>
      <c r="AP247" s="302"/>
      <c r="AQ247" s="302"/>
      <c r="AR247" s="302"/>
      <c r="AS247" s="302"/>
      <c r="AT247" s="302"/>
      <c r="AU247" s="304"/>
      <c r="AV247" s="306"/>
      <c r="AW247" s="303"/>
      <c r="AX247" s="303"/>
      <c r="AY247" s="303"/>
      <c r="AZ247" s="303"/>
      <c r="BA247" s="303"/>
      <c r="BB247" s="303"/>
      <c r="BC247" s="303"/>
      <c r="BD247" s="304"/>
      <c r="BE247" s="305"/>
      <c r="BF247" s="302"/>
      <c r="BG247" s="307"/>
      <c r="BH247" s="308"/>
      <c r="BI247" s="302"/>
      <c r="BJ247" s="307"/>
      <c r="BK247" s="308"/>
      <c r="BL247" s="302"/>
      <c r="BM247" s="303"/>
      <c r="BN247" s="315"/>
      <c r="BO247" s="250">
        <f t="shared" si="23"/>
        <v>0</v>
      </c>
    </row>
    <row r="248" spans="1:67" ht="25.5" customHeight="1" x14ac:dyDescent="0.2">
      <c r="A248" s="142">
        <f t="shared" si="24"/>
        <v>233</v>
      </c>
      <c r="B248" s="251"/>
      <c r="C248" s="252"/>
      <c r="D248" s="253"/>
      <c r="E248" s="254"/>
      <c r="F248" s="278"/>
      <c r="G248" s="256"/>
      <c r="H248" s="257"/>
      <c r="I248" s="231" t="str">
        <f t="shared" si="19"/>
        <v/>
      </c>
      <c r="J248" s="258">
        <f t="shared" si="20"/>
        <v>0</v>
      </c>
      <c r="K248" s="313"/>
      <c r="L248" s="300"/>
      <c r="M248" s="300"/>
      <c r="N248" s="235" t="str">
        <f t="shared" si="21"/>
        <v/>
      </c>
      <c r="O248" s="236" t="str">
        <f>IF('Data Set up'!$G$40="JUNE",IF(OR($N248=7,$N248=8,$N248=9),1,IF(OR($N248=10,$N248=11,$N248=12),2,IF(OR($N248=1,$N248=2,$N248=3),3,IF(OR($N248=4,$N248=5,$N248=6),4,"")))),IF(OR($N248=9,$N248=10,$N248=11),1,IF(OR($N248=12,$N248=1,$N248=2),2,IF(OR($N248=3,$N248=4,$N248=5),3,IF(OR($N248=6,$N248=7,$N248=8),4,"")))))</f>
        <v/>
      </c>
      <c r="P248" s="261"/>
      <c r="Q248" s="305"/>
      <c r="R248" s="302"/>
      <c r="S248" s="264">
        <f t="shared" si="22"/>
        <v>0</v>
      </c>
      <c r="T248" s="302"/>
      <c r="U248" s="302"/>
      <c r="V248" s="302"/>
      <c r="W248" s="302"/>
      <c r="X248" s="302"/>
      <c r="Y248" s="302"/>
      <c r="Z248" s="302"/>
      <c r="AA248" s="302"/>
      <c r="AB248" s="303"/>
      <c r="AC248" s="304"/>
      <c r="AD248" s="305"/>
      <c r="AE248" s="302"/>
      <c r="AF248" s="302"/>
      <c r="AG248" s="302"/>
      <c r="AH248" s="302"/>
      <c r="AI248" s="303"/>
      <c r="AJ248" s="303"/>
      <c r="AK248" s="302"/>
      <c r="AL248" s="314"/>
      <c r="AM248" s="305"/>
      <c r="AN248" s="302"/>
      <c r="AO248" s="302"/>
      <c r="AP248" s="302"/>
      <c r="AQ248" s="302"/>
      <c r="AR248" s="302"/>
      <c r="AS248" s="302"/>
      <c r="AT248" s="302"/>
      <c r="AU248" s="304"/>
      <c r="AV248" s="306"/>
      <c r="AW248" s="303"/>
      <c r="AX248" s="303"/>
      <c r="AY248" s="303"/>
      <c r="AZ248" s="303"/>
      <c r="BA248" s="303"/>
      <c r="BB248" s="303"/>
      <c r="BC248" s="303"/>
      <c r="BD248" s="304"/>
      <c r="BE248" s="305"/>
      <c r="BF248" s="302"/>
      <c r="BG248" s="307"/>
      <c r="BH248" s="308"/>
      <c r="BI248" s="302"/>
      <c r="BJ248" s="307"/>
      <c r="BK248" s="308"/>
      <c r="BL248" s="302"/>
      <c r="BM248" s="303"/>
      <c r="BN248" s="315"/>
      <c r="BO248" s="250">
        <f t="shared" si="23"/>
        <v>0</v>
      </c>
    </row>
    <row r="249" spans="1:67" ht="25.5" customHeight="1" x14ac:dyDescent="0.2">
      <c r="A249" s="142">
        <f t="shared" si="24"/>
        <v>234</v>
      </c>
      <c r="B249" s="251"/>
      <c r="C249" s="252"/>
      <c r="D249" s="253"/>
      <c r="E249" s="254"/>
      <c r="F249" s="278"/>
      <c r="G249" s="256"/>
      <c r="H249" s="257"/>
      <c r="I249" s="231" t="str">
        <f t="shared" si="19"/>
        <v/>
      </c>
      <c r="J249" s="258">
        <f t="shared" si="20"/>
        <v>0</v>
      </c>
      <c r="K249" s="313"/>
      <c r="L249" s="300"/>
      <c r="M249" s="300"/>
      <c r="N249" s="235" t="str">
        <f t="shared" si="21"/>
        <v/>
      </c>
      <c r="O249" s="236" t="str">
        <f>IF('Data Set up'!$G$40="JUNE",IF(OR($N249=7,$N249=8,$N249=9),1,IF(OR($N249=10,$N249=11,$N249=12),2,IF(OR($N249=1,$N249=2,$N249=3),3,IF(OR($N249=4,$N249=5,$N249=6),4,"")))),IF(OR($N249=9,$N249=10,$N249=11),1,IF(OR($N249=12,$N249=1,$N249=2),2,IF(OR($N249=3,$N249=4,$N249=5),3,IF(OR($N249=6,$N249=7,$N249=8),4,"")))))</f>
        <v/>
      </c>
      <c r="P249" s="261"/>
      <c r="Q249" s="305"/>
      <c r="R249" s="302"/>
      <c r="S249" s="264">
        <f t="shared" si="22"/>
        <v>0</v>
      </c>
      <c r="T249" s="302"/>
      <c r="U249" s="302"/>
      <c r="V249" s="302"/>
      <c r="W249" s="302"/>
      <c r="X249" s="302"/>
      <c r="Y249" s="302"/>
      <c r="Z249" s="302"/>
      <c r="AA249" s="302"/>
      <c r="AB249" s="303"/>
      <c r="AC249" s="304"/>
      <c r="AD249" s="305"/>
      <c r="AE249" s="302"/>
      <c r="AF249" s="302"/>
      <c r="AG249" s="302"/>
      <c r="AH249" s="302"/>
      <c r="AI249" s="303"/>
      <c r="AJ249" s="303"/>
      <c r="AK249" s="302"/>
      <c r="AL249" s="314"/>
      <c r="AM249" s="305"/>
      <c r="AN249" s="302"/>
      <c r="AO249" s="302"/>
      <c r="AP249" s="302"/>
      <c r="AQ249" s="302"/>
      <c r="AR249" s="302"/>
      <c r="AS249" s="302"/>
      <c r="AT249" s="302"/>
      <c r="AU249" s="304"/>
      <c r="AV249" s="306"/>
      <c r="AW249" s="303"/>
      <c r="AX249" s="303"/>
      <c r="AY249" s="303"/>
      <c r="AZ249" s="303"/>
      <c r="BA249" s="303"/>
      <c r="BB249" s="303"/>
      <c r="BC249" s="303"/>
      <c r="BD249" s="304"/>
      <c r="BE249" s="305"/>
      <c r="BF249" s="302"/>
      <c r="BG249" s="307"/>
      <c r="BH249" s="308"/>
      <c r="BI249" s="302"/>
      <c r="BJ249" s="307"/>
      <c r="BK249" s="308"/>
      <c r="BL249" s="302"/>
      <c r="BM249" s="303"/>
      <c r="BN249" s="315"/>
      <c r="BO249" s="250">
        <f t="shared" si="23"/>
        <v>0</v>
      </c>
    </row>
    <row r="250" spans="1:67" ht="25.5" customHeight="1" x14ac:dyDescent="0.2">
      <c r="A250" s="142">
        <f t="shared" si="24"/>
        <v>235</v>
      </c>
      <c r="B250" s="251"/>
      <c r="C250" s="252"/>
      <c r="D250" s="253"/>
      <c r="E250" s="254"/>
      <c r="F250" s="278"/>
      <c r="G250" s="256"/>
      <c r="H250" s="257"/>
      <c r="I250" s="231" t="str">
        <f t="shared" si="19"/>
        <v/>
      </c>
      <c r="J250" s="258">
        <f t="shared" si="20"/>
        <v>0</v>
      </c>
      <c r="K250" s="313"/>
      <c r="L250" s="300"/>
      <c r="M250" s="300"/>
      <c r="N250" s="235" t="str">
        <f t="shared" si="21"/>
        <v/>
      </c>
      <c r="O250" s="236" t="str">
        <f>IF('Data Set up'!$G$40="JUNE",IF(OR($N250=7,$N250=8,$N250=9),1,IF(OR($N250=10,$N250=11,$N250=12),2,IF(OR($N250=1,$N250=2,$N250=3),3,IF(OR($N250=4,$N250=5,$N250=6),4,"")))),IF(OR($N250=9,$N250=10,$N250=11),1,IF(OR($N250=12,$N250=1,$N250=2),2,IF(OR($N250=3,$N250=4,$N250=5),3,IF(OR($N250=6,$N250=7,$N250=8),4,"")))))</f>
        <v/>
      </c>
      <c r="P250" s="261"/>
      <c r="Q250" s="305"/>
      <c r="R250" s="302"/>
      <c r="S250" s="264">
        <f t="shared" si="22"/>
        <v>0</v>
      </c>
      <c r="T250" s="302"/>
      <c r="U250" s="302"/>
      <c r="V250" s="302"/>
      <c r="W250" s="302"/>
      <c r="X250" s="302"/>
      <c r="Y250" s="302"/>
      <c r="Z250" s="302"/>
      <c r="AA250" s="302"/>
      <c r="AB250" s="303"/>
      <c r="AC250" s="304"/>
      <c r="AD250" s="305"/>
      <c r="AE250" s="302"/>
      <c r="AF250" s="302"/>
      <c r="AG250" s="302"/>
      <c r="AH250" s="302"/>
      <c r="AI250" s="303"/>
      <c r="AJ250" s="303"/>
      <c r="AK250" s="302"/>
      <c r="AL250" s="314"/>
      <c r="AM250" s="305"/>
      <c r="AN250" s="302"/>
      <c r="AO250" s="302"/>
      <c r="AP250" s="302"/>
      <c r="AQ250" s="302"/>
      <c r="AR250" s="302"/>
      <c r="AS250" s="302"/>
      <c r="AT250" s="302"/>
      <c r="AU250" s="304"/>
      <c r="AV250" s="306"/>
      <c r="AW250" s="303"/>
      <c r="AX250" s="303"/>
      <c r="AY250" s="303"/>
      <c r="AZ250" s="303"/>
      <c r="BA250" s="303"/>
      <c r="BB250" s="303"/>
      <c r="BC250" s="303"/>
      <c r="BD250" s="304"/>
      <c r="BE250" s="305"/>
      <c r="BF250" s="302"/>
      <c r="BG250" s="307"/>
      <c r="BH250" s="308"/>
      <c r="BI250" s="302"/>
      <c r="BJ250" s="307"/>
      <c r="BK250" s="308"/>
      <c r="BL250" s="302"/>
      <c r="BM250" s="303"/>
      <c r="BN250" s="315"/>
      <c r="BO250" s="250">
        <f t="shared" si="23"/>
        <v>0</v>
      </c>
    </row>
    <row r="251" spans="1:67" ht="25.5" customHeight="1" x14ac:dyDescent="0.2">
      <c r="A251" s="142">
        <f t="shared" si="24"/>
        <v>236</v>
      </c>
      <c r="B251" s="251"/>
      <c r="C251" s="252"/>
      <c r="D251" s="253"/>
      <c r="E251" s="254"/>
      <c r="F251" s="278"/>
      <c r="G251" s="256"/>
      <c r="H251" s="257"/>
      <c r="I251" s="231" t="str">
        <f t="shared" si="19"/>
        <v/>
      </c>
      <c r="J251" s="258">
        <f t="shared" si="20"/>
        <v>0</v>
      </c>
      <c r="K251" s="313"/>
      <c r="L251" s="300"/>
      <c r="M251" s="300"/>
      <c r="N251" s="235" t="str">
        <f t="shared" si="21"/>
        <v/>
      </c>
      <c r="O251" s="236" t="str">
        <f>IF('Data Set up'!$G$40="JUNE",IF(OR($N251=7,$N251=8,$N251=9),1,IF(OR($N251=10,$N251=11,$N251=12),2,IF(OR($N251=1,$N251=2,$N251=3),3,IF(OR($N251=4,$N251=5,$N251=6),4,"")))),IF(OR($N251=9,$N251=10,$N251=11),1,IF(OR($N251=12,$N251=1,$N251=2),2,IF(OR($N251=3,$N251=4,$N251=5),3,IF(OR($N251=6,$N251=7,$N251=8),4,"")))))</f>
        <v/>
      </c>
      <c r="P251" s="261"/>
      <c r="Q251" s="305"/>
      <c r="R251" s="302"/>
      <c r="S251" s="264">
        <f t="shared" si="22"/>
        <v>0</v>
      </c>
      <c r="T251" s="302"/>
      <c r="U251" s="302"/>
      <c r="V251" s="302"/>
      <c r="W251" s="302"/>
      <c r="X251" s="302"/>
      <c r="Y251" s="302"/>
      <c r="Z251" s="302"/>
      <c r="AA251" s="302"/>
      <c r="AB251" s="303"/>
      <c r="AC251" s="304"/>
      <c r="AD251" s="305"/>
      <c r="AE251" s="302"/>
      <c r="AF251" s="302"/>
      <c r="AG251" s="302"/>
      <c r="AH251" s="302"/>
      <c r="AI251" s="303"/>
      <c r="AJ251" s="303"/>
      <c r="AK251" s="302"/>
      <c r="AL251" s="314"/>
      <c r="AM251" s="305"/>
      <c r="AN251" s="302"/>
      <c r="AO251" s="302"/>
      <c r="AP251" s="302"/>
      <c r="AQ251" s="302"/>
      <c r="AR251" s="302"/>
      <c r="AS251" s="302"/>
      <c r="AT251" s="302"/>
      <c r="AU251" s="304"/>
      <c r="AV251" s="306"/>
      <c r="AW251" s="303"/>
      <c r="AX251" s="303"/>
      <c r="AY251" s="303"/>
      <c r="AZ251" s="303"/>
      <c r="BA251" s="303"/>
      <c r="BB251" s="303"/>
      <c r="BC251" s="303"/>
      <c r="BD251" s="304"/>
      <c r="BE251" s="305"/>
      <c r="BF251" s="302"/>
      <c r="BG251" s="307"/>
      <c r="BH251" s="308"/>
      <c r="BI251" s="302"/>
      <c r="BJ251" s="307"/>
      <c r="BK251" s="308"/>
      <c r="BL251" s="302"/>
      <c r="BM251" s="303"/>
      <c r="BN251" s="315"/>
      <c r="BO251" s="250">
        <f t="shared" si="23"/>
        <v>0</v>
      </c>
    </row>
    <row r="252" spans="1:67" ht="25.5" customHeight="1" x14ac:dyDescent="0.2">
      <c r="A252" s="142">
        <f t="shared" si="24"/>
        <v>237</v>
      </c>
      <c r="B252" s="251"/>
      <c r="C252" s="252"/>
      <c r="D252" s="253"/>
      <c r="E252" s="254"/>
      <c r="F252" s="278"/>
      <c r="G252" s="256"/>
      <c r="H252" s="257"/>
      <c r="I252" s="231" t="str">
        <f t="shared" si="19"/>
        <v/>
      </c>
      <c r="J252" s="258">
        <f t="shared" si="20"/>
        <v>0</v>
      </c>
      <c r="K252" s="313"/>
      <c r="L252" s="300"/>
      <c r="M252" s="300"/>
      <c r="N252" s="235" t="str">
        <f t="shared" si="21"/>
        <v/>
      </c>
      <c r="O252" s="236" t="str">
        <f>IF('Data Set up'!$G$40="JUNE",IF(OR($N252=7,$N252=8,$N252=9),1,IF(OR($N252=10,$N252=11,$N252=12),2,IF(OR($N252=1,$N252=2,$N252=3),3,IF(OR($N252=4,$N252=5,$N252=6),4,"")))),IF(OR($N252=9,$N252=10,$N252=11),1,IF(OR($N252=12,$N252=1,$N252=2),2,IF(OR($N252=3,$N252=4,$N252=5),3,IF(OR($N252=6,$N252=7,$N252=8),4,"")))))</f>
        <v/>
      </c>
      <c r="P252" s="261"/>
      <c r="Q252" s="305"/>
      <c r="R252" s="302"/>
      <c r="S252" s="264">
        <f t="shared" si="22"/>
        <v>0</v>
      </c>
      <c r="T252" s="302"/>
      <c r="U252" s="302"/>
      <c r="V252" s="302"/>
      <c r="W252" s="302"/>
      <c r="X252" s="302"/>
      <c r="Y252" s="302"/>
      <c r="Z252" s="302"/>
      <c r="AA252" s="302"/>
      <c r="AB252" s="303"/>
      <c r="AC252" s="304"/>
      <c r="AD252" s="305"/>
      <c r="AE252" s="302"/>
      <c r="AF252" s="302"/>
      <c r="AG252" s="302"/>
      <c r="AH252" s="302"/>
      <c r="AI252" s="303"/>
      <c r="AJ252" s="303"/>
      <c r="AK252" s="302"/>
      <c r="AL252" s="314"/>
      <c r="AM252" s="305"/>
      <c r="AN252" s="302"/>
      <c r="AO252" s="302"/>
      <c r="AP252" s="302"/>
      <c r="AQ252" s="302"/>
      <c r="AR252" s="302"/>
      <c r="AS252" s="302"/>
      <c r="AT252" s="302"/>
      <c r="AU252" s="304"/>
      <c r="AV252" s="306"/>
      <c r="AW252" s="303"/>
      <c r="AX252" s="303"/>
      <c r="AY252" s="303"/>
      <c r="AZ252" s="303"/>
      <c r="BA252" s="303"/>
      <c r="BB252" s="303"/>
      <c r="BC252" s="303"/>
      <c r="BD252" s="304"/>
      <c r="BE252" s="305"/>
      <c r="BF252" s="302"/>
      <c r="BG252" s="307"/>
      <c r="BH252" s="308"/>
      <c r="BI252" s="302"/>
      <c r="BJ252" s="307"/>
      <c r="BK252" s="308"/>
      <c r="BL252" s="302"/>
      <c r="BM252" s="303"/>
      <c r="BN252" s="315"/>
      <c r="BO252" s="250">
        <f t="shared" si="23"/>
        <v>0</v>
      </c>
    </row>
    <row r="253" spans="1:67" ht="25.5" customHeight="1" x14ac:dyDescent="0.2">
      <c r="A253" s="142">
        <f t="shared" si="24"/>
        <v>238</v>
      </c>
      <c r="B253" s="251"/>
      <c r="C253" s="252"/>
      <c r="D253" s="253"/>
      <c r="E253" s="254"/>
      <c r="F253" s="278"/>
      <c r="G253" s="256"/>
      <c r="H253" s="257"/>
      <c r="I253" s="231" t="str">
        <f t="shared" si="19"/>
        <v/>
      </c>
      <c r="J253" s="258">
        <f t="shared" si="20"/>
        <v>0</v>
      </c>
      <c r="K253" s="313"/>
      <c r="L253" s="300"/>
      <c r="M253" s="300"/>
      <c r="N253" s="235" t="str">
        <f t="shared" si="21"/>
        <v/>
      </c>
      <c r="O253" s="236" t="str">
        <f>IF('Data Set up'!$G$40="JUNE",IF(OR($N253=7,$N253=8,$N253=9),1,IF(OR($N253=10,$N253=11,$N253=12),2,IF(OR($N253=1,$N253=2,$N253=3),3,IF(OR($N253=4,$N253=5,$N253=6),4,"")))),IF(OR($N253=9,$N253=10,$N253=11),1,IF(OR($N253=12,$N253=1,$N253=2),2,IF(OR($N253=3,$N253=4,$N253=5),3,IF(OR($N253=6,$N253=7,$N253=8),4,"")))))</f>
        <v/>
      </c>
      <c r="P253" s="261"/>
      <c r="Q253" s="305"/>
      <c r="R253" s="302"/>
      <c r="S253" s="264">
        <f t="shared" si="22"/>
        <v>0</v>
      </c>
      <c r="T253" s="302"/>
      <c r="U253" s="302"/>
      <c r="V253" s="302"/>
      <c r="W253" s="302"/>
      <c r="X253" s="302"/>
      <c r="Y253" s="302"/>
      <c r="Z253" s="302"/>
      <c r="AA253" s="302"/>
      <c r="AB253" s="303"/>
      <c r="AC253" s="304"/>
      <c r="AD253" s="305"/>
      <c r="AE253" s="302"/>
      <c r="AF253" s="302"/>
      <c r="AG253" s="302"/>
      <c r="AH253" s="302"/>
      <c r="AI253" s="303"/>
      <c r="AJ253" s="303"/>
      <c r="AK253" s="302"/>
      <c r="AL253" s="314"/>
      <c r="AM253" s="305"/>
      <c r="AN253" s="302"/>
      <c r="AO253" s="302"/>
      <c r="AP253" s="302"/>
      <c r="AQ253" s="302"/>
      <c r="AR253" s="302"/>
      <c r="AS253" s="302"/>
      <c r="AT253" s="302"/>
      <c r="AU253" s="304"/>
      <c r="AV253" s="306"/>
      <c r="AW253" s="303"/>
      <c r="AX253" s="303"/>
      <c r="AY253" s="303"/>
      <c r="AZ253" s="303"/>
      <c r="BA253" s="303"/>
      <c r="BB253" s="303"/>
      <c r="BC253" s="303"/>
      <c r="BD253" s="304"/>
      <c r="BE253" s="305"/>
      <c r="BF253" s="302"/>
      <c r="BG253" s="307"/>
      <c r="BH253" s="308"/>
      <c r="BI253" s="302"/>
      <c r="BJ253" s="307"/>
      <c r="BK253" s="308"/>
      <c r="BL253" s="302"/>
      <c r="BM253" s="303"/>
      <c r="BN253" s="315"/>
      <c r="BO253" s="250">
        <f t="shared" si="23"/>
        <v>0</v>
      </c>
    </row>
    <row r="254" spans="1:67" ht="25.5" customHeight="1" x14ac:dyDescent="0.2">
      <c r="A254" s="142">
        <f t="shared" si="24"/>
        <v>239</v>
      </c>
      <c r="B254" s="251"/>
      <c r="C254" s="252"/>
      <c r="D254" s="253"/>
      <c r="E254" s="254"/>
      <c r="F254" s="278"/>
      <c r="G254" s="256"/>
      <c r="H254" s="257"/>
      <c r="I254" s="231" t="str">
        <f t="shared" si="19"/>
        <v/>
      </c>
      <c r="J254" s="258">
        <f t="shared" si="20"/>
        <v>0</v>
      </c>
      <c r="K254" s="313"/>
      <c r="L254" s="300"/>
      <c r="M254" s="300"/>
      <c r="N254" s="235" t="str">
        <f t="shared" si="21"/>
        <v/>
      </c>
      <c r="O254" s="236" t="str">
        <f>IF('Data Set up'!$G$40="JUNE",IF(OR($N254=7,$N254=8,$N254=9),1,IF(OR($N254=10,$N254=11,$N254=12),2,IF(OR($N254=1,$N254=2,$N254=3),3,IF(OR($N254=4,$N254=5,$N254=6),4,"")))),IF(OR($N254=9,$N254=10,$N254=11),1,IF(OR($N254=12,$N254=1,$N254=2),2,IF(OR($N254=3,$N254=4,$N254=5),3,IF(OR($N254=6,$N254=7,$N254=8),4,"")))))</f>
        <v/>
      </c>
      <c r="P254" s="261"/>
      <c r="Q254" s="305"/>
      <c r="R254" s="302"/>
      <c r="S254" s="264">
        <f t="shared" si="22"/>
        <v>0</v>
      </c>
      <c r="T254" s="302"/>
      <c r="U254" s="302"/>
      <c r="V254" s="302"/>
      <c r="W254" s="302"/>
      <c r="X254" s="302"/>
      <c r="Y254" s="302"/>
      <c r="Z254" s="302"/>
      <c r="AA254" s="302"/>
      <c r="AB254" s="303"/>
      <c r="AC254" s="304"/>
      <c r="AD254" s="305"/>
      <c r="AE254" s="302"/>
      <c r="AF254" s="302"/>
      <c r="AG254" s="302"/>
      <c r="AH254" s="302"/>
      <c r="AI254" s="303"/>
      <c r="AJ254" s="303"/>
      <c r="AK254" s="302"/>
      <c r="AL254" s="314"/>
      <c r="AM254" s="305"/>
      <c r="AN254" s="302"/>
      <c r="AO254" s="302"/>
      <c r="AP254" s="302"/>
      <c r="AQ254" s="302"/>
      <c r="AR254" s="302"/>
      <c r="AS254" s="302"/>
      <c r="AT254" s="302"/>
      <c r="AU254" s="304"/>
      <c r="AV254" s="306"/>
      <c r="AW254" s="303"/>
      <c r="AX254" s="303"/>
      <c r="AY254" s="303"/>
      <c r="AZ254" s="303"/>
      <c r="BA254" s="303"/>
      <c r="BB254" s="303"/>
      <c r="BC254" s="303"/>
      <c r="BD254" s="304"/>
      <c r="BE254" s="305"/>
      <c r="BF254" s="302"/>
      <c r="BG254" s="307"/>
      <c r="BH254" s="308"/>
      <c r="BI254" s="302"/>
      <c r="BJ254" s="307"/>
      <c r="BK254" s="308"/>
      <c r="BL254" s="302"/>
      <c r="BM254" s="303"/>
      <c r="BN254" s="315"/>
      <c r="BO254" s="250">
        <f t="shared" si="23"/>
        <v>0</v>
      </c>
    </row>
    <row r="255" spans="1:67" ht="25.5" customHeight="1" x14ac:dyDescent="0.2">
      <c r="A255" s="142">
        <f t="shared" si="24"/>
        <v>240</v>
      </c>
      <c r="B255" s="251"/>
      <c r="C255" s="252"/>
      <c r="D255" s="253"/>
      <c r="E255" s="254"/>
      <c r="F255" s="278"/>
      <c r="G255" s="256"/>
      <c r="H255" s="257"/>
      <c r="I255" s="231" t="str">
        <f t="shared" si="19"/>
        <v/>
      </c>
      <c r="J255" s="258">
        <f t="shared" si="20"/>
        <v>0</v>
      </c>
      <c r="K255" s="313"/>
      <c r="L255" s="300"/>
      <c r="M255" s="300"/>
      <c r="N255" s="235" t="str">
        <f t="shared" si="21"/>
        <v/>
      </c>
      <c r="O255" s="236" t="str">
        <f>IF('Data Set up'!$G$40="JUNE",IF(OR($N255=7,$N255=8,$N255=9),1,IF(OR($N255=10,$N255=11,$N255=12),2,IF(OR($N255=1,$N255=2,$N255=3),3,IF(OR($N255=4,$N255=5,$N255=6),4,"")))),IF(OR($N255=9,$N255=10,$N255=11),1,IF(OR($N255=12,$N255=1,$N255=2),2,IF(OR($N255=3,$N255=4,$N255=5),3,IF(OR($N255=6,$N255=7,$N255=8),4,"")))))</f>
        <v/>
      </c>
      <c r="P255" s="261"/>
      <c r="Q255" s="305"/>
      <c r="R255" s="302"/>
      <c r="S255" s="264">
        <f t="shared" si="22"/>
        <v>0</v>
      </c>
      <c r="T255" s="302"/>
      <c r="U255" s="302"/>
      <c r="V255" s="302"/>
      <c r="W255" s="302"/>
      <c r="X255" s="302"/>
      <c r="Y255" s="302"/>
      <c r="Z255" s="302"/>
      <c r="AA255" s="302"/>
      <c r="AB255" s="303"/>
      <c r="AC255" s="304"/>
      <c r="AD255" s="305"/>
      <c r="AE255" s="302"/>
      <c r="AF255" s="302"/>
      <c r="AG255" s="302"/>
      <c r="AH255" s="302"/>
      <c r="AI255" s="303"/>
      <c r="AJ255" s="303"/>
      <c r="AK255" s="302"/>
      <c r="AL255" s="314"/>
      <c r="AM255" s="305"/>
      <c r="AN255" s="302"/>
      <c r="AO255" s="302"/>
      <c r="AP255" s="302"/>
      <c r="AQ255" s="302"/>
      <c r="AR255" s="302"/>
      <c r="AS255" s="302"/>
      <c r="AT255" s="302"/>
      <c r="AU255" s="304"/>
      <c r="AV255" s="306"/>
      <c r="AW255" s="303"/>
      <c r="AX255" s="303"/>
      <c r="AY255" s="303"/>
      <c r="AZ255" s="303"/>
      <c r="BA255" s="303"/>
      <c r="BB255" s="303"/>
      <c r="BC255" s="303"/>
      <c r="BD255" s="304"/>
      <c r="BE255" s="305"/>
      <c r="BF255" s="302"/>
      <c r="BG255" s="307"/>
      <c r="BH255" s="308"/>
      <c r="BI255" s="302"/>
      <c r="BJ255" s="307"/>
      <c r="BK255" s="308"/>
      <c r="BL255" s="302"/>
      <c r="BM255" s="303"/>
      <c r="BN255" s="315"/>
      <c r="BO255" s="250">
        <f t="shared" si="23"/>
        <v>0</v>
      </c>
    </row>
    <row r="256" spans="1:67" ht="25.5" customHeight="1" x14ac:dyDescent="0.2">
      <c r="A256" s="142">
        <f t="shared" si="24"/>
        <v>241</v>
      </c>
      <c r="B256" s="251"/>
      <c r="C256" s="252"/>
      <c r="D256" s="253"/>
      <c r="E256" s="254"/>
      <c r="F256" s="278"/>
      <c r="G256" s="256"/>
      <c r="H256" s="257"/>
      <c r="I256" s="231" t="str">
        <f t="shared" si="19"/>
        <v/>
      </c>
      <c r="J256" s="258">
        <f t="shared" si="20"/>
        <v>0</v>
      </c>
      <c r="K256" s="313"/>
      <c r="L256" s="300"/>
      <c r="M256" s="300"/>
      <c r="N256" s="235" t="str">
        <f t="shared" si="21"/>
        <v/>
      </c>
      <c r="O256" s="236" t="str">
        <f>IF('Data Set up'!$G$40="JUNE",IF(OR($N256=7,$N256=8,$N256=9),1,IF(OR($N256=10,$N256=11,$N256=12),2,IF(OR($N256=1,$N256=2,$N256=3),3,IF(OR($N256=4,$N256=5,$N256=6),4,"")))),IF(OR($N256=9,$N256=10,$N256=11),1,IF(OR($N256=12,$N256=1,$N256=2),2,IF(OR($N256=3,$N256=4,$N256=5),3,IF(OR($N256=6,$N256=7,$N256=8),4,"")))))</f>
        <v/>
      </c>
      <c r="P256" s="261"/>
      <c r="Q256" s="305"/>
      <c r="R256" s="302"/>
      <c r="S256" s="264">
        <f t="shared" si="22"/>
        <v>0</v>
      </c>
      <c r="T256" s="302"/>
      <c r="U256" s="302"/>
      <c r="V256" s="302"/>
      <c r="W256" s="302"/>
      <c r="X256" s="302"/>
      <c r="Y256" s="302"/>
      <c r="Z256" s="302"/>
      <c r="AA256" s="302"/>
      <c r="AB256" s="303"/>
      <c r="AC256" s="304"/>
      <c r="AD256" s="305"/>
      <c r="AE256" s="302"/>
      <c r="AF256" s="302"/>
      <c r="AG256" s="302"/>
      <c r="AH256" s="302"/>
      <c r="AI256" s="303"/>
      <c r="AJ256" s="303"/>
      <c r="AK256" s="302"/>
      <c r="AL256" s="314"/>
      <c r="AM256" s="305"/>
      <c r="AN256" s="302"/>
      <c r="AO256" s="302"/>
      <c r="AP256" s="302"/>
      <c r="AQ256" s="302"/>
      <c r="AR256" s="302"/>
      <c r="AS256" s="302"/>
      <c r="AT256" s="302"/>
      <c r="AU256" s="304"/>
      <c r="AV256" s="306"/>
      <c r="AW256" s="303"/>
      <c r="AX256" s="303"/>
      <c r="AY256" s="303"/>
      <c r="AZ256" s="303"/>
      <c r="BA256" s="303"/>
      <c r="BB256" s="303"/>
      <c r="BC256" s="303"/>
      <c r="BD256" s="304"/>
      <c r="BE256" s="305"/>
      <c r="BF256" s="302"/>
      <c r="BG256" s="307"/>
      <c r="BH256" s="308"/>
      <c r="BI256" s="302"/>
      <c r="BJ256" s="307"/>
      <c r="BK256" s="308"/>
      <c r="BL256" s="302"/>
      <c r="BM256" s="303"/>
      <c r="BN256" s="315"/>
      <c r="BO256" s="250">
        <f t="shared" si="23"/>
        <v>0</v>
      </c>
    </row>
    <row r="257" spans="1:67" ht="25.5" customHeight="1" x14ac:dyDescent="0.2">
      <c r="A257" s="142">
        <f t="shared" si="24"/>
        <v>242</v>
      </c>
      <c r="B257" s="251"/>
      <c r="C257" s="252"/>
      <c r="D257" s="253"/>
      <c r="E257" s="254"/>
      <c r="F257" s="278"/>
      <c r="G257" s="256"/>
      <c r="H257" s="257"/>
      <c r="I257" s="231" t="str">
        <f t="shared" si="19"/>
        <v/>
      </c>
      <c r="J257" s="258">
        <f t="shared" si="20"/>
        <v>0</v>
      </c>
      <c r="K257" s="313"/>
      <c r="L257" s="300"/>
      <c r="M257" s="300"/>
      <c r="N257" s="235" t="str">
        <f t="shared" si="21"/>
        <v/>
      </c>
      <c r="O257" s="236" t="str">
        <f>IF('Data Set up'!$G$40="JUNE",IF(OR($N257=7,$N257=8,$N257=9),1,IF(OR($N257=10,$N257=11,$N257=12),2,IF(OR($N257=1,$N257=2,$N257=3),3,IF(OR($N257=4,$N257=5,$N257=6),4,"")))),IF(OR($N257=9,$N257=10,$N257=11),1,IF(OR($N257=12,$N257=1,$N257=2),2,IF(OR($N257=3,$N257=4,$N257=5),3,IF(OR($N257=6,$N257=7,$N257=8),4,"")))))</f>
        <v/>
      </c>
      <c r="P257" s="261"/>
      <c r="Q257" s="305"/>
      <c r="R257" s="302"/>
      <c r="S257" s="264">
        <f t="shared" si="22"/>
        <v>0</v>
      </c>
      <c r="T257" s="302"/>
      <c r="U257" s="302"/>
      <c r="V257" s="302"/>
      <c r="W257" s="302"/>
      <c r="X257" s="302"/>
      <c r="Y257" s="302"/>
      <c r="Z257" s="302"/>
      <c r="AA257" s="302"/>
      <c r="AB257" s="303"/>
      <c r="AC257" s="304"/>
      <c r="AD257" s="305"/>
      <c r="AE257" s="302"/>
      <c r="AF257" s="302"/>
      <c r="AG257" s="302"/>
      <c r="AH257" s="302"/>
      <c r="AI257" s="303"/>
      <c r="AJ257" s="303"/>
      <c r="AK257" s="302"/>
      <c r="AL257" s="314"/>
      <c r="AM257" s="305"/>
      <c r="AN257" s="302"/>
      <c r="AO257" s="302"/>
      <c r="AP257" s="302"/>
      <c r="AQ257" s="302"/>
      <c r="AR257" s="302"/>
      <c r="AS257" s="302"/>
      <c r="AT257" s="302"/>
      <c r="AU257" s="304"/>
      <c r="AV257" s="306"/>
      <c r="AW257" s="303"/>
      <c r="AX257" s="303"/>
      <c r="AY257" s="303"/>
      <c r="AZ257" s="303"/>
      <c r="BA257" s="303"/>
      <c r="BB257" s="303"/>
      <c r="BC257" s="303"/>
      <c r="BD257" s="304"/>
      <c r="BE257" s="305"/>
      <c r="BF257" s="302"/>
      <c r="BG257" s="307"/>
      <c r="BH257" s="308"/>
      <c r="BI257" s="302"/>
      <c r="BJ257" s="307"/>
      <c r="BK257" s="308"/>
      <c r="BL257" s="302"/>
      <c r="BM257" s="303"/>
      <c r="BN257" s="315"/>
      <c r="BO257" s="250">
        <f t="shared" si="23"/>
        <v>0</v>
      </c>
    </row>
    <row r="258" spans="1:67" ht="25.5" customHeight="1" x14ac:dyDescent="0.2">
      <c r="A258" s="142">
        <f t="shared" si="24"/>
        <v>243</v>
      </c>
      <c r="B258" s="251"/>
      <c r="C258" s="252"/>
      <c r="D258" s="253"/>
      <c r="E258" s="254"/>
      <c r="F258" s="278"/>
      <c r="G258" s="256"/>
      <c r="H258" s="257"/>
      <c r="I258" s="231" t="str">
        <f t="shared" si="19"/>
        <v/>
      </c>
      <c r="J258" s="258">
        <f t="shared" si="20"/>
        <v>0</v>
      </c>
      <c r="K258" s="313"/>
      <c r="L258" s="300"/>
      <c r="M258" s="300"/>
      <c r="N258" s="235" t="str">
        <f t="shared" si="21"/>
        <v/>
      </c>
      <c r="O258" s="236" t="str">
        <f>IF('Data Set up'!$G$40="JUNE",IF(OR($N258=7,$N258=8,$N258=9),1,IF(OR($N258=10,$N258=11,$N258=12),2,IF(OR($N258=1,$N258=2,$N258=3),3,IF(OR($N258=4,$N258=5,$N258=6),4,"")))),IF(OR($N258=9,$N258=10,$N258=11),1,IF(OR($N258=12,$N258=1,$N258=2),2,IF(OR($N258=3,$N258=4,$N258=5),3,IF(OR($N258=6,$N258=7,$N258=8),4,"")))))</f>
        <v/>
      </c>
      <c r="P258" s="261"/>
      <c r="Q258" s="305"/>
      <c r="R258" s="302"/>
      <c r="S258" s="264">
        <f t="shared" si="22"/>
        <v>0</v>
      </c>
      <c r="T258" s="302"/>
      <c r="U258" s="302"/>
      <c r="V258" s="302"/>
      <c r="W258" s="302"/>
      <c r="X258" s="302"/>
      <c r="Y258" s="302"/>
      <c r="Z258" s="302"/>
      <c r="AA258" s="302"/>
      <c r="AB258" s="303"/>
      <c r="AC258" s="304"/>
      <c r="AD258" s="305"/>
      <c r="AE258" s="302"/>
      <c r="AF258" s="302"/>
      <c r="AG258" s="302"/>
      <c r="AH258" s="302"/>
      <c r="AI258" s="303"/>
      <c r="AJ258" s="303"/>
      <c r="AK258" s="302"/>
      <c r="AL258" s="314"/>
      <c r="AM258" s="305"/>
      <c r="AN258" s="302"/>
      <c r="AO258" s="302"/>
      <c r="AP258" s="302"/>
      <c r="AQ258" s="302"/>
      <c r="AR258" s="302"/>
      <c r="AS258" s="302"/>
      <c r="AT258" s="302"/>
      <c r="AU258" s="304"/>
      <c r="AV258" s="306"/>
      <c r="AW258" s="303"/>
      <c r="AX258" s="303"/>
      <c r="AY258" s="303"/>
      <c r="AZ258" s="303"/>
      <c r="BA258" s="303"/>
      <c r="BB258" s="303"/>
      <c r="BC258" s="303"/>
      <c r="BD258" s="304"/>
      <c r="BE258" s="305"/>
      <c r="BF258" s="302"/>
      <c r="BG258" s="307"/>
      <c r="BH258" s="308"/>
      <c r="BI258" s="302"/>
      <c r="BJ258" s="307"/>
      <c r="BK258" s="308"/>
      <c r="BL258" s="302"/>
      <c r="BM258" s="303"/>
      <c r="BN258" s="315"/>
      <c r="BO258" s="250">
        <f t="shared" si="23"/>
        <v>0</v>
      </c>
    </row>
    <row r="259" spans="1:67" ht="25.5" customHeight="1" x14ac:dyDescent="0.2">
      <c r="A259" s="142">
        <f t="shared" si="24"/>
        <v>244</v>
      </c>
      <c r="B259" s="251"/>
      <c r="C259" s="252"/>
      <c r="D259" s="253"/>
      <c r="E259" s="254"/>
      <c r="F259" s="278"/>
      <c r="G259" s="256"/>
      <c r="H259" s="257"/>
      <c r="I259" s="231" t="str">
        <f t="shared" si="19"/>
        <v/>
      </c>
      <c r="J259" s="258">
        <f t="shared" si="20"/>
        <v>0</v>
      </c>
      <c r="K259" s="313"/>
      <c r="L259" s="300"/>
      <c r="M259" s="300"/>
      <c r="N259" s="235" t="str">
        <f t="shared" si="21"/>
        <v/>
      </c>
      <c r="O259" s="236" t="str">
        <f>IF('Data Set up'!$G$40="JUNE",IF(OR($N259=7,$N259=8,$N259=9),1,IF(OR($N259=10,$N259=11,$N259=12),2,IF(OR($N259=1,$N259=2,$N259=3),3,IF(OR($N259=4,$N259=5,$N259=6),4,"")))),IF(OR($N259=9,$N259=10,$N259=11),1,IF(OR($N259=12,$N259=1,$N259=2),2,IF(OR($N259=3,$N259=4,$N259=5),3,IF(OR($N259=6,$N259=7,$N259=8),4,"")))))</f>
        <v/>
      </c>
      <c r="P259" s="261"/>
      <c r="Q259" s="305"/>
      <c r="R259" s="302"/>
      <c r="S259" s="264">
        <f t="shared" si="22"/>
        <v>0</v>
      </c>
      <c r="T259" s="302"/>
      <c r="U259" s="302"/>
      <c r="V259" s="302"/>
      <c r="W259" s="302"/>
      <c r="X259" s="302"/>
      <c r="Y259" s="302"/>
      <c r="Z259" s="302"/>
      <c r="AA259" s="302"/>
      <c r="AB259" s="303"/>
      <c r="AC259" s="304"/>
      <c r="AD259" s="305"/>
      <c r="AE259" s="302"/>
      <c r="AF259" s="302"/>
      <c r="AG259" s="302"/>
      <c r="AH259" s="302"/>
      <c r="AI259" s="303"/>
      <c r="AJ259" s="303"/>
      <c r="AK259" s="302"/>
      <c r="AL259" s="314"/>
      <c r="AM259" s="305"/>
      <c r="AN259" s="302"/>
      <c r="AO259" s="302"/>
      <c r="AP259" s="302"/>
      <c r="AQ259" s="302"/>
      <c r="AR259" s="302"/>
      <c r="AS259" s="302"/>
      <c r="AT259" s="302"/>
      <c r="AU259" s="304"/>
      <c r="AV259" s="306"/>
      <c r="AW259" s="303"/>
      <c r="AX259" s="303"/>
      <c r="AY259" s="303"/>
      <c r="AZ259" s="303"/>
      <c r="BA259" s="303"/>
      <c r="BB259" s="303"/>
      <c r="BC259" s="303"/>
      <c r="BD259" s="304"/>
      <c r="BE259" s="305"/>
      <c r="BF259" s="302"/>
      <c r="BG259" s="307"/>
      <c r="BH259" s="308"/>
      <c r="BI259" s="302"/>
      <c r="BJ259" s="307"/>
      <c r="BK259" s="308"/>
      <c r="BL259" s="302"/>
      <c r="BM259" s="303"/>
      <c r="BN259" s="315"/>
      <c r="BO259" s="250">
        <f t="shared" si="23"/>
        <v>0</v>
      </c>
    </row>
    <row r="260" spans="1:67" ht="25.5" customHeight="1" x14ac:dyDescent="0.2">
      <c r="A260" s="142">
        <f t="shared" si="24"/>
        <v>245</v>
      </c>
      <c r="B260" s="251"/>
      <c r="C260" s="252"/>
      <c r="D260" s="253"/>
      <c r="E260" s="254"/>
      <c r="F260" s="278"/>
      <c r="G260" s="256"/>
      <c r="H260" s="257"/>
      <c r="I260" s="231" t="str">
        <f t="shared" si="19"/>
        <v/>
      </c>
      <c r="J260" s="258">
        <f t="shared" si="20"/>
        <v>0</v>
      </c>
      <c r="K260" s="313"/>
      <c r="L260" s="300"/>
      <c r="M260" s="300"/>
      <c r="N260" s="235" t="str">
        <f t="shared" si="21"/>
        <v/>
      </c>
      <c r="O260" s="236" t="str">
        <f>IF('Data Set up'!$G$40="JUNE",IF(OR($N260=7,$N260=8,$N260=9),1,IF(OR($N260=10,$N260=11,$N260=12),2,IF(OR($N260=1,$N260=2,$N260=3),3,IF(OR($N260=4,$N260=5,$N260=6),4,"")))),IF(OR($N260=9,$N260=10,$N260=11),1,IF(OR($N260=12,$N260=1,$N260=2),2,IF(OR($N260=3,$N260=4,$N260=5),3,IF(OR($N260=6,$N260=7,$N260=8),4,"")))))</f>
        <v/>
      </c>
      <c r="P260" s="261"/>
      <c r="Q260" s="305"/>
      <c r="R260" s="302"/>
      <c r="S260" s="264">
        <f t="shared" si="22"/>
        <v>0</v>
      </c>
      <c r="T260" s="302"/>
      <c r="U260" s="302"/>
      <c r="V260" s="302"/>
      <c r="W260" s="302"/>
      <c r="X260" s="302"/>
      <c r="Y260" s="302"/>
      <c r="Z260" s="302"/>
      <c r="AA260" s="302"/>
      <c r="AB260" s="303"/>
      <c r="AC260" s="304"/>
      <c r="AD260" s="305"/>
      <c r="AE260" s="302"/>
      <c r="AF260" s="302"/>
      <c r="AG260" s="302"/>
      <c r="AH260" s="302"/>
      <c r="AI260" s="303"/>
      <c r="AJ260" s="303"/>
      <c r="AK260" s="302"/>
      <c r="AL260" s="314"/>
      <c r="AM260" s="305"/>
      <c r="AN260" s="302"/>
      <c r="AO260" s="302"/>
      <c r="AP260" s="302"/>
      <c r="AQ260" s="302"/>
      <c r="AR260" s="302"/>
      <c r="AS260" s="302"/>
      <c r="AT260" s="302"/>
      <c r="AU260" s="304"/>
      <c r="AV260" s="306"/>
      <c r="AW260" s="303"/>
      <c r="AX260" s="303"/>
      <c r="AY260" s="303"/>
      <c r="AZ260" s="303"/>
      <c r="BA260" s="303"/>
      <c r="BB260" s="303"/>
      <c r="BC260" s="303"/>
      <c r="BD260" s="304"/>
      <c r="BE260" s="305"/>
      <c r="BF260" s="302"/>
      <c r="BG260" s="307"/>
      <c r="BH260" s="308"/>
      <c r="BI260" s="302"/>
      <c r="BJ260" s="307"/>
      <c r="BK260" s="308"/>
      <c r="BL260" s="302"/>
      <c r="BM260" s="303"/>
      <c r="BN260" s="315"/>
      <c r="BO260" s="250">
        <f t="shared" si="23"/>
        <v>0</v>
      </c>
    </row>
    <row r="261" spans="1:67" ht="25.5" customHeight="1" x14ac:dyDescent="0.2">
      <c r="A261" s="142">
        <f t="shared" si="24"/>
        <v>246</v>
      </c>
      <c r="B261" s="251"/>
      <c r="C261" s="252"/>
      <c r="D261" s="253"/>
      <c r="E261" s="254"/>
      <c r="F261" s="278"/>
      <c r="G261" s="256"/>
      <c r="H261" s="257"/>
      <c r="I261" s="231" t="str">
        <f t="shared" si="19"/>
        <v/>
      </c>
      <c r="J261" s="258">
        <f t="shared" si="20"/>
        <v>0</v>
      </c>
      <c r="K261" s="313"/>
      <c r="L261" s="300"/>
      <c r="M261" s="300"/>
      <c r="N261" s="235" t="str">
        <f t="shared" si="21"/>
        <v/>
      </c>
      <c r="O261" s="236" t="str">
        <f>IF('Data Set up'!$G$40="JUNE",IF(OR($N261=7,$N261=8,$N261=9),1,IF(OR($N261=10,$N261=11,$N261=12),2,IF(OR($N261=1,$N261=2,$N261=3),3,IF(OR($N261=4,$N261=5,$N261=6),4,"")))),IF(OR($N261=9,$N261=10,$N261=11),1,IF(OR($N261=12,$N261=1,$N261=2),2,IF(OR($N261=3,$N261=4,$N261=5),3,IF(OR($N261=6,$N261=7,$N261=8),4,"")))))</f>
        <v/>
      </c>
      <c r="P261" s="261"/>
      <c r="Q261" s="305"/>
      <c r="R261" s="302"/>
      <c r="S261" s="264">
        <f t="shared" si="22"/>
        <v>0</v>
      </c>
      <c r="T261" s="302"/>
      <c r="U261" s="302"/>
      <c r="V261" s="302"/>
      <c r="W261" s="302"/>
      <c r="X261" s="302"/>
      <c r="Y261" s="302"/>
      <c r="Z261" s="302"/>
      <c r="AA261" s="302"/>
      <c r="AB261" s="303"/>
      <c r="AC261" s="304"/>
      <c r="AD261" s="305"/>
      <c r="AE261" s="302"/>
      <c r="AF261" s="302"/>
      <c r="AG261" s="302"/>
      <c r="AH261" s="302"/>
      <c r="AI261" s="303"/>
      <c r="AJ261" s="303"/>
      <c r="AK261" s="302"/>
      <c r="AL261" s="314"/>
      <c r="AM261" s="305"/>
      <c r="AN261" s="302"/>
      <c r="AO261" s="302"/>
      <c r="AP261" s="302"/>
      <c r="AQ261" s="302"/>
      <c r="AR261" s="302"/>
      <c r="AS261" s="302"/>
      <c r="AT261" s="302"/>
      <c r="AU261" s="304"/>
      <c r="AV261" s="306"/>
      <c r="AW261" s="303"/>
      <c r="AX261" s="303"/>
      <c r="AY261" s="303"/>
      <c r="AZ261" s="303"/>
      <c r="BA261" s="303"/>
      <c r="BB261" s="303"/>
      <c r="BC261" s="303"/>
      <c r="BD261" s="304"/>
      <c r="BE261" s="305"/>
      <c r="BF261" s="302"/>
      <c r="BG261" s="307"/>
      <c r="BH261" s="308"/>
      <c r="BI261" s="302"/>
      <c r="BJ261" s="307"/>
      <c r="BK261" s="308"/>
      <c r="BL261" s="302"/>
      <c r="BM261" s="303"/>
      <c r="BN261" s="315"/>
      <c r="BO261" s="250">
        <f t="shared" si="23"/>
        <v>0</v>
      </c>
    </row>
    <row r="262" spans="1:67" ht="25.5" customHeight="1" x14ac:dyDescent="0.2">
      <c r="A262" s="142">
        <f t="shared" si="24"/>
        <v>247</v>
      </c>
      <c r="B262" s="251"/>
      <c r="C262" s="252"/>
      <c r="D262" s="253"/>
      <c r="E262" s="254"/>
      <c r="F262" s="278"/>
      <c r="G262" s="256"/>
      <c r="H262" s="257"/>
      <c r="I262" s="231" t="str">
        <f t="shared" si="19"/>
        <v/>
      </c>
      <c r="J262" s="258">
        <f t="shared" si="20"/>
        <v>0</v>
      </c>
      <c r="K262" s="313"/>
      <c r="L262" s="300"/>
      <c r="M262" s="300"/>
      <c r="N262" s="235" t="str">
        <f t="shared" si="21"/>
        <v/>
      </c>
      <c r="O262" s="236" t="str">
        <f>IF('Data Set up'!$G$40="JUNE",IF(OR($N262=7,$N262=8,$N262=9),1,IF(OR($N262=10,$N262=11,$N262=12),2,IF(OR($N262=1,$N262=2,$N262=3),3,IF(OR($N262=4,$N262=5,$N262=6),4,"")))),IF(OR($N262=9,$N262=10,$N262=11),1,IF(OR($N262=12,$N262=1,$N262=2),2,IF(OR($N262=3,$N262=4,$N262=5),3,IF(OR($N262=6,$N262=7,$N262=8),4,"")))))</f>
        <v/>
      </c>
      <c r="P262" s="261"/>
      <c r="Q262" s="305"/>
      <c r="R262" s="302"/>
      <c r="S262" s="264">
        <f t="shared" si="22"/>
        <v>0</v>
      </c>
      <c r="T262" s="302"/>
      <c r="U262" s="302"/>
      <c r="V262" s="302"/>
      <c r="W262" s="302"/>
      <c r="X262" s="302"/>
      <c r="Y262" s="302"/>
      <c r="Z262" s="302"/>
      <c r="AA262" s="302"/>
      <c r="AB262" s="303"/>
      <c r="AC262" s="304"/>
      <c r="AD262" s="305"/>
      <c r="AE262" s="302"/>
      <c r="AF262" s="302"/>
      <c r="AG262" s="302"/>
      <c r="AH262" s="302"/>
      <c r="AI262" s="303"/>
      <c r="AJ262" s="303"/>
      <c r="AK262" s="302"/>
      <c r="AL262" s="314"/>
      <c r="AM262" s="305"/>
      <c r="AN262" s="302"/>
      <c r="AO262" s="302"/>
      <c r="AP262" s="302"/>
      <c r="AQ262" s="302"/>
      <c r="AR262" s="302"/>
      <c r="AS262" s="302"/>
      <c r="AT262" s="302"/>
      <c r="AU262" s="304"/>
      <c r="AV262" s="306"/>
      <c r="AW262" s="303"/>
      <c r="AX262" s="303"/>
      <c r="AY262" s="303"/>
      <c r="AZ262" s="303"/>
      <c r="BA262" s="303"/>
      <c r="BB262" s="303"/>
      <c r="BC262" s="303"/>
      <c r="BD262" s="304"/>
      <c r="BE262" s="305"/>
      <c r="BF262" s="302"/>
      <c r="BG262" s="307"/>
      <c r="BH262" s="308"/>
      <c r="BI262" s="302"/>
      <c r="BJ262" s="307"/>
      <c r="BK262" s="308"/>
      <c r="BL262" s="302"/>
      <c r="BM262" s="303"/>
      <c r="BN262" s="315"/>
      <c r="BO262" s="250">
        <f t="shared" si="23"/>
        <v>0</v>
      </c>
    </row>
    <row r="263" spans="1:67" ht="25.5" customHeight="1" x14ac:dyDescent="0.2">
      <c r="A263" s="142">
        <f t="shared" si="24"/>
        <v>248</v>
      </c>
      <c r="B263" s="251"/>
      <c r="C263" s="252"/>
      <c r="D263" s="253"/>
      <c r="E263" s="254"/>
      <c r="F263" s="278"/>
      <c r="G263" s="256"/>
      <c r="H263" s="257"/>
      <c r="I263" s="231" t="str">
        <f t="shared" si="19"/>
        <v/>
      </c>
      <c r="J263" s="258">
        <f t="shared" si="20"/>
        <v>0</v>
      </c>
      <c r="K263" s="313"/>
      <c r="L263" s="300"/>
      <c r="M263" s="300"/>
      <c r="N263" s="235" t="str">
        <f t="shared" si="21"/>
        <v/>
      </c>
      <c r="O263" s="236" t="str">
        <f>IF('Data Set up'!$G$40="JUNE",IF(OR($N263=7,$N263=8,$N263=9),1,IF(OR($N263=10,$N263=11,$N263=12),2,IF(OR($N263=1,$N263=2,$N263=3),3,IF(OR($N263=4,$N263=5,$N263=6),4,"")))),IF(OR($N263=9,$N263=10,$N263=11),1,IF(OR($N263=12,$N263=1,$N263=2),2,IF(OR($N263=3,$N263=4,$N263=5),3,IF(OR($N263=6,$N263=7,$N263=8),4,"")))))</f>
        <v/>
      </c>
      <c r="P263" s="261"/>
      <c r="Q263" s="305"/>
      <c r="R263" s="302"/>
      <c r="S263" s="264">
        <f t="shared" si="22"/>
        <v>0</v>
      </c>
      <c r="T263" s="302"/>
      <c r="U263" s="302"/>
      <c r="V263" s="302"/>
      <c r="W263" s="302"/>
      <c r="X263" s="302"/>
      <c r="Y263" s="302"/>
      <c r="Z263" s="302"/>
      <c r="AA263" s="302"/>
      <c r="AB263" s="303"/>
      <c r="AC263" s="304"/>
      <c r="AD263" s="305"/>
      <c r="AE263" s="302"/>
      <c r="AF263" s="302"/>
      <c r="AG263" s="302"/>
      <c r="AH263" s="302"/>
      <c r="AI263" s="303"/>
      <c r="AJ263" s="303"/>
      <c r="AK263" s="302"/>
      <c r="AL263" s="314"/>
      <c r="AM263" s="305"/>
      <c r="AN263" s="302"/>
      <c r="AO263" s="302"/>
      <c r="AP263" s="302"/>
      <c r="AQ263" s="302"/>
      <c r="AR263" s="302"/>
      <c r="AS263" s="302"/>
      <c r="AT263" s="302"/>
      <c r="AU263" s="304"/>
      <c r="AV263" s="306"/>
      <c r="AW263" s="303"/>
      <c r="AX263" s="303"/>
      <c r="AY263" s="303"/>
      <c r="AZ263" s="303"/>
      <c r="BA263" s="303"/>
      <c r="BB263" s="303"/>
      <c r="BC263" s="303"/>
      <c r="BD263" s="304"/>
      <c r="BE263" s="305"/>
      <c r="BF263" s="302"/>
      <c r="BG263" s="307"/>
      <c r="BH263" s="308"/>
      <c r="BI263" s="302"/>
      <c r="BJ263" s="307"/>
      <c r="BK263" s="308"/>
      <c r="BL263" s="302"/>
      <c r="BM263" s="303"/>
      <c r="BN263" s="315"/>
      <c r="BO263" s="250">
        <f t="shared" si="23"/>
        <v>0</v>
      </c>
    </row>
    <row r="264" spans="1:67" ht="25.5" customHeight="1" x14ac:dyDescent="0.2">
      <c r="A264" s="142">
        <f t="shared" si="24"/>
        <v>249</v>
      </c>
      <c r="B264" s="251"/>
      <c r="C264" s="252"/>
      <c r="D264" s="253"/>
      <c r="E264" s="254"/>
      <c r="F264" s="278"/>
      <c r="G264" s="256"/>
      <c r="H264" s="257"/>
      <c r="I264" s="231" t="str">
        <f t="shared" si="19"/>
        <v/>
      </c>
      <c r="J264" s="258">
        <f t="shared" si="20"/>
        <v>0</v>
      </c>
      <c r="K264" s="313"/>
      <c r="L264" s="300"/>
      <c r="M264" s="300"/>
      <c r="N264" s="235" t="str">
        <f t="shared" si="21"/>
        <v/>
      </c>
      <c r="O264" s="236" t="str">
        <f>IF('Data Set up'!$G$40="JUNE",IF(OR($N264=7,$N264=8,$N264=9),1,IF(OR($N264=10,$N264=11,$N264=12),2,IF(OR($N264=1,$N264=2,$N264=3),3,IF(OR($N264=4,$N264=5,$N264=6),4,"")))),IF(OR($N264=9,$N264=10,$N264=11),1,IF(OR($N264=12,$N264=1,$N264=2),2,IF(OR($N264=3,$N264=4,$N264=5),3,IF(OR($N264=6,$N264=7,$N264=8),4,"")))))</f>
        <v/>
      </c>
      <c r="P264" s="261"/>
      <c r="Q264" s="305"/>
      <c r="R264" s="302"/>
      <c r="S264" s="264">
        <f t="shared" si="22"/>
        <v>0</v>
      </c>
      <c r="T264" s="302"/>
      <c r="U264" s="302"/>
      <c r="V264" s="302"/>
      <c r="W264" s="302"/>
      <c r="X264" s="302"/>
      <c r="Y264" s="302"/>
      <c r="Z264" s="302"/>
      <c r="AA264" s="302"/>
      <c r="AB264" s="303"/>
      <c r="AC264" s="304"/>
      <c r="AD264" s="305"/>
      <c r="AE264" s="302"/>
      <c r="AF264" s="302"/>
      <c r="AG264" s="302"/>
      <c r="AH264" s="302"/>
      <c r="AI264" s="303"/>
      <c r="AJ264" s="303"/>
      <c r="AK264" s="302"/>
      <c r="AL264" s="314"/>
      <c r="AM264" s="305"/>
      <c r="AN264" s="302"/>
      <c r="AO264" s="302"/>
      <c r="AP264" s="302"/>
      <c r="AQ264" s="302"/>
      <c r="AR264" s="302"/>
      <c r="AS264" s="302"/>
      <c r="AT264" s="302"/>
      <c r="AU264" s="304"/>
      <c r="AV264" s="306"/>
      <c r="AW264" s="303"/>
      <c r="AX264" s="303"/>
      <c r="AY264" s="303"/>
      <c r="AZ264" s="303"/>
      <c r="BA264" s="303"/>
      <c r="BB264" s="303"/>
      <c r="BC264" s="303"/>
      <c r="BD264" s="304"/>
      <c r="BE264" s="305"/>
      <c r="BF264" s="302"/>
      <c r="BG264" s="307"/>
      <c r="BH264" s="308"/>
      <c r="BI264" s="302"/>
      <c r="BJ264" s="307"/>
      <c r="BK264" s="308"/>
      <c r="BL264" s="302"/>
      <c r="BM264" s="303"/>
      <c r="BN264" s="315"/>
      <c r="BO264" s="250">
        <f t="shared" si="23"/>
        <v>0</v>
      </c>
    </row>
    <row r="265" spans="1:67" ht="25.5" customHeight="1" x14ac:dyDescent="0.2">
      <c r="A265" s="142">
        <f t="shared" si="24"/>
        <v>250</v>
      </c>
      <c r="B265" s="251"/>
      <c r="C265" s="252"/>
      <c r="D265" s="253"/>
      <c r="E265" s="254"/>
      <c r="F265" s="278"/>
      <c r="G265" s="256"/>
      <c r="H265" s="257"/>
      <c r="I265" s="231" t="str">
        <f t="shared" si="19"/>
        <v/>
      </c>
      <c r="J265" s="258">
        <f t="shared" si="20"/>
        <v>0</v>
      </c>
      <c r="K265" s="313"/>
      <c r="L265" s="300"/>
      <c r="M265" s="300"/>
      <c r="N265" s="235" t="str">
        <f t="shared" si="21"/>
        <v/>
      </c>
      <c r="O265" s="236" t="str">
        <f>IF('Data Set up'!$G$40="JUNE",IF(OR($N265=7,$N265=8,$N265=9),1,IF(OR($N265=10,$N265=11,$N265=12),2,IF(OR($N265=1,$N265=2,$N265=3),3,IF(OR($N265=4,$N265=5,$N265=6),4,"")))),IF(OR($N265=9,$N265=10,$N265=11),1,IF(OR($N265=12,$N265=1,$N265=2),2,IF(OR($N265=3,$N265=4,$N265=5),3,IF(OR($N265=6,$N265=7,$N265=8),4,"")))))</f>
        <v/>
      </c>
      <c r="P265" s="261"/>
      <c r="Q265" s="305"/>
      <c r="R265" s="302"/>
      <c r="S265" s="264">
        <f t="shared" si="22"/>
        <v>0</v>
      </c>
      <c r="T265" s="302"/>
      <c r="U265" s="302"/>
      <c r="V265" s="302"/>
      <c r="W265" s="302"/>
      <c r="X265" s="302"/>
      <c r="Y265" s="302"/>
      <c r="Z265" s="302"/>
      <c r="AA265" s="302"/>
      <c r="AB265" s="303"/>
      <c r="AC265" s="304"/>
      <c r="AD265" s="305"/>
      <c r="AE265" s="302"/>
      <c r="AF265" s="302"/>
      <c r="AG265" s="302"/>
      <c r="AH265" s="302"/>
      <c r="AI265" s="303"/>
      <c r="AJ265" s="303"/>
      <c r="AK265" s="302"/>
      <c r="AL265" s="314"/>
      <c r="AM265" s="305"/>
      <c r="AN265" s="302"/>
      <c r="AO265" s="302"/>
      <c r="AP265" s="302"/>
      <c r="AQ265" s="302"/>
      <c r="AR265" s="302"/>
      <c r="AS265" s="302"/>
      <c r="AT265" s="302"/>
      <c r="AU265" s="304"/>
      <c r="AV265" s="306"/>
      <c r="AW265" s="303"/>
      <c r="AX265" s="303"/>
      <c r="AY265" s="303"/>
      <c r="AZ265" s="303"/>
      <c r="BA265" s="303"/>
      <c r="BB265" s="303"/>
      <c r="BC265" s="303"/>
      <c r="BD265" s="304"/>
      <c r="BE265" s="305"/>
      <c r="BF265" s="302"/>
      <c r="BG265" s="307"/>
      <c r="BH265" s="308"/>
      <c r="BI265" s="302"/>
      <c r="BJ265" s="307"/>
      <c r="BK265" s="308"/>
      <c r="BL265" s="302"/>
      <c r="BM265" s="303"/>
      <c r="BN265" s="315"/>
      <c r="BO265" s="250">
        <f t="shared" si="23"/>
        <v>0</v>
      </c>
    </row>
    <row r="266" spans="1:67" ht="25.5" customHeight="1" x14ac:dyDescent="0.2">
      <c r="A266" s="142">
        <f t="shared" si="24"/>
        <v>251</v>
      </c>
      <c r="B266" s="251"/>
      <c r="C266" s="252"/>
      <c r="D266" s="253"/>
      <c r="E266" s="254"/>
      <c r="F266" s="278"/>
      <c r="G266" s="256"/>
      <c r="H266" s="257"/>
      <c r="I266" s="231" t="str">
        <f t="shared" si="19"/>
        <v/>
      </c>
      <c r="J266" s="258">
        <f t="shared" si="20"/>
        <v>0</v>
      </c>
      <c r="K266" s="313"/>
      <c r="L266" s="300"/>
      <c r="M266" s="300"/>
      <c r="N266" s="235" t="str">
        <f t="shared" si="21"/>
        <v/>
      </c>
      <c r="O266" s="236" t="str">
        <f>IF('Data Set up'!$G$40="JUNE",IF(OR($N266=7,$N266=8,$N266=9),1,IF(OR($N266=10,$N266=11,$N266=12),2,IF(OR($N266=1,$N266=2,$N266=3),3,IF(OR($N266=4,$N266=5,$N266=6),4,"")))),IF(OR($N266=9,$N266=10,$N266=11),1,IF(OR($N266=12,$N266=1,$N266=2),2,IF(OR($N266=3,$N266=4,$N266=5),3,IF(OR($N266=6,$N266=7,$N266=8),4,"")))))</f>
        <v/>
      </c>
      <c r="P266" s="261"/>
      <c r="Q266" s="305"/>
      <c r="R266" s="302"/>
      <c r="S266" s="264">
        <f t="shared" si="22"/>
        <v>0</v>
      </c>
      <c r="T266" s="302"/>
      <c r="U266" s="302"/>
      <c r="V266" s="302"/>
      <c r="W266" s="302"/>
      <c r="X266" s="302"/>
      <c r="Y266" s="302"/>
      <c r="Z266" s="302"/>
      <c r="AA266" s="302"/>
      <c r="AB266" s="303"/>
      <c r="AC266" s="304"/>
      <c r="AD266" s="305"/>
      <c r="AE266" s="302"/>
      <c r="AF266" s="302"/>
      <c r="AG266" s="302"/>
      <c r="AH266" s="302"/>
      <c r="AI266" s="303"/>
      <c r="AJ266" s="303"/>
      <c r="AK266" s="302"/>
      <c r="AL266" s="314"/>
      <c r="AM266" s="305"/>
      <c r="AN266" s="302"/>
      <c r="AO266" s="302"/>
      <c r="AP266" s="302"/>
      <c r="AQ266" s="302"/>
      <c r="AR266" s="302"/>
      <c r="AS266" s="302"/>
      <c r="AT266" s="302"/>
      <c r="AU266" s="304"/>
      <c r="AV266" s="306"/>
      <c r="AW266" s="303"/>
      <c r="AX266" s="303"/>
      <c r="AY266" s="303"/>
      <c r="AZ266" s="303"/>
      <c r="BA266" s="303"/>
      <c r="BB266" s="303"/>
      <c r="BC266" s="303"/>
      <c r="BD266" s="304"/>
      <c r="BE266" s="305"/>
      <c r="BF266" s="302"/>
      <c r="BG266" s="307"/>
      <c r="BH266" s="308"/>
      <c r="BI266" s="302"/>
      <c r="BJ266" s="307"/>
      <c r="BK266" s="308"/>
      <c r="BL266" s="302"/>
      <c r="BM266" s="303"/>
      <c r="BN266" s="315"/>
      <c r="BO266" s="250">
        <f t="shared" si="23"/>
        <v>0</v>
      </c>
    </row>
    <row r="267" spans="1:67" ht="25.5" customHeight="1" x14ac:dyDescent="0.2">
      <c r="A267" s="142">
        <f t="shared" si="24"/>
        <v>252</v>
      </c>
      <c r="B267" s="251"/>
      <c r="C267" s="252"/>
      <c r="D267" s="253"/>
      <c r="E267" s="254"/>
      <c r="F267" s="278"/>
      <c r="G267" s="256"/>
      <c r="H267" s="257"/>
      <c r="I267" s="231" t="str">
        <f t="shared" si="19"/>
        <v/>
      </c>
      <c r="J267" s="258">
        <f t="shared" si="20"/>
        <v>0</v>
      </c>
      <c r="K267" s="313"/>
      <c r="L267" s="300"/>
      <c r="M267" s="300"/>
      <c r="N267" s="235" t="str">
        <f t="shared" si="21"/>
        <v/>
      </c>
      <c r="O267" s="236" t="str">
        <f>IF('Data Set up'!$G$40="JUNE",IF(OR($N267=7,$N267=8,$N267=9),1,IF(OR($N267=10,$N267=11,$N267=12),2,IF(OR($N267=1,$N267=2,$N267=3),3,IF(OR($N267=4,$N267=5,$N267=6),4,"")))),IF(OR($N267=9,$N267=10,$N267=11),1,IF(OR($N267=12,$N267=1,$N267=2),2,IF(OR($N267=3,$N267=4,$N267=5),3,IF(OR($N267=6,$N267=7,$N267=8),4,"")))))</f>
        <v/>
      </c>
      <c r="P267" s="261"/>
      <c r="Q267" s="305"/>
      <c r="R267" s="302"/>
      <c r="S267" s="264">
        <f t="shared" si="22"/>
        <v>0</v>
      </c>
      <c r="T267" s="302"/>
      <c r="U267" s="302"/>
      <c r="V267" s="302"/>
      <c r="W267" s="302"/>
      <c r="X267" s="302"/>
      <c r="Y267" s="302"/>
      <c r="Z267" s="302"/>
      <c r="AA267" s="302"/>
      <c r="AB267" s="303"/>
      <c r="AC267" s="304"/>
      <c r="AD267" s="305"/>
      <c r="AE267" s="302"/>
      <c r="AF267" s="302"/>
      <c r="AG267" s="302"/>
      <c r="AH267" s="302"/>
      <c r="AI267" s="303"/>
      <c r="AJ267" s="303"/>
      <c r="AK267" s="302"/>
      <c r="AL267" s="314"/>
      <c r="AM267" s="305"/>
      <c r="AN267" s="302"/>
      <c r="AO267" s="302"/>
      <c r="AP267" s="302"/>
      <c r="AQ267" s="302"/>
      <c r="AR267" s="302"/>
      <c r="AS267" s="302"/>
      <c r="AT267" s="302"/>
      <c r="AU267" s="304"/>
      <c r="AV267" s="306"/>
      <c r="AW267" s="303"/>
      <c r="AX267" s="303"/>
      <c r="AY267" s="303"/>
      <c r="AZ267" s="303"/>
      <c r="BA267" s="303"/>
      <c r="BB267" s="303"/>
      <c r="BC267" s="303"/>
      <c r="BD267" s="304"/>
      <c r="BE267" s="305"/>
      <c r="BF267" s="302"/>
      <c r="BG267" s="307"/>
      <c r="BH267" s="308"/>
      <c r="BI267" s="302"/>
      <c r="BJ267" s="307"/>
      <c r="BK267" s="308"/>
      <c r="BL267" s="302"/>
      <c r="BM267" s="303"/>
      <c r="BN267" s="315"/>
      <c r="BO267" s="250">
        <f t="shared" si="23"/>
        <v>0</v>
      </c>
    </row>
    <row r="268" spans="1:67" ht="25.5" customHeight="1" x14ac:dyDescent="0.2">
      <c r="A268" s="142">
        <f t="shared" si="24"/>
        <v>253</v>
      </c>
      <c r="B268" s="251"/>
      <c r="C268" s="252"/>
      <c r="D268" s="253"/>
      <c r="E268" s="254"/>
      <c r="F268" s="278"/>
      <c r="G268" s="256"/>
      <c r="H268" s="257"/>
      <c r="I268" s="231" t="str">
        <f t="shared" si="19"/>
        <v/>
      </c>
      <c r="J268" s="258">
        <f t="shared" si="20"/>
        <v>0</v>
      </c>
      <c r="K268" s="313"/>
      <c r="L268" s="300"/>
      <c r="M268" s="300"/>
      <c r="N268" s="235" t="str">
        <f t="shared" si="21"/>
        <v/>
      </c>
      <c r="O268" s="236" t="str">
        <f>IF('Data Set up'!$G$40="JUNE",IF(OR($N268=7,$N268=8,$N268=9),1,IF(OR($N268=10,$N268=11,$N268=12),2,IF(OR($N268=1,$N268=2,$N268=3),3,IF(OR($N268=4,$N268=5,$N268=6),4,"")))),IF(OR($N268=9,$N268=10,$N268=11),1,IF(OR($N268=12,$N268=1,$N268=2),2,IF(OR($N268=3,$N268=4,$N268=5),3,IF(OR($N268=6,$N268=7,$N268=8),4,"")))))</f>
        <v/>
      </c>
      <c r="P268" s="261"/>
      <c r="Q268" s="305"/>
      <c r="R268" s="302"/>
      <c r="S268" s="264">
        <f t="shared" si="22"/>
        <v>0</v>
      </c>
      <c r="T268" s="302"/>
      <c r="U268" s="302"/>
      <c r="V268" s="302"/>
      <c r="W268" s="302"/>
      <c r="X268" s="302"/>
      <c r="Y268" s="302"/>
      <c r="Z268" s="302"/>
      <c r="AA268" s="302"/>
      <c r="AB268" s="303"/>
      <c r="AC268" s="304"/>
      <c r="AD268" s="305"/>
      <c r="AE268" s="302"/>
      <c r="AF268" s="302"/>
      <c r="AG268" s="302"/>
      <c r="AH268" s="302"/>
      <c r="AI268" s="303"/>
      <c r="AJ268" s="303"/>
      <c r="AK268" s="302"/>
      <c r="AL268" s="314"/>
      <c r="AM268" s="305"/>
      <c r="AN268" s="302"/>
      <c r="AO268" s="302"/>
      <c r="AP268" s="302"/>
      <c r="AQ268" s="302"/>
      <c r="AR268" s="302"/>
      <c r="AS268" s="302"/>
      <c r="AT268" s="302"/>
      <c r="AU268" s="304"/>
      <c r="AV268" s="306"/>
      <c r="AW268" s="303"/>
      <c r="AX268" s="303"/>
      <c r="AY268" s="303"/>
      <c r="AZ268" s="303"/>
      <c r="BA268" s="303"/>
      <c r="BB268" s="303"/>
      <c r="BC268" s="303"/>
      <c r="BD268" s="304"/>
      <c r="BE268" s="305"/>
      <c r="BF268" s="302"/>
      <c r="BG268" s="307"/>
      <c r="BH268" s="308"/>
      <c r="BI268" s="302"/>
      <c r="BJ268" s="307"/>
      <c r="BK268" s="308"/>
      <c r="BL268" s="302"/>
      <c r="BM268" s="303"/>
      <c r="BN268" s="315"/>
      <c r="BO268" s="250">
        <f t="shared" si="23"/>
        <v>0</v>
      </c>
    </row>
    <row r="269" spans="1:67" ht="25.5" customHeight="1" x14ac:dyDescent="0.2">
      <c r="A269" s="142">
        <f t="shared" si="24"/>
        <v>254</v>
      </c>
      <c r="B269" s="251"/>
      <c r="C269" s="252"/>
      <c r="D269" s="253"/>
      <c r="E269" s="254"/>
      <c r="F269" s="278"/>
      <c r="G269" s="256"/>
      <c r="H269" s="257"/>
      <c r="I269" s="231" t="str">
        <f t="shared" si="19"/>
        <v/>
      </c>
      <c r="J269" s="258">
        <f t="shared" si="20"/>
        <v>0</v>
      </c>
      <c r="K269" s="313"/>
      <c r="L269" s="300"/>
      <c r="M269" s="300"/>
      <c r="N269" s="235" t="str">
        <f t="shared" si="21"/>
        <v/>
      </c>
      <c r="O269" s="236" t="str">
        <f>IF('Data Set up'!$G$40="JUNE",IF(OR($N269=7,$N269=8,$N269=9),1,IF(OR($N269=10,$N269=11,$N269=12),2,IF(OR($N269=1,$N269=2,$N269=3),3,IF(OR($N269=4,$N269=5,$N269=6),4,"")))),IF(OR($N269=9,$N269=10,$N269=11),1,IF(OR($N269=12,$N269=1,$N269=2),2,IF(OR($N269=3,$N269=4,$N269=5),3,IF(OR($N269=6,$N269=7,$N269=8),4,"")))))</f>
        <v/>
      </c>
      <c r="P269" s="261"/>
      <c r="Q269" s="305"/>
      <c r="R269" s="302"/>
      <c r="S269" s="264">
        <f t="shared" si="22"/>
        <v>0</v>
      </c>
      <c r="T269" s="302"/>
      <c r="U269" s="302"/>
      <c r="V269" s="302"/>
      <c r="W269" s="302"/>
      <c r="X269" s="302"/>
      <c r="Y269" s="302"/>
      <c r="Z269" s="302"/>
      <c r="AA269" s="302"/>
      <c r="AB269" s="303"/>
      <c r="AC269" s="304"/>
      <c r="AD269" s="305"/>
      <c r="AE269" s="302"/>
      <c r="AF269" s="302"/>
      <c r="AG269" s="302"/>
      <c r="AH269" s="302"/>
      <c r="AI269" s="303"/>
      <c r="AJ269" s="303"/>
      <c r="AK269" s="302"/>
      <c r="AL269" s="314"/>
      <c r="AM269" s="305"/>
      <c r="AN269" s="302"/>
      <c r="AO269" s="302"/>
      <c r="AP269" s="302"/>
      <c r="AQ269" s="302"/>
      <c r="AR269" s="302"/>
      <c r="AS269" s="302"/>
      <c r="AT269" s="302"/>
      <c r="AU269" s="304"/>
      <c r="AV269" s="306"/>
      <c r="AW269" s="303"/>
      <c r="AX269" s="303"/>
      <c r="AY269" s="303"/>
      <c r="AZ269" s="303"/>
      <c r="BA269" s="303"/>
      <c r="BB269" s="303"/>
      <c r="BC269" s="303"/>
      <c r="BD269" s="304"/>
      <c r="BE269" s="305"/>
      <c r="BF269" s="302"/>
      <c r="BG269" s="307"/>
      <c r="BH269" s="308"/>
      <c r="BI269" s="302"/>
      <c r="BJ269" s="307"/>
      <c r="BK269" s="308"/>
      <c r="BL269" s="302"/>
      <c r="BM269" s="303"/>
      <c r="BN269" s="315"/>
      <c r="BO269" s="250">
        <f t="shared" si="23"/>
        <v>0</v>
      </c>
    </row>
    <row r="270" spans="1:67" ht="25.5" customHeight="1" x14ac:dyDescent="0.2">
      <c r="A270" s="142">
        <f t="shared" si="24"/>
        <v>255</v>
      </c>
      <c r="B270" s="251"/>
      <c r="C270" s="252"/>
      <c r="D270" s="253"/>
      <c r="E270" s="254"/>
      <c r="F270" s="278"/>
      <c r="G270" s="256"/>
      <c r="H270" s="257"/>
      <c r="I270" s="231" t="str">
        <f t="shared" si="19"/>
        <v/>
      </c>
      <c r="J270" s="258">
        <f t="shared" si="20"/>
        <v>0</v>
      </c>
      <c r="K270" s="313"/>
      <c r="L270" s="300"/>
      <c r="M270" s="300"/>
      <c r="N270" s="235" t="str">
        <f t="shared" si="21"/>
        <v/>
      </c>
      <c r="O270" s="236" t="str">
        <f>IF('Data Set up'!$G$40="JUNE",IF(OR($N270=7,$N270=8,$N270=9),1,IF(OR($N270=10,$N270=11,$N270=12),2,IF(OR($N270=1,$N270=2,$N270=3),3,IF(OR($N270=4,$N270=5,$N270=6),4,"")))),IF(OR($N270=9,$N270=10,$N270=11),1,IF(OR($N270=12,$N270=1,$N270=2),2,IF(OR($N270=3,$N270=4,$N270=5),3,IF(OR($N270=6,$N270=7,$N270=8),4,"")))))</f>
        <v/>
      </c>
      <c r="P270" s="261"/>
      <c r="Q270" s="305"/>
      <c r="R270" s="302"/>
      <c r="S270" s="264">
        <f t="shared" si="22"/>
        <v>0</v>
      </c>
      <c r="T270" s="302"/>
      <c r="U270" s="302"/>
      <c r="V270" s="302"/>
      <c r="W270" s="302"/>
      <c r="X270" s="302"/>
      <c r="Y270" s="302"/>
      <c r="Z270" s="302"/>
      <c r="AA270" s="302"/>
      <c r="AB270" s="303"/>
      <c r="AC270" s="304"/>
      <c r="AD270" s="305"/>
      <c r="AE270" s="302"/>
      <c r="AF270" s="302"/>
      <c r="AG270" s="302"/>
      <c r="AH270" s="302"/>
      <c r="AI270" s="303"/>
      <c r="AJ270" s="303"/>
      <c r="AK270" s="302"/>
      <c r="AL270" s="314"/>
      <c r="AM270" s="305"/>
      <c r="AN270" s="302"/>
      <c r="AO270" s="302"/>
      <c r="AP270" s="302"/>
      <c r="AQ270" s="302"/>
      <c r="AR270" s="302"/>
      <c r="AS270" s="302"/>
      <c r="AT270" s="302"/>
      <c r="AU270" s="304"/>
      <c r="AV270" s="306"/>
      <c r="AW270" s="303"/>
      <c r="AX270" s="303"/>
      <c r="AY270" s="303"/>
      <c r="AZ270" s="303"/>
      <c r="BA270" s="303"/>
      <c r="BB270" s="303"/>
      <c r="BC270" s="303"/>
      <c r="BD270" s="304"/>
      <c r="BE270" s="305"/>
      <c r="BF270" s="302"/>
      <c r="BG270" s="307"/>
      <c r="BH270" s="308"/>
      <c r="BI270" s="302"/>
      <c r="BJ270" s="307"/>
      <c r="BK270" s="308"/>
      <c r="BL270" s="302"/>
      <c r="BM270" s="303"/>
      <c r="BN270" s="315"/>
      <c r="BO270" s="250">
        <f t="shared" si="23"/>
        <v>0</v>
      </c>
    </row>
    <row r="271" spans="1:67" ht="25.5" customHeight="1" x14ac:dyDescent="0.2">
      <c r="A271" s="142">
        <f t="shared" si="24"/>
        <v>256</v>
      </c>
      <c r="B271" s="251"/>
      <c r="C271" s="252"/>
      <c r="D271" s="253"/>
      <c r="E271" s="254"/>
      <c r="F271" s="278"/>
      <c r="G271" s="256"/>
      <c r="H271" s="257"/>
      <c r="I271" s="231" t="str">
        <f t="shared" si="19"/>
        <v/>
      </c>
      <c r="J271" s="258">
        <f t="shared" si="20"/>
        <v>0</v>
      </c>
      <c r="K271" s="313"/>
      <c r="L271" s="300"/>
      <c r="M271" s="300"/>
      <c r="N271" s="235" t="str">
        <f t="shared" si="21"/>
        <v/>
      </c>
      <c r="O271" s="236" t="str">
        <f>IF('Data Set up'!$G$40="JUNE",IF(OR($N271=7,$N271=8,$N271=9),1,IF(OR($N271=10,$N271=11,$N271=12),2,IF(OR($N271=1,$N271=2,$N271=3),3,IF(OR($N271=4,$N271=5,$N271=6),4,"")))),IF(OR($N271=9,$N271=10,$N271=11),1,IF(OR($N271=12,$N271=1,$N271=2),2,IF(OR($N271=3,$N271=4,$N271=5),3,IF(OR($N271=6,$N271=7,$N271=8),4,"")))))</f>
        <v/>
      </c>
      <c r="P271" s="261"/>
      <c r="Q271" s="305"/>
      <c r="R271" s="302"/>
      <c r="S271" s="264">
        <f t="shared" si="22"/>
        <v>0</v>
      </c>
      <c r="T271" s="302"/>
      <c r="U271" s="302"/>
      <c r="V271" s="302"/>
      <c r="W271" s="302"/>
      <c r="X271" s="302"/>
      <c r="Y271" s="302"/>
      <c r="Z271" s="302"/>
      <c r="AA271" s="302"/>
      <c r="AB271" s="303"/>
      <c r="AC271" s="304"/>
      <c r="AD271" s="305"/>
      <c r="AE271" s="302"/>
      <c r="AF271" s="302"/>
      <c r="AG271" s="302"/>
      <c r="AH271" s="302"/>
      <c r="AI271" s="303"/>
      <c r="AJ271" s="303"/>
      <c r="AK271" s="302"/>
      <c r="AL271" s="314"/>
      <c r="AM271" s="305"/>
      <c r="AN271" s="302"/>
      <c r="AO271" s="302"/>
      <c r="AP271" s="302"/>
      <c r="AQ271" s="302"/>
      <c r="AR271" s="302"/>
      <c r="AS271" s="302"/>
      <c r="AT271" s="302"/>
      <c r="AU271" s="304"/>
      <c r="AV271" s="306"/>
      <c r="AW271" s="303"/>
      <c r="AX271" s="303"/>
      <c r="AY271" s="303"/>
      <c r="AZ271" s="303"/>
      <c r="BA271" s="303"/>
      <c r="BB271" s="303"/>
      <c r="BC271" s="303"/>
      <c r="BD271" s="304"/>
      <c r="BE271" s="305"/>
      <c r="BF271" s="302"/>
      <c r="BG271" s="307"/>
      <c r="BH271" s="308"/>
      <c r="BI271" s="302"/>
      <c r="BJ271" s="307"/>
      <c r="BK271" s="308"/>
      <c r="BL271" s="302"/>
      <c r="BM271" s="303"/>
      <c r="BN271" s="315"/>
      <c r="BO271" s="250">
        <f t="shared" si="23"/>
        <v>0</v>
      </c>
    </row>
    <row r="272" spans="1:67" ht="25.5" customHeight="1" x14ac:dyDescent="0.2">
      <c r="A272" s="142">
        <f t="shared" si="24"/>
        <v>257</v>
      </c>
      <c r="B272" s="251"/>
      <c r="C272" s="252"/>
      <c r="D272" s="253"/>
      <c r="E272" s="254"/>
      <c r="F272" s="278"/>
      <c r="G272" s="256"/>
      <c r="H272" s="257"/>
      <c r="I272" s="231" t="str">
        <f t="shared" ref="I272:I335" si="25">LEFT(H272,4)</f>
        <v/>
      </c>
      <c r="J272" s="258">
        <f t="shared" ref="J272:J335" si="26">G272-BO272</f>
        <v>0</v>
      </c>
      <c r="K272" s="313"/>
      <c r="L272" s="300"/>
      <c r="M272" s="300"/>
      <c r="N272" s="235" t="str">
        <f t="shared" ref="N272:N335" si="27">IF($E272="","",MONTH($E272))</f>
        <v/>
      </c>
      <c r="O272" s="236" t="str">
        <f>IF('Data Set up'!$G$40="JUNE",IF(OR($N272=7,$N272=8,$N272=9),1,IF(OR($N272=10,$N272=11,$N272=12),2,IF(OR($N272=1,$N272=2,$N272=3),3,IF(OR($N272=4,$N272=5,$N272=6),4,"")))),IF(OR($N272=9,$N272=10,$N272=11),1,IF(OR($N272=12,$N272=1,$N272=2),2,IF(OR($N272=3,$N272=4,$N272=5),3,IF(OR($N272=6,$N272=7,$N272=8),4,"")))))</f>
        <v/>
      </c>
      <c r="P272" s="261"/>
      <c r="Q272" s="305"/>
      <c r="R272" s="302"/>
      <c r="S272" s="264">
        <f t="shared" ref="S272:S335" si="28">SUM(T272:W272)</f>
        <v>0</v>
      </c>
      <c r="T272" s="302"/>
      <c r="U272" s="302"/>
      <c r="V272" s="302"/>
      <c r="W272" s="302"/>
      <c r="X272" s="302"/>
      <c r="Y272" s="302"/>
      <c r="Z272" s="302"/>
      <c r="AA272" s="302"/>
      <c r="AB272" s="303"/>
      <c r="AC272" s="304"/>
      <c r="AD272" s="305"/>
      <c r="AE272" s="302"/>
      <c r="AF272" s="302"/>
      <c r="AG272" s="302"/>
      <c r="AH272" s="302"/>
      <c r="AI272" s="303"/>
      <c r="AJ272" s="303"/>
      <c r="AK272" s="302"/>
      <c r="AL272" s="314"/>
      <c r="AM272" s="305"/>
      <c r="AN272" s="302"/>
      <c r="AO272" s="302"/>
      <c r="AP272" s="302"/>
      <c r="AQ272" s="302"/>
      <c r="AR272" s="302"/>
      <c r="AS272" s="302"/>
      <c r="AT272" s="302"/>
      <c r="AU272" s="304"/>
      <c r="AV272" s="306"/>
      <c r="AW272" s="303"/>
      <c r="AX272" s="303"/>
      <c r="AY272" s="303"/>
      <c r="AZ272" s="303"/>
      <c r="BA272" s="303"/>
      <c r="BB272" s="303"/>
      <c r="BC272" s="303"/>
      <c r="BD272" s="304"/>
      <c r="BE272" s="305"/>
      <c r="BF272" s="302"/>
      <c r="BG272" s="307"/>
      <c r="BH272" s="308"/>
      <c r="BI272" s="302"/>
      <c r="BJ272" s="307"/>
      <c r="BK272" s="308"/>
      <c r="BL272" s="302"/>
      <c r="BM272" s="303"/>
      <c r="BN272" s="315"/>
      <c r="BO272" s="250">
        <f t="shared" ref="BO272:BO335" si="29">SUM(Q272:R272,T272:BN272)</f>
        <v>0</v>
      </c>
    </row>
    <row r="273" spans="1:67" ht="25.5" customHeight="1" x14ac:dyDescent="0.2">
      <c r="A273" s="142">
        <f t="shared" ref="A273:A336" si="30">$A272+1</f>
        <v>258</v>
      </c>
      <c r="B273" s="251"/>
      <c r="C273" s="252"/>
      <c r="D273" s="253"/>
      <c r="E273" s="254"/>
      <c r="F273" s="278"/>
      <c r="G273" s="256"/>
      <c r="H273" s="257"/>
      <c r="I273" s="231" t="str">
        <f t="shared" si="25"/>
        <v/>
      </c>
      <c r="J273" s="258">
        <f t="shared" si="26"/>
        <v>0</v>
      </c>
      <c r="K273" s="313"/>
      <c r="L273" s="300"/>
      <c r="M273" s="300"/>
      <c r="N273" s="235" t="str">
        <f t="shared" si="27"/>
        <v/>
      </c>
      <c r="O273" s="236" t="str">
        <f>IF('Data Set up'!$G$40="JUNE",IF(OR($N273=7,$N273=8,$N273=9),1,IF(OR($N273=10,$N273=11,$N273=12),2,IF(OR($N273=1,$N273=2,$N273=3),3,IF(OR($N273=4,$N273=5,$N273=6),4,"")))),IF(OR($N273=9,$N273=10,$N273=11),1,IF(OR($N273=12,$N273=1,$N273=2),2,IF(OR($N273=3,$N273=4,$N273=5),3,IF(OR($N273=6,$N273=7,$N273=8),4,"")))))</f>
        <v/>
      </c>
      <c r="P273" s="261"/>
      <c r="Q273" s="305"/>
      <c r="R273" s="302"/>
      <c r="S273" s="264">
        <f t="shared" si="28"/>
        <v>0</v>
      </c>
      <c r="T273" s="302"/>
      <c r="U273" s="302"/>
      <c r="V273" s="302"/>
      <c r="W273" s="302"/>
      <c r="X273" s="302"/>
      <c r="Y273" s="302"/>
      <c r="Z273" s="302"/>
      <c r="AA273" s="302"/>
      <c r="AB273" s="303"/>
      <c r="AC273" s="304"/>
      <c r="AD273" s="305"/>
      <c r="AE273" s="302"/>
      <c r="AF273" s="302"/>
      <c r="AG273" s="302"/>
      <c r="AH273" s="302"/>
      <c r="AI273" s="303"/>
      <c r="AJ273" s="303"/>
      <c r="AK273" s="302"/>
      <c r="AL273" s="314"/>
      <c r="AM273" s="305"/>
      <c r="AN273" s="302"/>
      <c r="AO273" s="302"/>
      <c r="AP273" s="302"/>
      <c r="AQ273" s="302"/>
      <c r="AR273" s="302"/>
      <c r="AS273" s="302"/>
      <c r="AT273" s="302"/>
      <c r="AU273" s="304"/>
      <c r="AV273" s="306"/>
      <c r="AW273" s="303"/>
      <c r="AX273" s="303"/>
      <c r="AY273" s="303"/>
      <c r="AZ273" s="303"/>
      <c r="BA273" s="303"/>
      <c r="BB273" s="303"/>
      <c r="BC273" s="303"/>
      <c r="BD273" s="304"/>
      <c r="BE273" s="305"/>
      <c r="BF273" s="302"/>
      <c r="BG273" s="307"/>
      <c r="BH273" s="308"/>
      <c r="BI273" s="302"/>
      <c r="BJ273" s="307"/>
      <c r="BK273" s="308"/>
      <c r="BL273" s="302"/>
      <c r="BM273" s="303"/>
      <c r="BN273" s="315"/>
      <c r="BO273" s="250">
        <f t="shared" si="29"/>
        <v>0</v>
      </c>
    </row>
    <row r="274" spans="1:67" ht="25.5" customHeight="1" x14ac:dyDescent="0.2">
      <c r="A274" s="142">
        <f t="shared" si="30"/>
        <v>259</v>
      </c>
      <c r="B274" s="251"/>
      <c r="C274" s="252"/>
      <c r="D274" s="253"/>
      <c r="E274" s="254"/>
      <c r="F274" s="278"/>
      <c r="G274" s="256"/>
      <c r="H274" s="257"/>
      <c r="I274" s="231" t="str">
        <f t="shared" si="25"/>
        <v/>
      </c>
      <c r="J274" s="258">
        <f t="shared" si="26"/>
        <v>0</v>
      </c>
      <c r="K274" s="313"/>
      <c r="L274" s="300"/>
      <c r="M274" s="300"/>
      <c r="N274" s="235" t="str">
        <f t="shared" si="27"/>
        <v/>
      </c>
      <c r="O274" s="236" t="str">
        <f>IF('Data Set up'!$G$40="JUNE",IF(OR($N274=7,$N274=8,$N274=9),1,IF(OR($N274=10,$N274=11,$N274=12),2,IF(OR($N274=1,$N274=2,$N274=3),3,IF(OR($N274=4,$N274=5,$N274=6),4,"")))),IF(OR($N274=9,$N274=10,$N274=11),1,IF(OR($N274=12,$N274=1,$N274=2),2,IF(OR($N274=3,$N274=4,$N274=5),3,IF(OR($N274=6,$N274=7,$N274=8),4,"")))))</f>
        <v/>
      </c>
      <c r="P274" s="261"/>
      <c r="Q274" s="305"/>
      <c r="R274" s="302"/>
      <c r="S274" s="264">
        <f t="shared" si="28"/>
        <v>0</v>
      </c>
      <c r="T274" s="302"/>
      <c r="U274" s="302"/>
      <c r="V274" s="302"/>
      <c r="W274" s="302"/>
      <c r="X274" s="302"/>
      <c r="Y274" s="302"/>
      <c r="Z274" s="302"/>
      <c r="AA274" s="302"/>
      <c r="AB274" s="303"/>
      <c r="AC274" s="304"/>
      <c r="AD274" s="305"/>
      <c r="AE274" s="302"/>
      <c r="AF274" s="302"/>
      <c r="AG274" s="302"/>
      <c r="AH274" s="302"/>
      <c r="AI274" s="303"/>
      <c r="AJ274" s="303"/>
      <c r="AK274" s="302"/>
      <c r="AL274" s="314"/>
      <c r="AM274" s="305"/>
      <c r="AN274" s="302"/>
      <c r="AO274" s="302"/>
      <c r="AP274" s="302"/>
      <c r="AQ274" s="302"/>
      <c r="AR274" s="302"/>
      <c r="AS274" s="302"/>
      <c r="AT274" s="302"/>
      <c r="AU274" s="304"/>
      <c r="AV274" s="306"/>
      <c r="AW274" s="303"/>
      <c r="AX274" s="303"/>
      <c r="AY274" s="303"/>
      <c r="AZ274" s="303"/>
      <c r="BA274" s="303"/>
      <c r="BB274" s="303"/>
      <c r="BC274" s="303"/>
      <c r="BD274" s="304"/>
      <c r="BE274" s="305"/>
      <c r="BF274" s="302"/>
      <c r="BG274" s="307"/>
      <c r="BH274" s="308"/>
      <c r="BI274" s="302"/>
      <c r="BJ274" s="307"/>
      <c r="BK274" s="308"/>
      <c r="BL274" s="302"/>
      <c r="BM274" s="303"/>
      <c r="BN274" s="315"/>
      <c r="BO274" s="250">
        <f t="shared" si="29"/>
        <v>0</v>
      </c>
    </row>
    <row r="275" spans="1:67" ht="25.5" customHeight="1" x14ac:dyDescent="0.2">
      <c r="A275" s="142">
        <f t="shared" si="30"/>
        <v>260</v>
      </c>
      <c r="B275" s="251"/>
      <c r="C275" s="252"/>
      <c r="D275" s="253"/>
      <c r="E275" s="254"/>
      <c r="F275" s="278"/>
      <c r="G275" s="256"/>
      <c r="H275" s="257"/>
      <c r="I275" s="231" t="str">
        <f t="shared" si="25"/>
        <v/>
      </c>
      <c r="J275" s="258">
        <f t="shared" si="26"/>
        <v>0</v>
      </c>
      <c r="K275" s="313"/>
      <c r="L275" s="300"/>
      <c r="M275" s="300"/>
      <c r="N275" s="235" t="str">
        <f t="shared" si="27"/>
        <v/>
      </c>
      <c r="O275" s="236" t="str">
        <f>IF('Data Set up'!$G$40="JUNE",IF(OR($N275=7,$N275=8,$N275=9),1,IF(OR($N275=10,$N275=11,$N275=12),2,IF(OR($N275=1,$N275=2,$N275=3),3,IF(OR($N275=4,$N275=5,$N275=6),4,"")))),IF(OR($N275=9,$N275=10,$N275=11),1,IF(OR($N275=12,$N275=1,$N275=2),2,IF(OR($N275=3,$N275=4,$N275=5),3,IF(OR($N275=6,$N275=7,$N275=8),4,"")))))</f>
        <v/>
      </c>
      <c r="P275" s="261"/>
      <c r="Q275" s="305"/>
      <c r="R275" s="302"/>
      <c r="S275" s="264">
        <f t="shared" si="28"/>
        <v>0</v>
      </c>
      <c r="T275" s="302"/>
      <c r="U275" s="302"/>
      <c r="V275" s="302"/>
      <c r="W275" s="302"/>
      <c r="X275" s="302"/>
      <c r="Y275" s="302"/>
      <c r="Z275" s="302"/>
      <c r="AA275" s="302"/>
      <c r="AB275" s="303"/>
      <c r="AC275" s="304"/>
      <c r="AD275" s="305"/>
      <c r="AE275" s="302"/>
      <c r="AF275" s="302"/>
      <c r="AG275" s="302"/>
      <c r="AH275" s="302"/>
      <c r="AI275" s="303"/>
      <c r="AJ275" s="303"/>
      <c r="AK275" s="302"/>
      <c r="AL275" s="314"/>
      <c r="AM275" s="305"/>
      <c r="AN275" s="302"/>
      <c r="AO275" s="302"/>
      <c r="AP275" s="302"/>
      <c r="AQ275" s="302"/>
      <c r="AR275" s="302"/>
      <c r="AS275" s="302"/>
      <c r="AT275" s="302"/>
      <c r="AU275" s="304"/>
      <c r="AV275" s="306"/>
      <c r="AW275" s="303"/>
      <c r="AX275" s="303"/>
      <c r="AY275" s="303"/>
      <c r="AZ275" s="303"/>
      <c r="BA275" s="303"/>
      <c r="BB275" s="303"/>
      <c r="BC275" s="303"/>
      <c r="BD275" s="304"/>
      <c r="BE275" s="305"/>
      <c r="BF275" s="302"/>
      <c r="BG275" s="307"/>
      <c r="BH275" s="308"/>
      <c r="BI275" s="302"/>
      <c r="BJ275" s="307"/>
      <c r="BK275" s="308"/>
      <c r="BL275" s="302"/>
      <c r="BM275" s="303"/>
      <c r="BN275" s="315"/>
      <c r="BO275" s="250">
        <f t="shared" si="29"/>
        <v>0</v>
      </c>
    </row>
    <row r="276" spans="1:67" ht="25.5" customHeight="1" x14ac:dyDescent="0.2">
      <c r="A276" s="142">
        <f t="shared" si="30"/>
        <v>261</v>
      </c>
      <c r="B276" s="251"/>
      <c r="C276" s="252"/>
      <c r="D276" s="253"/>
      <c r="E276" s="254"/>
      <c r="F276" s="278"/>
      <c r="G276" s="256"/>
      <c r="H276" s="257"/>
      <c r="I276" s="231" t="str">
        <f t="shared" si="25"/>
        <v/>
      </c>
      <c r="J276" s="258">
        <f t="shared" si="26"/>
        <v>0</v>
      </c>
      <c r="K276" s="313"/>
      <c r="L276" s="300"/>
      <c r="M276" s="300"/>
      <c r="N276" s="235" t="str">
        <f t="shared" si="27"/>
        <v/>
      </c>
      <c r="O276" s="236" t="str">
        <f>IF('Data Set up'!$G$40="JUNE",IF(OR($N276=7,$N276=8,$N276=9),1,IF(OR($N276=10,$N276=11,$N276=12),2,IF(OR($N276=1,$N276=2,$N276=3),3,IF(OR($N276=4,$N276=5,$N276=6),4,"")))),IF(OR($N276=9,$N276=10,$N276=11),1,IF(OR($N276=12,$N276=1,$N276=2),2,IF(OR($N276=3,$N276=4,$N276=5),3,IF(OR($N276=6,$N276=7,$N276=8),4,"")))))</f>
        <v/>
      </c>
      <c r="P276" s="261"/>
      <c r="Q276" s="305"/>
      <c r="R276" s="302"/>
      <c r="S276" s="264">
        <f t="shared" si="28"/>
        <v>0</v>
      </c>
      <c r="T276" s="302"/>
      <c r="U276" s="302"/>
      <c r="V276" s="302"/>
      <c r="W276" s="302"/>
      <c r="X276" s="302"/>
      <c r="Y276" s="302"/>
      <c r="Z276" s="302"/>
      <c r="AA276" s="302"/>
      <c r="AB276" s="303"/>
      <c r="AC276" s="304"/>
      <c r="AD276" s="305"/>
      <c r="AE276" s="302"/>
      <c r="AF276" s="302"/>
      <c r="AG276" s="302"/>
      <c r="AH276" s="302"/>
      <c r="AI276" s="303"/>
      <c r="AJ276" s="303"/>
      <c r="AK276" s="302"/>
      <c r="AL276" s="314"/>
      <c r="AM276" s="305"/>
      <c r="AN276" s="302"/>
      <c r="AO276" s="302"/>
      <c r="AP276" s="302"/>
      <c r="AQ276" s="302"/>
      <c r="AR276" s="302"/>
      <c r="AS276" s="302"/>
      <c r="AT276" s="302"/>
      <c r="AU276" s="304"/>
      <c r="AV276" s="306"/>
      <c r="AW276" s="303"/>
      <c r="AX276" s="303"/>
      <c r="AY276" s="303"/>
      <c r="AZ276" s="303"/>
      <c r="BA276" s="303"/>
      <c r="BB276" s="303"/>
      <c r="BC276" s="303"/>
      <c r="BD276" s="304"/>
      <c r="BE276" s="305"/>
      <c r="BF276" s="302"/>
      <c r="BG276" s="307"/>
      <c r="BH276" s="308"/>
      <c r="BI276" s="302"/>
      <c r="BJ276" s="307"/>
      <c r="BK276" s="308"/>
      <c r="BL276" s="302"/>
      <c r="BM276" s="303"/>
      <c r="BN276" s="315"/>
      <c r="BO276" s="250">
        <f t="shared" si="29"/>
        <v>0</v>
      </c>
    </row>
    <row r="277" spans="1:67" ht="25.5" customHeight="1" x14ac:dyDescent="0.2">
      <c r="A277" s="142">
        <f t="shared" si="30"/>
        <v>262</v>
      </c>
      <c r="B277" s="251"/>
      <c r="C277" s="252"/>
      <c r="D277" s="253"/>
      <c r="E277" s="254"/>
      <c r="F277" s="278"/>
      <c r="G277" s="256"/>
      <c r="H277" s="257"/>
      <c r="I277" s="231" t="str">
        <f t="shared" si="25"/>
        <v/>
      </c>
      <c r="J277" s="258">
        <f t="shared" si="26"/>
        <v>0</v>
      </c>
      <c r="K277" s="313"/>
      <c r="L277" s="300"/>
      <c r="M277" s="300"/>
      <c r="N277" s="235" t="str">
        <f t="shared" si="27"/>
        <v/>
      </c>
      <c r="O277" s="236" t="str">
        <f>IF('Data Set up'!$G$40="JUNE",IF(OR($N277=7,$N277=8,$N277=9),1,IF(OR($N277=10,$N277=11,$N277=12),2,IF(OR($N277=1,$N277=2,$N277=3),3,IF(OR($N277=4,$N277=5,$N277=6),4,"")))),IF(OR($N277=9,$N277=10,$N277=11),1,IF(OR($N277=12,$N277=1,$N277=2),2,IF(OR($N277=3,$N277=4,$N277=5),3,IF(OR($N277=6,$N277=7,$N277=8),4,"")))))</f>
        <v/>
      </c>
      <c r="P277" s="261"/>
      <c r="Q277" s="305"/>
      <c r="R277" s="302"/>
      <c r="S277" s="264">
        <f t="shared" si="28"/>
        <v>0</v>
      </c>
      <c r="T277" s="302"/>
      <c r="U277" s="302"/>
      <c r="V277" s="302"/>
      <c r="W277" s="302"/>
      <c r="X277" s="302"/>
      <c r="Y277" s="302"/>
      <c r="Z277" s="302"/>
      <c r="AA277" s="302"/>
      <c r="AB277" s="303"/>
      <c r="AC277" s="304"/>
      <c r="AD277" s="305"/>
      <c r="AE277" s="302"/>
      <c r="AF277" s="302"/>
      <c r="AG277" s="302"/>
      <c r="AH277" s="302"/>
      <c r="AI277" s="303"/>
      <c r="AJ277" s="303"/>
      <c r="AK277" s="302"/>
      <c r="AL277" s="314"/>
      <c r="AM277" s="305"/>
      <c r="AN277" s="302"/>
      <c r="AO277" s="302"/>
      <c r="AP277" s="302"/>
      <c r="AQ277" s="302"/>
      <c r="AR277" s="302"/>
      <c r="AS277" s="302"/>
      <c r="AT277" s="302"/>
      <c r="AU277" s="304"/>
      <c r="AV277" s="306"/>
      <c r="AW277" s="303"/>
      <c r="AX277" s="303"/>
      <c r="AY277" s="303"/>
      <c r="AZ277" s="303"/>
      <c r="BA277" s="303"/>
      <c r="BB277" s="303"/>
      <c r="BC277" s="303"/>
      <c r="BD277" s="304"/>
      <c r="BE277" s="305"/>
      <c r="BF277" s="302"/>
      <c r="BG277" s="307"/>
      <c r="BH277" s="308"/>
      <c r="BI277" s="302"/>
      <c r="BJ277" s="307"/>
      <c r="BK277" s="308"/>
      <c r="BL277" s="302"/>
      <c r="BM277" s="303"/>
      <c r="BN277" s="315"/>
      <c r="BO277" s="250">
        <f t="shared" si="29"/>
        <v>0</v>
      </c>
    </row>
    <row r="278" spans="1:67" ht="25.5" customHeight="1" x14ac:dyDescent="0.2">
      <c r="A278" s="142">
        <f t="shared" si="30"/>
        <v>263</v>
      </c>
      <c r="B278" s="251"/>
      <c r="C278" s="252"/>
      <c r="D278" s="253"/>
      <c r="E278" s="254"/>
      <c r="F278" s="278"/>
      <c r="G278" s="256"/>
      <c r="H278" s="257"/>
      <c r="I278" s="231" t="str">
        <f t="shared" si="25"/>
        <v/>
      </c>
      <c r="J278" s="258">
        <f t="shared" si="26"/>
        <v>0</v>
      </c>
      <c r="K278" s="313"/>
      <c r="L278" s="300"/>
      <c r="M278" s="300"/>
      <c r="N278" s="235" t="str">
        <f t="shared" si="27"/>
        <v/>
      </c>
      <c r="O278" s="236" t="str">
        <f>IF('Data Set up'!$G$40="JUNE",IF(OR($N278=7,$N278=8,$N278=9),1,IF(OR($N278=10,$N278=11,$N278=12),2,IF(OR($N278=1,$N278=2,$N278=3),3,IF(OR($N278=4,$N278=5,$N278=6),4,"")))),IF(OR($N278=9,$N278=10,$N278=11),1,IF(OR($N278=12,$N278=1,$N278=2),2,IF(OR($N278=3,$N278=4,$N278=5),3,IF(OR($N278=6,$N278=7,$N278=8),4,"")))))</f>
        <v/>
      </c>
      <c r="P278" s="261"/>
      <c r="Q278" s="305"/>
      <c r="R278" s="302"/>
      <c r="S278" s="264">
        <f t="shared" si="28"/>
        <v>0</v>
      </c>
      <c r="T278" s="302"/>
      <c r="U278" s="302"/>
      <c r="V278" s="302"/>
      <c r="W278" s="302"/>
      <c r="X278" s="302"/>
      <c r="Y278" s="302"/>
      <c r="Z278" s="302"/>
      <c r="AA278" s="302"/>
      <c r="AB278" s="303"/>
      <c r="AC278" s="304"/>
      <c r="AD278" s="305"/>
      <c r="AE278" s="302"/>
      <c r="AF278" s="302"/>
      <c r="AG278" s="302"/>
      <c r="AH278" s="302"/>
      <c r="AI278" s="303"/>
      <c r="AJ278" s="303"/>
      <c r="AK278" s="302"/>
      <c r="AL278" s="314"/>
      <c r="AM278" s="305"/>
      <c r="AN278" s="302"/>
      <c r="AO278" s="302"/>
      <c r="AP278" s="302"/>
      <c r="AQ278" s="302"/>
      <c r="AR278" s="302"/>
      <c r="AS278" s="302"/>
      <c r="AT278" s="302"/>
      <c r="AU278" s="304"/>
      <c r="AV278" s="306"/>
      <c r="AW278" s="303"/>
      <c r="AX278" s="303"/>
      <c r="AY278" s="303"/>
      <c r="AZ278" s="303"/>
      <c r="BA278" s="303"/>
      <c r="BB278" s="303"/>
      <c r="BC278" s="303"/>
      <c r="BD278" s="304"/>
      <c r="BE278" s="305"/>
      <c r="BF278" s="302"/>
      <c r="BG278" s="307"/>
      <c r="BH278" s="308"/>
      <c r="BI278" s="302"/>
      <c r="BJ278" s="307"/>
      <c r="BK278" s="308"/>
      <c r="BL278" s="302"/>
      <c r="BM278" s="303"/>
      <c r="BN278" s="315"/>
      <c r="BO278" s="250">
        <f t="shared" si="29"/>
        <v>0</v>
      </c>
    </row>
    <row r="279" spans="1:67" ht="25.5" customHeight="1" x14ac:dyDescent="0.2">
      <c r="A279" s="142">
        <f t="shared" si="30"/>
        <v>264</v>
      </c>
      <c r="B279" s="251"/>
      <c r="C279" s="252"/>
      <c r="D279" s="253"/>
      <c r="E279" s="254"/>
      <c r="F279" s="278"/>
      <c r="G279" s="256"/>
      <c r="H279" s="257"/>
      <c r="I279" s="231" t="str">
        <f t="shared" si="25"/>
        <v/>
      </c>
      <c r="J279" s="258">
        <f t="shared" si="26"/>
        <v>0</v>
      </c>
      <c r="K279" s="313"/>
      <c r="L279" s="300"/>
      <c r="M279" s="300"/>
      <c r="N279" s="235" t="str">
        <f t="shared" si="27"/>
        <v/>
      </c>
      <c r="O279" s="236" t="str">
        <f>IF('Data Set up'!$G$40="JUNE",IF(OR($N279=7,$N279=8,$N279=9),1,IF(OR($N279=10,$N279=11,$N279=12),2,IF(OR($N279=1,$N279=2,$N279=3),3,IF(OR($N279=4,$N279=5,$N279=6),4,"")))),IF(OR($N279=9,$N279=10,$N279=11),1,IF(OR($N279=12,$N279=1,$N279=2),2,IF(OR($N279=3,$N279=4,$N279=5),3,IF(OR($N279=6,$N279=7,$N279=8),4,"")))))</f>
        <v/>
      </c>
      <c r="P279" s="261"/>
      <c r="Q279" s="305"/>
      <c r="R279" s="302"/>
      <c r="S279" s="264">
        <f t="shared" si="28"/>
        <v>0</v>
      </c>
      <c r="T279" s="302"/>
      <c r="U279" s="302"/>
      <c r="V279" s="302"/>
      <c r="W279" s="302"/>
      <c r="X279" s="302"/>
      <c r="Y279" s="302"/>
      <c r="Z279" s="302"/>
      <c r="AA279" s="302"/>
      <c r="AB279" s="303"/>
      <c r="AC279" s="304"/>
      <c r="AD279" s="305"/>
      <c r="AE279" s="302"/>
      <c r="AF279" s="302"/>
      <c r="AG279" s="302"/>
      <c r="AH279" s="302"/>
      <c r="AI279" s="303"/>
      <c r="AJ279" s="303"/>
      <c r="AK279" s="302"/>
      <c r="AL279" s="314"/>
      <c r="AM279" s="305"/>
      <c r="AN279" s="302"/>
      <c r="AO279" s="302"/>
      <c r="AP279" s="302"/>
      <c r="AQ279" s="302"/>
      <c r="AR279" s="302"/>
      <c r="AS279" s="302"/>
      <c r="AT279" s="302"/>
      <c r="AU279" s="304"/>
      <c r="AV279" s="306"/>
      <c r="AW279" s="303"/>
      <c r="AX279" s="303"/>
      <c r="AY279" s="303"/>
      <c r="AZ279" s="303"/>
      <c r="BA279" s="303"/>
      <c r="BB279" s="303"/>
      <c r="BC279" s="303"/>
      <c r="BD279" s="304"/>
      <c r="BE279" s="305"/>
      <c r="BF279" s="302"/>
      <c r="BG279" s="307"/>
      <c r="BH279" s="308"/>
      <c r="BI279" s="302"/>
      <c r="BJ279" s="307"/>
      <c r="BK279" s="308"/>
      <c r="BL279" s="302"/>
      <c r="BM279" s="303"/>
      <c r="BN279" s="315"/>
      <c r="BO279" s="250">
        <f t="shared" si="29"/>
        <v>0</v>
      </c>
    </row>
    <row r="280" spans="1:67" ht="25.5" customHeight="1" x14ac:dyDescent="0.2">
      <c r="A280" s="142">
        <f t="shared" si="30"/>
        <v>265</v>
      </c>
      <c r="B280" s="251"/>
      <c r="C280" s="252"/>
      <c r="D280" s="253"/>
      <c r="E280" s="254"/>
      <c r="F280" s="278"/>
      <c r="G280" s="256"/>
      <c r="H280" s="257"/>
      <c r="I280" s="231" t="str">
        <f t="shared" si="25"/>
        <v/>
      </c>
      <c r="J280" s="258">
        <f t="shared" si="26"/>
        <v>0</v>
      </c>
      <c r="K280" s="313"/>
      <c r="L280" s="300"/>
      <c r="M280" s="300"/>
      <c r="N280" s="235" t="str">
        <f t="shared" si="27"/>
        <v/>
      </c>
      <c r="O280" s="236" t="str">
        <f>IF('Data Set up'!$G$40="JUNE",IF(OR($N280=7,$N280=8,$N280=9),1,IF(OR($N280=10,$N280=11,$N280=12),2,IF(OR($N280=1,$N280=2,$N280=3),3,IF(OR($N280=4,$N280=5,$N280=6),4,"")))),IF(OR($N280=9,$N280=10,$N280=11),1,IF(OR($N280=12,$N280=1,$N280=2),2,IF(OR($N280=3,$N280=4,$N280=5),3,IF(OR($N280=6,$N280=7,$N280=8),4,"")))))</f>
        <v/>
      </c>
      <c r="P280" s="261"/>
      <c r="Q280" s="305"/>
      <c r="R280" s="302"/>
      <c r="S280" s="264">
        <f t="shared" si="28"/>
        <v>0</v>
      </c>
      <c r="T280" s="302"/>
      <c r="U280" s="302"/>
      <c r="V280" s="302"/>
      <c r="W280" s="302"/>
      <c r="X280" s="302"/>
      <c r="Y280" s="302"/>
      <c r="Z280" s="302"/>
      <c r="AA280" s="302"/>
      <c r="AB280" s="303"/>
      <c r="AC280" s="304"/>
      <c r="AD280" s="305"/>
      <c r="AE280" s="302"/>
      <c r="AF280" s="302"/>
      <c r="AG280" s="302"/>
      <c r="AH280" s="302"/>
      <c r="AI280" s="303"/>
      <c r="AJ280" s="303"/>
      <c r="AK280" s="302"/>
      <c r="AL280" s="314"/>
      <c r="AM280" s="305"/>
      <c r="AN280" s="302"/>
      <c r="AO280" s="302"/>
      <c r="AP280" s="302"/>
      <c r="AQ280" s="302"/>
      <c r="AR280" s="302"/>
      <c r="AS280" s="302"/>
      <c r="AT280" s="302"/>
      <c r="AU280" s="304"/>
      <c r="AV280" s="306"/>
      <c r="AW280" s="303"/>
      <c r="AX280" s="303"/>
      <c r="AY280" s="303"/>
      <c r="AZ280" s="303"/>
      <c r="BA280" s="303"/>
      <c r="BB280" s="303"/>
      <c r="BC280" s="303"/>
      <c r="BD280" s="304"/>
      <c r="BE280" s="305"/>
      <c r="BF280" s="302"/>
      <c r="BG280" s="307"/>
      <c r="BH280" s="308"/>
      <c r="BI280" s="302"/>
      <c r="BJ280" s="307"/>
      <c r="BK280" s="308"/>
      <c r="BL280" s="302"/>
      <c r="BM280" s="303"/>
      <c r="BN280" s="315"/>
      <c r="BO280" s="250">
        <f t="shared" si="29"/>
        <v>0</v>
      </c>
    </row>
    <row r="281" spans="1:67" ht="25.5" customHeight="1" x14ac:dyDescent="0.2">
      <c r="A281" s="142">
        <f t="shared" si="30"/>
        <v>266</v>
      </c>
      <c r="B281" s="251"/>
      <c r="C281" s="252"/>
      <c r="D281" s="253"/>
      <c r="E281" s="254"/>
      <c r="F281" s="278"/>
      <c r="G281" s="256"/>
      <c r="H281" s="257"/>
      <c r="I281" s="231" t="str">
        <f t="shared" si="25"/>
        <v/>
      </c>
      <c r="J281" s="258">
        <f t="shared" si="26"/>
        <v>0</v>
      </c>
      <c r="K281" s="313"/>
      <c r="L281" s="300"/>
      <c r="M281" s="300"/>
      <c r="N281" s="235" t="str">
        <f t="shared" si="27"/>
        <v/>
      </c>
      <c r="O281" s="236" t="str">
        <f>IF('Data Set up'!$G$40="JUNE",IF(OR($N281=7,$N281=8,$N281=9),1,IF(OR($N281=10,$N281=11,$N281=12),2,IF(OR($N281=1,$N281=2,$N281=3),3,IF(OR($N281=4,$N281=5,$N281=6),4,"")))),IF(OR($N281=9,$N281=10,$N281=11),1,IF(OR($N281=12,$N281=1,$N281=2),2,IF(OR($N281=3,$N281=4,$N281=5),3,IF(OR($N281=6,$N281=7,$N281=8),4,"")))))</f>
        <v/>
      </c>
      <c r="P281" s="261"/>
      <c r="Q281" s="305"/>
      <c r="R281" s="302"/>
      <c r="S281" s="264">
        <f t="shared" si="28"/>
        <v>0</v>
      </c>
      <c r="T281" s="302"/>
      <c r="U281" s="302"/>
      <c r="V281" s="302"/>
      <c r="W281" s="302"/>
      <c r="X281" s="302"/>
      <c r="Y281" s="302"/>
      <c r="Z281" s="302"/>
      <c r="AA281" s="302"/>
      <c r="AB281" s="303"/>
      <c r="AC281" s="304"/>
      <c r="AD281" s="305"/>
      <c r="AE281" s="302"/>
      <c r="AF281" s="302"/>
      <c r="AG281" s="302"/>
      <c r="AH281" s="302"/>
      <c r="AI281" s="303"/>
      <c r="AJ281" s="303"/>
      <c r="AK281" s="302"/>
      <c r="AL281" s="314"/>
      <c r="AM281" s="305"/>
      <c r="AN281" s="302"/>
      <c r="AO281" s="302"/>
      <c r="AP281" s="302"/>
      <c r="AQ281" s="302"/>
      <c r="AR281" s="302"/>
      <c r="AS281" s="302"/>
      <c r="AT281" s="302"/>
      <c r="AU281" s="304"/>
      <c r="AV281" s="306"/>
      <c r="AW281" s="303"/>
      <c r="AX281" s="303"/>
      <c r="AY281" s="303"/>
      <c r="AZ281" s="303"/>
      <c r="BA281" s="303"/>
      <c r="BB281" s="303"/>
      <c r="BC281" s="303"/>
      <c r="BD281" s="304"/>
      <c r="BE281" s="305"/>
      <c r="BF281" s="302"/>
      <c r="BG281" s="307"/>
      <c r="BH281" s="308"/>
      <c r="BI281" s="302"/>
      <c r="BJ281" s="307"/>
      <c r="BK281" s="308"/>
      <c r="BL281" s="302"/>
      <c r="BM281" s="303"/>
      <c r="BN281" s="315"/>
      <c r="BO281" s="250">
        <f t="shared" si="29"/>
        <v>0</v>
      </c>
    </row>
    <row r="282" spans="1:67" ht="25.5" customHeight="1" x14ac:dyDescent="0.2">
      <c r="A282" s="142">
        <f t="shared" si="30"/>
        <v>267</v>
      </c>
      <c r="B282" s="251"/>
      <c r="C282" s="252"/>
      <c r="D282" s="253"/>
      <c r="E282" s="254"/>
      <c r="F282" s="278"/>
      <c r="G282" s="256"/>
      <c r="H282" s="257"/>
      <c r="I282" s="231" t="str">
        <f t="shared" si="25"/>
        <v/>
      </c>
      <c r="J282" s="258">
        <f t="shared" si="26"/>
        <v>0</v>
      </c>
      <c r="K282" s="313"/>
      <c r="L282" s="300"/>
      <c r="M282" s="300"/>
      <c r="N282" s="235" t="str">
        <f t="shared" si="27"/>
        <v/>
      </c>
      <c r="O282" s="236" t="str">
        <f>IF('Data Set up'!$G$40="JUNE",IF(OR($N282=7,$N282=8,$N282=9),1,IF(OR($N282=10,$N282=11,$N282=12),2,IF(OR($N282=1,$N282=2,$N282=3),3,IF(OR($N282=4,$N282=5,$N282=6),4,"")))),IF(OR($N282=9,$N282=10,$N282=11),1,IF(OR($N282=12,$N282=1,$N282=2),2,IF(OR($N282=3,$N282=4,$N282=5),3,IF(OR($N282=6,$N282=7,$N282=8),4,"")))))</f>
        <v/>
      </c>
      <c r="P282" s="261"/>
      <c r="Q282" s="305"/>
      <c r="R282" s="302"/>
      <c r="S282" s="264">
        <f t="shared" si="28"/>
        <v>0</v>
      </c>
      <c r="T282" s="302"/>
      <c r="U282" s="302"/>
      <c r="V282" s="302"/>
      <c r="W282" s="302"/>
      <c r="X282" s="302"/>
      <c r="Y282" s="302"/>
      <c r="Z282" s="302"/>
      <c r="AA282" s="302"/>
      <c r="AB282" s="303"/>
      <c r="AC282" s="304"/>
      <c r="AD282" s="305"/>
      <c r="AE282" s="302"/>
      <c r="AF282" s="302"/>
      <c r="AG282" s="302"/>
      <c r="AH282" s="302"/>
      <c r="AI282" s="303"/>
      <c r="AJ282" s="303"/>
      <c r="AK282" s="302"/>
      <c r="AL282" s="314"/>
      <c r="AM282" s="305"/>
      <c r="AN282" s="302"/>
      <c r="AO282" s="302"/>
      <c r="AP282" s="302"/>
      <c r="AQ282" s="302"/>
      <c r="AR282" s="302"/>
      <c r="AS282" s="302"/>
      <c r="AT282" s="302"/>
      <c r="AU282" s="304"/>
      <c r="AV282" s="306"/>
      <c r="AW282" s="303"/>
      <c r="AX282" s="303"/>
      <c r="AY282" s="303"/>
      <c r="AZ282" s="303"/>
      <c r="BA282" s="303"/>
      <c r="BB282" s="303"/>
      <c r="BC282" s="303"/>
      <c r="BD282" s="304"/>
      <c r="BE282" s="305"/>
      <c r="BF282" s="302"/>
      <c r="BG282" s="307"/>
      <c r="BH282" s="308"/>
      <c r="BI282" s="302"/>
      <c r="BJ282" s="307"/>
      <c r="BK282" s="308"/>
      <c r="BL282" s="302"/>
      <c r="BM282" s="303"/>
      <c r="BN282" s="315"/>
      <c r="BO282" s="250">
        <f t="shared" si="29"/>
        <v>0</v>
      </c>
    </row>
    <row r="283" spans="1:67" ht="25.5" customHeight="1" x14ac:dyDescent="0.2">
      <c r="A283" s="142">
        <f t="shared" si="30"/>
        <v>268</v>
      </c>
      <c r="B283" s="251"/>
      <c r="C283" s="252"/>
      <c r="D283" s="253"/>
      <c r="E283" s="254"/>
      <c r="F283" s="278"/>
      <c r="G283" s="256"/>
      <c r="H283" s="257"/>
      <c r="I283" s="231" t="str">
        <f t="shared" si="25"/>
        <v/>
      </c>
      <c r="J283" s="258">
        <f t="shared" si="26"/>
        <v>0</v>
      </c>
      <c r="K283" s="313"/>
      <c r="L283" s="300"/>
      <c r="M283" s="300"/>
      <c r="N283" s="235" t="str">
        <f t="shared" si="27"/>
        <v/>
      </c>
      <c r="O283" s="236" t="str">
        <f>IF('Data Set up'!$G$40="JUNE",IF(OR($N283=7,$N283=8,$N283=9),1,IF(OR($N283=10,$N283=11,$N283=12),2,IF(OR($N283=1,$N283=2,$N283=3),3,IF(OR($N283=4,$N283=5,$N283=6),4,"")))),IF(OR($N283=9,$N283=10,$N283=11),1,IF(OR($N283=12,$N283=1,$N283=2),2,IF(OR($N283=3,$N283=4,$N283=5),3,IF(OR($N283=6,$N283=7,$N283=8),4,"")))))</f>
        <v/>
      </c>
      <c r="P283" s="261"/>
      <c r="Q283" s="305"/>
      <c r="R283" s="302"/>
      <c r="S283" s="264">
        <f t="shared" si="28"/>
        <v>0</v>
      </c>
      <c r="T283" s="302"/>
      <c r="U283" s="302"/>
      <c r="V283" s="302"/>
      <c r="W283" s="302"/>
      <c r="X283" s="302"/>
      <c r="Y283" s="302"/>
      <c r="Z283" s="302"/>
      <c r="AA283" s="302"/>
      <c r="AB283" s="303"/>
      <c r="AC283" s="304"/>
      <c r="AD283" s="305"/>
      <c r="AE283" s="302"/>
      <c r="AF283" s="302"/>
      <c r="AG283" s="302"/>
      <c r="AH283" s="302"/>
      <c r="AI283" s="303"/>
      <c r="AJ283" s="303"/>
      <c r="AK283" s="302"/>
      <c r="AL283" s="314"/>
      <c r="AM283" s="305"/>
      <c r="AN283" s="302"/>
      <c r="AO283" s="302"/>
      <c r="AP283" s="302"/>
      <c r="AQ283" s="302"/>
      <c r="AR283" s="302"/>
      <c r="AS283" s="302"/>
      <c r="AT283" s="302"/>
      <c r="AU283" s="304"/>
      <c r="AV283" s="306"/>
      <c r="AW283" s="303"/>
      <c r="AX283" s="303"/>
      <c r="AY283" s="303"/>
      <c r="AZ283" s="303"/>
      <c r="BA283" s="303"/>
      <c r="BB283" s="303"/>
      <c r="BC283" s="303"/>
      <c r="BD283" s="304"/>
      <c r="BE283" s="305"/>
      <c r="BF283" s="302"/>
      <c r="BG283" s="307"/>
      <c r="BH283" s="308"/>
      <c r="BI283" s="302"/>
      <c r="BJ283" s="307"/>
      <c r="BK283" s="308"/>
      <c r="BL283" s="302"/>
      <c r="BM283" s="303"/>
      <c r="BN283" s="315"/>
      <c r="BO283" s="250">
        <f t="shared" si="29"/>
        <v>0</v>
      </c>
    </row>
    <row r="284" spans="1:67" ht="25.5" customHeight="1" x14ac:dyDescent="0.2">
      <c r="A284" s="142">
        <f t="shared" si="30"/>
        <v>269</v>
      </c>
      <c r="B284" s="251"/>
      <c r="C284" s="252"/>
      <c r="D284" s="253"/>
      <c r="E284" s="254"/>
      <c r="F284" s="278"/>
      <c r="G284" s="256"/>
      <c r="H284" s="257"/>
      <c r="I284" s="231" t="str">
        <f t="shared" si="25"/>
        <v/>
      </c>
      <c r="J284" s="258">
        <f t="shared" si="26"/>
        <v>0</v>
      </c>
      <c r="K284" s="313"/>
      <c r="L284" s="300"/>
      <c r="M284" s="300"/>
      <c r="N284" s="235" t="str">
        <f t="shared" si="27"/>
        <v/>
      </c>
      <c r="O284" s="236" t="str">
        <f>IF('Data Set up'!$G$40="JUNE",IF(OR($N284=7,$N284=8,$N284=9),1,IF(OR($N284=10,$N284=11,$N284=12),2,IF(OR($N284=1,$N284=2,$N284=3),3,IF(OR($N284=4,$N284=5,$N284=6),4,"")))),IF(OR($N284=9,$N284=10,$N284=11),1,IF(OR($N284=12,$N284=1,$N284=2),2,IF(OR($N284=3,$N284=4,$N284=5),3,IF(OR($N284=6,$N284=7,$N284=8),4,"")))))</f>
        <v/>
      </c>
      <c r="P284" s="261"/>
      <c r="Q284" s="305"/>
      <c r="R284" s="302"/>
      <c r="S284" s="264">
        <f t="shared" si="28"/>
        <v>0</v>
      </c>
      <c r="T284" s="302"/>
      <c r="U284" s="302"/>
      <c r="V284" s="302"/>
      <c r="W284" s="302"/>
      <c r="X284" s="302"/>
      <c r="Y284" s="302"/>
      <c r="Z284" s="302"/>
      <c r="AA284" s="302"/>
      <c r="AB284" s="303"/>
      <c r="AC284" s="304"/>
      <c r="AD284" s="305"/>
      <c r="AE284" s="302"/>
      <c r="AF284" s="302"/>
      <c r="AG284" s="302"/>
      <c r="AH284" s="302"/>
      <c r="AI284" s="303"/>
      <c r="AJ284" s="303"/>
      <c r="AK284" s="302"/>
      <c r="AL284" s="314"/>
      <c r="AM284" s="305"/>
      <c r="AN284" s="302"/>
      <c r="AO284" s="302"/>
      <c r="AP284" s="302"/>
      <c r="AQ284" s="302"/>
      <c r="AR284" s="302"/>
      <c r="AS284" s="302"/>
      <c r="AT284" s="302"/>
      <c r="AU284" s="304"/>
      <c r="AV284" s="306"/>
      <c r="AW284" s="303"/>
      <c r="AX284" s="303"/>
      <c r="AY284" s="303"/>
      <c r="AZ284" s="303"/>
      <c r="BA284" s="303"/>
      <c r="BB284" s="303"/>
      <c r="BC284" s="303"/>
      <c r="BD284" s="304"/>
      <c r="BE284" s="305"/>
      <c r="BF284" s="302"/>
      <c r="BG284" s="307"/>
      <c r="BH284" s="308"/>
      <c r="BI284" s="302"/>
      <c r="BJ284" s="307"/>
      <c r="BK284" s="308"/>
      <c r="BL284" s="302"/>
      <c r="BM284" s="303"/>
      <c r="BN284" s="315"/>
      <c r="BO284" s="250">
        <f t="shared" si="29"/>
        <v>0</v>
      </c>
    </row>
    <row r="285" spans="1:67" ht="25.5" customHeight="1" x14ac:dyDescent="0.2">
      <c r="A285" s="142">
        <f t="shared" si="30"/>
        <v>270</v>
      </c>
      <c r="B285" s="251"/>
      <c r="C285" s="252"/>
      <c r="D285" s="253"/>
      <c r="E285" s="254"/>
      <c r="F285" s="278"/>
      <c r="G285" s="256"/>
      <c r="H285" s="257"/>
      <c r="I285" s="231" t="str">
        <f t="shared" si="25"/>
        <v/>
      </c>
      <c r="J285" s="258">
        <f t="shared" si="26"/>
        <v>0</v>
      </c>
      <c r="K285" s="313"/>
      <c r="L285" s="300"/>
      <c r="M285" s="300"/>
      <c r="N285" s="235" t="str">
        <f t="shared" si="27"/>
        <v/>
      </c>
      <c r="O285" s="236" t="str">
        <f>IF('Data Set up'!$G$40="JUNE",IF(OR($N285=7,$N285=8,$N285=9),1,IF(OR($N285=10,$N285=11,$N285=12),2,IF(OR($N285=1,$N285=2,$N285=3),3,IF(OR($N285=4,$N285=5,$N285=6),4,"")))),IF(OR($N285=9,$N285=10,$N285=11),1,IF(OR($N285=12,$N285=1,$N285=2),2,IF(OR($N285=3,$N285=4,$N285=5),3,IF(OR($N285=6,$N285=7,$N285=8),4,"")))))</f>
        <v/>
      </c>
      <c r="P285" s="261"/>
      <c r="Q285" s="305"/>
      <c r="R285" s="302"/>
      <c r="S285" s="264">
        <f t="shared" si="28"/>
        <v>0</v>
      </c>
      <c r="T285" s="302"/>
      <c r="U285" s="302"/>
      <c r="V285" s="302"/>
      <c r="W285" s="302"/>
      <c r="X285" s="302"/>
      <c r="Y285" s="302"/>
      <c r="Z285" s="302"/>
      <c r="AA285" s="302"/>
      <c r="AB285" s="303"/>
      <c r="AC285" s="304"/>
      <c r="AD285" s="305"/>
      <c r="AE285" s="302"/>
      <c r="AF285" s="302"/>
      <c r="AG285" s="302"/>
      <c r="AH285" s="302"/>
      <c r="AI285" s="303"/>
      <c r="AJ285" s="303"/>
      <c r="AK285" s="302"/>
      <c r="AL285" s="314"/>
      <c r="AM285" s="305"/>
      <c r="AN285" s="302"/>
      <c r="AO285" s="302"/>
      <c r="AP285" s="302"/>
      <c r="AQ285" s="302"/>
      <c r="AR285" s="302"/>
      <c r="AS285" s="302"/>
      <c r="AT285" s="302"/>
      <c r="AU285" s="304"/>
      <c r="AV285" s="306"/>
      <c r="AW285" s="303"/>
      <c r="AX285" s="303"/>
      <c r="AY285" s="303"/>
      <c r="AZ285" s="303"/>
      <c r="BA285" s="303"/>
      <c r="BB285" s="303"/>
      <c r="BC285" s="303"/>
      <c r="BD285" s="304"/>
      <c r="BE285" s="305"/>
      <c r="BF285" s="302"/>
      <c r="BG285" s="307"/>
      <c r="BH285" s="308"/>
      <c r="BI285" s="302"/>
      <c r="BJ285" s="307"/>
      <c r="BK285" s="308"/>
      <c r="BL285" s="302"/>
      <c r="BM285" s="303"/>
      <c r="BN285" s="315"/>
      <c r="BO285" s="250">
        <f t="shared" si="29"/>
        <v>0</v>
      </c>
    </row>
    <row r="286" spans="1:67" ht="25.5" customHeight="1" x14ac:dyDescent="0.2">
      <c r="A286" s="142">
        <f t="shared" si="30"/>
        <v>271</v>
      </c>
      <c r="B286" s="251"/>
      <c r="C286" s="252"/>
      <c r="D286" s="253"/>
      <c r="E286" s="254"/>
      <c r="F286" s="278"/>
      <c r="G286" s="256"/>
      <c r="H286" s="257"/>
      <c r="I286" s="231" t="str">
        <f t="shared" si="25"/>
        <v/>
      </c>
      <c r="J286" s="258">
        <f t="shared" si="26"/>
        <v>0</v>
      </c>
      <c r="K286" s="313"/>
      <c r="L286" s="300"/>
      <c r="M286" s="300"/>
      <c r="N286" s="235" t="str">
        <f t="shared" si="27"/>
        <v/>
      </c>
      <c r="O286" s="236" t="str">
        <f>IF('Data Set up'!$G$40="JUNE",IF(OR($N286=7,$N286=8,$N286=9),1,IF(OR($N286=10,$N286=11,$N286=12),2,IF(OR($N286=1,$N286=2,$N286=3),3,IF(OR($N286=4,$N286=5,$N286=6),4,"")))),IF(OR($N286=9,$N286=10,$N286=11),1,IF(OR($N286=12,$N286=1,$N286=2),2,IF(OR($N286=3,$N286=4,$N286=5),3,IF(OR($N286=6,$N286=7,$N286=8),4,"")))))</f>
        <v/>
      </c>
      <c r="P286" s="261"/>
      <c r="Q286" s="305"/>
      <c r="R286" s="302"/>
      <c r="S286" s="264">
        <f t="shared" si="28"/>
        <v>0</v>
      </c>
      <c r="T286" s="302"/>
      <c r="U286" s="302"/>
      <c r="V286" s="302"/>
      <c r="W286" s="302"/>
      <c r="X286" s="302"/>
      <c r="Y286" s="302"/>
      <c r="Z286" s="302"/>
      <c r="AA286" s="302"/>
      <c r="AB286" s="303"/>
      <c r="AC286" s="304"/>
      <c r="AD286" s="305"/>
      <c r="AE286" s="302"/>
      <c r="AF286" s="302"/>
      <c r="AG286" s="302"/>
      <c r="AH286" s="302"/>
      <c r="AI286" s="303"/>
      <c r="AJ286" s="303"/>
      <c r="AK286" s="302"/>
      <c r="AL286" s="314"/>
      <c r="AM286" s="305"/>
      <c r="AN286" s="302"/>
      <c r="AO286" s="302"/>
      <c r="AP286" s="302"/>
      <c r="AQ286" s="302"/>
      <c r="AR286" s="302"/>
      <c r="AS286" s="302"/>
      <c r="AT286" s="302"/>
      <c r="AU286" s="304"/>
      <c r="AV286" s="306"/>
      <c r="AW286" s="303"/>
      <c r="AX286" s="303"/>
      <c r="AY286" s="303"/>
      <c r="AZ286" s="303"/>
      <c r="BA286" s="303"/>
      <c r="BB286" s="303"/>
      <c r="BC286" s="303"/>
      <c r="BD286" s="304"/>
      <c r="BE286" s="305"/>
      <c r="BF286" s="302"/>
      <c r="BG286" s="307"/>
      <c r="BH286" s="308"/>
      <c r="BI286" s="302"/>
      <c r="BJ286" s="307"/>
      <c r="BK286" s="308"/>
      <c r="BL286" s="302"/>
      <c r="BM286" s="303"/>
      <c r="BN286" s="315"/>
      <c r="BO286" s="250">
        <f t="shared" si="29"/>
        <v>0</v>
      </c>
    </row>
    <row r="287" spans="1:67" ht="25.5" customHeight="1" x14ac:dyDescent="0.2">
      <c r="A287" s="142">
        <f t="shared" si="30"/>
        <v>272</v>
      </c>
      <c r="B287" s="251"/>
      <c r="C287" s="252"/>
      <c r="D287" s="253"/>
      <c r="E287" s="254"/>
      <c r="F287" s="278"/>
      <c r="G287" s="256"/>
      <c r="H287" s="257"/>
      <c r="I287" s="231" t="str">
        <f t="shared" si="25"/>
        <v/>
      </c>
      <c r="J287" s="258">
        <f t="shared" si="26"/>
        <v>0</v>
      </c>
      <c r="K287" s="313"/>
      <c r="L287" s="300"/>
      <c r="M287" s="300"/>
      <c r="N287" s="235" t="str">
        <f t="shared" si="27"/>
        <v/>
      </c>
      <c r="O287" s="236" t="str">
        <f>IF('Data Set up'!$G$40="JUNE",IF(OR($N287=7,$N287=8,$N287=9),1,IF(OR($N287=10,$N287=11,$N287=12),2,IF(OR($N287=1,$N287=2,$N287=3),3,IF(OR($N287=4,$N287=5,$N287=6),4,"")))),IF(OR($N287=9,$N287=10,$N287=11),1,IF(OR($N287=12,$N287=1,$N287=2),2,IF(OR($N287=3,$N287=4,$N287=5),3,IF(OR($N287=6,$N287=7,$N287=8),4,"")))))</f>
        <v/>
      </c>
      <c r="P287" s="261"/>
      <c r="Q287" s="305"/>
      <c r="R287" s="302"/>
      <c r="S287" s="264">
        <f t="shared" si="28"/>
        <v>0</v>
      </c>
      <c r="T287" s="302"/>
      <c r="U287" s="302"/>
      <c r="V287" s="302"/>
      <c r="W287" s="302"/>
      <c r="X287" s="302"/>
      <c r="Y287" s="302"/>
      <c r="Z287" s="302"/>
      <c r="AA287" s="302"/>
      <c r="AB287" s="303"/>
      <c r="AC287" s="304"/>
      <c r="AD287" s="305"/>
      <c r="AE287" s="302"/>
      <c r="AF287" s="302"/>
      <c r="AG287" s="302"/>
      <c r="AH287" s="302"/>
      <c r="AI287" s="303"/>
      <c r="AJ287" s="303"/>
      <c r="AK287" s="302"/>
      <c r="AL287" s="314"/>
      <c r="AM287" s="305"/>
      <c r="AN287" s="302"/>
      <c r="AO287" s="302"/>
      <c r="AP287" s="302"/>
      <c r="AQ287" s="302"/>
      <c r="AR287" s="302"/>
      <c r="AS287" s="302"/>
      <c r="AT287" s="302"/>
      <c r="AU287" s="304"/>
      <c r="AV287" s="306"/>
      <c r="AW287" s="303"/>
      <c r="AX287" s="303"/>
      <c r="AY287" s="303"/>
      <c r="AZ287" s="303"/>
      <c r="BA287" s="303"/>
      <c r="BB287" s="303"/>
      <c r="BC287" s="303"/>
      <c r="BD287" s="304"/>
      <c r="BE287" s="305"/>
      <c r="BF287" s="302"/>
      <c r="BG287" s="307"/>
      <c r="BH287" s="308"/>
      <c r="BI287" s="302"/>
      <c r="BJ287" s="307"/>
      <c r="BK287" s="308"/>
      <c r="BL287" s="302"/>
      <c r="BM287" s="303"/>
      <c r="BN287" s="315"/>
      <c r="BO287" s="250">
        <f t="shared" si="29"/>
        <v>0</v>
      </c>
    </row>
    <row r="288" spans="1:67" ht="25.5" customHeight="1" x14ac:dyDescent="0.2">
      <c r="A288" s="142">
        <f t="shared" si="30"/>
        <v>273</v>
      </c>
      <c r="B288" s="251"/>
      <c r="C288" s="252"/>
      <c r="D288" s="253"/>
      <c r="E288" s="254"/>
      <c r="F288" s="278"/>
      <c r="G288" s="256"/>
      <c r="H288" s="257"/>
      <c r="I288" s="231" t="str">
        <f t="shared" si="25"/>
        <v/>
      </c>
      <c r="J288" s="258">
        <f t="shared" si="26"/>
        <v>0</v>
      </c>
      <c r="K288" s="313"/>
      <c r="L288" s="300"/>
      <c r="M288" s="300"/>
      <c r="N288" s="235" t="str">
        <f t="shared" si="27"/>
        <v/>
      </c>
      <c r="O288" s="236" t="str">
        <f>IF('Data Set up'!$G$40="JUNE",IF(OR($N288=7,$N288=8,$N288=9),1,IF(OR($N288=10,$N288=11,$N288=12),2,IF(OR($N288=1,$N288=2,$N288=3),3,IF(OR($N288=4,$N288=5,$N288=6),4,"")))),IF(OR($N288=9,$N288=10,$N288=11),1,IF(OR($N288=12,$N288=1,$N288=2),2,IF(OR($N288=3,$N288=4,$N288=5),3,IF(OR($N288=6,$N288=7,$N288=8),4,"")))))</f>
        <v/>
      </c>
      <c r="P288" s="261"/>
      <c r="Q288" s="305"/>
      <c r="R288" s="302"/>
      <c r="S288" s="264">
        <f t="shared" si="28"/>
        <v>0</v>
      </c>
      <c r="T288" s="302"/>
      <c r="U288" s="302"/>
      <c r="V288" s="302"/>
      <c r="W288" s="302"/>
      <c r="X288" s="302"/>
      <c r="Y288" s="302"/>
      <c r="Z288" s="302"/>
      <c r="AA288" s="302"/>
      <c r="AB288" s="303"/>
      <c r="AC288" s="304"/>
      <c r="AD288" s="305"/>
      <c r="AE288" s="302"/>
      <c r="AF288" s="302"/>
      <c r="AG288" s="302"/>
      <c r="AH288" s="302"/>
      <c r="AI288" s="303"/>
      <c r="AJ288" s="303"/>
      <c r="AK288" s="302"/>
      <c r="AL288" s="314"/>
      <c r="AM288" s="305"/>
      <c r="AN288" s="302"/>
      <c r="AO288" s="302"/>
      <c r="AP288" s="302"/>
      <c r="AQ288" s="302"/>
      <c r="AR288" s="302"/>
      <c r="AS288" s="302"/>
      <c r="AT288" s="302"/>
      <c r="AU288" s="304"/>
      <c r="AV288" s="306"/>
      <c r="AW288" s="303"/>
      <c r="AX288" s="303"/>
      <c r="AY288" s="303"/>
      <c r="AZ288" s="303"/>
      <c r="BA288" s="303"/>
      <c r="BB288" s="303"/>
      <c r="BC288" s="303"/>
      <c r="BD288" s="304"/>
      <c r="BE288" s="305"/>
      <c r="BF288" s="302"/>
      <c r="BG288" s="307"/>
      <c r="BH288" s="308"/>
      <c r="BI288" s="302"/>
      <c r="BJ288" s="307"/>
      <c r="BK288" s="308"/>
      <c r="BL288" s="302"/>
      <c r="BM288" s="303"/>
      <c r="BN288" s="315"/>
      <c r="BO288" s="250">
        <f t="shared" si="29"/>
        <v>0</v>
      </c>
    </row>
    <row r="289" spans="1:67" ht="25.5" customHeight="1" x14ac:dyDescent="0.2">
      <c r="A289" s="142">
        <f t="shared" si="30"/>
        <v>274</v>
      </c>
      <c r="B289" s="251"/>
      <c r="C289" s="252"/>
      <c r="D289" s="253"/>
      <c r="E289" s="254"/>
      <c r="F289" s="278"/>
      <c r="G289" s="256"/>
      <c r="H289" s="257"/>
      <c r="I289" s="231" t="str">
        <f t="shared" si="25"/>
        <v/>
      </c>
      <c r="J289" s="258">
        <f t="shared" si="26"/>
        <v>0</v>
      </c>
      <c r="K289" s="313"/>
      <c r="L289" s="300"/>
      <c r="M289" s="300"/>
      <c r="N289" s="235" t="str">
        <f t="shared" si="27"/>
        <v/>
      </c>
      <c r="O289" s="236" t="str">
        <f>IF('Data Set up'!$G$40="JUNE",IF(OR($N289=7,$N289=8,$N289=9),1,IF(OR($N289=10,$N289=11,$N289=12),2,IF(OR($N289=1,$N289=2,$N289=3),3,IF(OR($N289=4,$N289=5,$N289=6),4,"")))),IF(OR($N289=9,$N289=10,$N289=11),1,IF(OR($N289=12,$N289=1,$N289=2),2,IF(OR($N289=3,$N289=4,$N289=5),3,IF(OR($N289=6,$N289=7,$N289=8),4,"")))))</f>
        <v/>
      </c>
      <c r="P289" s="261"/>
      <c r="Q289" s="305"/>
      <c r="R289" s="302"/>
      <c r="S289" s="264">
        <f t="shared" si="28"/>
        <v>0</v>
      </c>
      <c r="T289" s="302"/>
      <c r="U289" s="302"/>
      <c r="V289" s="302"/>
      <c r="W289" s="302"/>
      <c r="X289" s="302"/>
      <c r="Y289" s="302"/>
      <c r="Z289" s="302"/>
      <c r="AA289" s="302"/>
      <c r="AB289" s="303"/>
      <c r="AC289" s="304"/>
      <c r="AD289" s="305"/>
      <c r="AE289" s="302"/>
      <c r="AF289" s="302"/>
      <c r="AG289" s="302"/>
      <c r="AH289" s="302"/>
      <c r="AI289" s="303"/>
      <c r="AJ289" s="303"/>
      <c r="AK289" s="302"/>
      <c r="AL289" s="314"/>
      <c r="AM289" s="305"/>
      <c r="AN289" s="302"/>
      <c r="AO289" s="302"/>
      <c r="AP289" s="302"/>
      <c r="AQ289" s="302"/>
      <c r="AR289" s="302"/>
      <c r="AS289" s="302"/>
      <c r="AT289" s="302"/>
      <c r="AU289" s="304"/>
      <c r="AV289" s="306"/>
      <c r="AW289" s="303"/>
      <c r="AX289" s="303"/>
      <c r="AY289" s="303"/>
      <c r="AZ289" s="303"/>
      <c r="BA289" s="303"/>
      <c r="BB289" s="303"/>
      <c r="BC289" s="303"/>
      <c r="BD289" s="304"/>
      <c r="BE289" s="305"/>
      <c r="BF289" s="302"/>
      <c r="BG289" s="307"/>
      <c r="BH289" s="308"/>
      <c r="BI289" s="302"/>
      <c r="BJ289" s="307"/>
      <c r="BK289" s="308"/>
      <c r="BL289" s="302"/>
      <c r="BM289" s="303"/>
      <c r="BN289" s="315"/>
      <c r="BO289" s="250">
        <f t="shared" si="29"/>
        <v>0</v>
      </c>
    </row>
    <row r="290" spans="1:67" ht="25.5" customHeight="1" x14ac:dyDescent="0.2">
      <c r="A290" s="142">
        <f t="shared" si="30"/>
        <v>275</v>
      </c>
      <c r="B290" s="251"/>
      <c r="C290" s="252"/>
      <c r="D290" s="253"/>
      <c r="E290" s="254"/>
      <c r="F290" s="278"/>
      <c r="G290" s="256"/>
      <c r="H290" s="257"/>
      <c r="I290" s="231" t="str">
        <f t="shared" si="25"/>
        <v/>
      </c>
      <c r="J290" s="258">
        <f t="shared" si="26"/>
        <v>0</v>
      </c>
      <c r="K290" s="313"/>
      <c r="L290" s="300"/>
      <c r="M290" s="300"/>
      <c r="N290" s="235" t="str">
        <f t="shared" si="27"/>
        <v/>
      </c>
      <c r="O290" s="236" t="str">
        <f>IF('Data Set up'!$G$40="JUNE",IF(OR($N290=7,$N290=8,$N290=9),1,IF(OR($N290=10,$N290=11,$N290=12),2,IF(OR($N290=1,$N290=2,$N290=3),3,IF(OR($N290=4,$N290=5,$N290=6),4,"")))),IF(OR($N290=9,$N290=10,$N290=11),1,IF(OR($N290=12,$N290=1,$N290=2),2,IF(OR($N290=3,$N290=4,$N290=5),3,IF(OR($N290=6,$N290=7,$N290=8),4,"")))))</f>
        <v/>
      </c>
      <c r="P290" s="261"/>
      <c r="Q290" s="305"/>
      <c r="R290" s="302"/>
      <c r="S290" s="264">
        <f t="shared" si="28"/>
        <v>0</v>
      </c>
      <c r="T290" s="302"/>
      <c r="U290" s="302"/>
      <c r="V290" s="302"/>
      <c r="W290" s="302"/>
      <c r="X290" s="302"/>
      <c r="Y290" s="302"/>
      <c r="Z290" s="302"/>
      <c r="AA290" s="302"/>
      <c r="AB290" s="303"/>
      <c r="AC290" s="304"/>
      <c r="AD290" s="305"/>
      <c r="AE290" s="302"/>
      <c r="AF290" s="302"/>
      <c r="AG290" s="302"/>
      <c r="AH290" s="302"/>
      <c r="AI290" s="303"/>
      <c r="AJ290" s="303"/>
      <c r="AK290" s="302"/>
      <c r="AL290" s="314"/>
      <c r="AM290" s="305"/>
      <c r="AN290" s="302"/>
      <c r="AO290" s="302"/>
      <c r="AP290" s="302"/>
      <c r="AQ290" s="302"/>
      <c r="AR290" s="302"/>
      <c r="AS290" s="302"/>
      <c r="AT290" s="302"/>
      <c r="AU290" s="304"/>
      <c r="AV290" s="306"/>
      <c r="AW290" s="303"/>
      <c r="AX290" s="303"/>
      <c r="AY290" s="303"/>
      <c r="AZ290" s="303"/>
      <c r="BA290" s="303"/>
      <c r="BB290" s="303"/>
      <c r="BC290" s="303"/>
      <c r="BD290" s="304"/>
      <c r="BE290" s="305"/>
      <c r="BF290" s="302"/>
      <c r="BG290" s="307"/>
      <c r="BH290" s="308"/>
      <c r="BI290" s="302"/>
      <c r="BJ290" s="307"/>
      <c r="BK290" s="308"/>
      <c r="BL290" s="302"/>
      <c r="BM290" s="303"/>
      <c r="BN290" s="315"/>
      <c r="BO290" s="250">
        <f t="shared" si="29"/>
        <v>0</v>
      </c>
    </row>
    <row r="291" spans="1:67" ht="25.5" customHeight="1" x14ac:dyDescent="0.2">
      <c r="A291" s="142">
        <f t="shared" si="30"/>
        <v>276</v>
      </c>
      <c r="B291" s="251"/>
      <c r="C291" s="252"/>
      <c r="D291" s="253"/>
      <c r="E291" s="254"/>
      <c r="F291" s="278"/>
      <c r="G291" s="256"/>
      <c r="H291" s="257"/>
      <c r="I291" s="231" t="str">
        <f t="shared" si="25"/>
        <v/>
      </c>
      <c r="J291" s="258">
        <f t="shared" si="26"/>
        <v>0</v>
      </c>
      <c r="K291" s="313"/>
      <c r="L291" s="300"/>
      <c r="M291" s="300"/>
      <c r="N291" s="235" t="str">
        <f t="shared" si="27"/>
        <v/>
      </c>
      <c r="O291" s="236" t="str">
        <f>IF('Data Set up'!$G$40="JUNE",IF(OR($N291=7,$N291=8,$N291=9),1,IF(OR($N291=10,$N291=11,$N291=12),2,IF(OR($N291=1,$N291=2,$N291=3),3,IF(OR($N291=4,$N291=5,$N291=6),4,"")))),IF(OR($N291=9,$N291=10,$N291=11),1,IF(OR($N291=12,$N291=1,$N291=2),2,IF(OR($N291=3,$N291=4,$N291=5),3,IF(OR($N291=6,$N291=7,$N291=8),4,"")))))</f>
        <v/>
      </c>
      <c r="P291" s="261"/>
      <c r="Q291" s="305"/>
      <c r="R291" s="302"/>
      <c r="S291" s="264">
        <f t="shared" si="28"/>
        <v>0</v>
      </c>
      <c r="T291" s="302"/>
      <c r="U291" s="302"/>
      <c r="V291" s="302"/>
      <c r="W291" s="302"/>
      <c r="X291" s="302"/>
      <c r="Y291" s="302"/>
      <c r="Z291" s="302"/>
      <c r="AA291" s="302"/>
      <c r="AB291" s="303"/>
      <c r="AC291" s="304"/>
      <c r="AD291" s="305"/>
      <c r="AE291" s="302"/>
      <c r="AF291" s="302"/>
      <c r="AG291" s="302"/>
      <c r="AH291" s="302"/>
      <c r="AI291" s="303"/>
      <c r="AJ291" s="303"/>
      <c r="AK291" s="302"/>
      <c r="AL291" s="314"/>
      <c r="AM291" s="305"/>
      <c r="AN291" s="302"/>
      <c r="AO291" s="302"/>
      <c r="AP291" s="302"/>
      <c r="AQ291" s="302"/>
      <c r="AR291" s="302"/>
      <c r="AS291" s="302"/>
      <c r="AT291" s="302"/>
      <c r="AU291" s="304"/>
      <c r="AV291" s="306"/>
      <c r="AW291" s="303"/>
      <c r="AX291" s="303"/>
      <c r="AY291" s="303"/>
      <c r="AZ291" s="303"/>
      <c r="BA291" s="303"/>
      <c r="BB291" s="303"/>
      <c r="BC291" s="303"/>
      <c r="BD291" s="304"/>
      <c r="BE291" s="305"/>
      <c r="BF291" s="302"/>
      <c r="BG291" s="307"/>
      <c r="BH291" s="308"/>
      <c r="BI291" s="302"/>
      <c r="BJ291" s="307"/>
      <c r="BK291" s="308"/>
      <c r="BL291" s="302"/>
      <c r="BM291" s="303"/>
      <c r="BN291" s="315"/>
      <c r="BO291" s="250">
        <f t="shared" si="29"/>
        <v>0</v>
      </c>
    </row>
    <row r="292" spans="1:67" ht="25.5" customHeight="1" x14ac:dyDescent="0.2">
      <c r="A292" s="142">
        <f t="shared" si="30"/>
        <v>277</v>
      </c>
      <c r="B292" s="251"/>
      <c r="C292" s="252"/>
      <c r="D292" s="253"/>
      <c r="E292" s="254"/>
      <c r="F292" s="278"/>
      <c r="G292" s="256"/>
      <c r="H292" s="257"/>
      <c r="I292" s="231" t="str">
        <f t="shared" si="25"/>
        <v/>
      </c>
      <c r="J292" s="258">
        <f t="shared" si="26"/>
        <v>0</v>
      </c>
      <c r="K292" s="313"/>
      <c r="L292" s="300"/>
      <c r="M292" s="300"/>
      <c r="N292" s="235" t="str">
        <f t="shared" si="27"/>
        <v/>
      </c>
      <c r="O292" s="236" t="str">
        <f>IF('Data Set up'!$G$40="JUNE",IF(OR($N292=7,$N292=8,$N292=9),1,IF(OR($N292=10,$N292=11,$N292=12),2,IF(OR($N292=1,$N292=2,$N292=3),3,IF(OR($N292=4,$N292=5,$N292=6),4,"")))),IF(OR($N292=9,$N292=10,$N292=11),1,IF(OR($N292=12,$N292=1,$N292=2),2,IF(OR($N292=3,$N292=4,$N292=5),3,IF(OR($N292=6,$N292=7,$N292=8),4,"")))))</f>
        <v/>
      </c>
      <c r="P292" s="261"/>
      <c r="Q292" s="305"/>
      <c r="R292" s="302"/>
      <c r="S292" s="264">
        <f t="shared" si="28"/>
        <v>0</v>
      </c>
      <c r="T292" s="302"/>
      <c r="U292" s="302"/>
      <c r="V292" s="302"/>
      <c r="W292" s="302"/>
      <c r="X292" s="302"/>
      <c r="Y292" s="302"/>
      <c r="Z292" s="302"/>
      <c r="AA292" s="302"/>
      <c r="AB292" s="303"/>
      <c r="AC292" s="304"/>
      <c r="AD292" s="305"/>
      <c r="AE292" s="302"/>
      <c r="AF292" s="302"/>
      <c r="AG292" s="302"/>
      <c r="AH292" s="302"/>
      <c r="AI292" s="303"/>
      <c r="AJ292" s="303"/>
      <c r="AK292" s="302"/>
      <c r="AL292" s="314"/>
      <c r="AM292" s="305"/>
      <c r="AN292" s="302"/>
      <c r="AO292" s="302"/>
      <c r="AP292" s="302"/>
      <c r="AQ292" s="302"/>
      <c r="AR292" s="302"/>
      <c r="AS292" s="302"/>
      <c r="AT292" s="302"/>
      <c r="AU292" s="304"/>
      <c r="AV292" s="306"/>
      <c r="AW292" s="303"/>
      <c r="AX292" s="303"/>
      <c r="AY292" s="303"/>
      <c r="AZ292" s="303"/>
      <c r="BA292" s="303"/>
      <c r="BB292" s="303"/>
      <c r="BC292" s="303"/>
      <c r="BD292" s="304"/>
      <c r="BE292" s="305"/>
      <c r="BF292" s="302"/>
      <c r="BG292" s="307"/>
      <c r="BH292" s="308"/>
      <c r="BI292" s="302"/>
      <c r="BJ292" s="307"/>
      <c r="BK292" s="308"/>
      <c r="BL292" s="302"/>
      <c r="BM292" s="303"/>
      <c r="BN292" s="315"/>
      <c r="BO292" s="250">
        <f t="shared" si="29"/>
        <v>0</v>
      </c>
    </row>
    <row r="293" spans="1:67" ht="25.5" customHeight="1" x14ac:dyDescent="0.2">
      <c r="A293" s="142">
        <f t="shared" si="30"/>
        <v>278</v>
      </c>
      <c r="B293" s="251"/>
      <c r="C293" s="252"/>
      <c r="D293" s="253"/>
      <c r="E293" s="254"/>
      <c r="F293" s="278"/>
      <c r="G293" s="256"/>
      <c r="H293" s="257"/>
      <c r="I293" s="231" t="str">
        <f t="shared" si="25"/>
        <v/>
      </c>
      <c r="J293" s="258">
        <f t="shared" si="26"/>
        <v>0</v>
      </c>
      <c r="K293" s="313"/>
      <c r="L293" s="300"/>
      <c r="M293" s="300"/>
      <c r="N293" s="235" t="str">
        <f t="shared" si="27"/>
        <v/>
      </c>
      <c r="O293" s="236" t="str">
        <f>IF('Data Set up'!$G$40="JUNE",IF(OR($N293=7,$N293=8,$N293=9),1,IF(OR($N293=10,$N293=11,$N293=12),2,IF(OR($N293=1,$N293=2,$N293=3),3,IF(OR($N293=4,$N293=5,$N293=6),4,"")))),IF(OR($N293=9,$N293=10,$N293=11),1,IF(OR($N293=12,$N293=1,$N293=2),2,IF(OR($N293=3,$N293=4,$N293=5),3,IF(OR($N293=6,$N293=7,$N293=8),4,"")))))</f>
        <v/>
      </c>
      <c r="P293" s="261"/>
      <c r="Q293" s="305"/>
      <c r="R293" s="302"/>
      <c r="S293" s="264">
        <f t="shared" si="28"/>
        <v>0</v>
      </c>
      <c r="T293" s="302"/>
      <c r="U293" s="302"/>
      <c r="V293" s="302"/>
      <c r="W293" s="302"/>
      <c r="X293" s="302"/>
      <c r="Y293" s="302"/>
      <c r="Z293" s="302"/>
      <c r="AA293" s="302"/>
      <c r="AB293" s="303"/>
      <c r="AC293" s="304"/>
      <c r="AD293" s="305"/>
      <c r="AE293" s="302"/>
      <c r="AF293" s="302"/>
      <c r="AG293" s="302"/>
      <c r="AH293" s="302"/>
      <c r="AI293" s="303"/>
      <c r="AJ293" s="303"/>
      <c r="AK293" s="302"/>
      <c r="AL293" s="314"/>
      <c r="AM293" s="305"/>
      <c r="AN293" s="302"/>
      <c r="AO293" s="302"/>
      <c r="AP293" s="302"/>
      <c r="AQ293" s="302"/>
      <c r="AR293" s="302"/>
      <c r="AS293" s="302"/>
      <c r="AT293" s="302"/>
      <c r="AU293" s="304"/>
      <c r="AV293" s="306"/>
      <c r="AW293" s="303"/>
      <c r="AX293" s="303"/>
      <c r="AY293" s="303"/>
      <c r="AZ293" s="303"/>
      <c r="BA293" s="303"/>
      <c r="BB293" s="303"/>
      <c r="BC293" s="303"/>
      <c r="BD293" s="304"/>
      <c r="BE293" s="305"/>
      <c r="BF293" s="302"/>
      <c r="BG293" s="307"/>
      <c r="BH293" s="308"/>
      <c r="BI293" s="302"/>
      <c r="BJ293" s="307"/>
      <c r="BK293" s="308"/>
      <c r="BL293" s="302"/>
      <c r="BM293" s="303"/>
      <c r="BN293" s="315"/>
      <c r="BO293" s="250">
        <f t="shared" si="29"/>
        <v>0</v>
      </c>
    </row>
    <row r="294" spans="1:67" ht="25.5" customHeight="1" x14ac:dyDescent="0.2">
      <c r="A294" s="142">
        <f t="shared" si="30"/>
        <v>279</v>
      </c>
      <c r="B294" s="251"/>
      <c r="C294" s="252"/>
      <c r="D294" s="253"/>
      <c r="E294" s="254"/>
      <c r="F294" s="278"/>
      <c r="G294" s="256"/>
      <c r="H294" s="257"/>
      <c r="I294" s="231" t="str">
        <f t="shared" si="25"/>
        <v/>
      </c>
      <c r="J294" s="258">
        <f t="shared" si="26"/>
        <v>0</v>
      </c>
      <c r="K294" s="313"/>
      <c r="L294" s="300"/>
      <c r="M294" s="300"/>
      <c r="N294" s="235" t="str">
        <f t="shared" si="27"/>
        <v/>
      </c>
      <c r="O294" s="236" t="str">
        <f>IF('Data Set up'!$G$40="JUNE",IF(OR($N294=7,$N294=8,$N294=9),1,IF(OR($N294=10,$N294=11,$N294=12),2,IF(OR($N294=1,$N294=2,$N294=3),3,IF(OR($N294=4,$N294=5,$N294=6),4,"")))),IF(OR($N294=9,$N294=10,$N294=11),1,IF(OR($N294=12,$N294=1,$N294=2),2,IF(OR($N294=3,$N294=4,$N294=5),3,IF(OR($N294=6,$N294=7,$N294=8),4,"")))))</f>
        <v/>
      </c>
      <c r="P294" s="261"/>
      <c r="Q294" s="305"/>
      <c r="R294" s="302"/>
      <c r="S294" s="264">
        <f t="shared" si="28"/>
        <v>0</v>
      </c>
      <c r="T294" s="302"/>
      <c r="U294" s="302"/>
      <c r="V294" s="302"/>
      <c r="W294" s="302"/>
      <c r="X294" s="302"/>
      <c r="Y294" s="302"/>
      <c r="Z294" s="302"/>
      <c r="AA294" s="302"/>
      <c r="AB294" s="303"/>
      <c r="AC294" s="304"/>
      <c r="AD294" s="305"/>
      <c r="AE294" s="302"/>
      <c r="AF294" s="302"/>
      <c r="AG294" s="302"/>
      <c r="AH294" s="302"/>
      <c r="AI294" s="303"/>
      <c r="AJ294" s="303"/>
      <c r="AK294" s="302"/>
      <c r="AL294" s="314"/>
      <c r="AM294" s="305"/>
      <c r="AN294" s="302"/>
      <c r="AO294" s="302"/>
      <c r="AP294" s="302"/>
      <c r="AQ294" s="302"/>
      <c r="AR294" s="302"/>
      <c r="AS294" s="302"/>
      <c r="AT294" s="302"/>
      <c r="AU294" s="304"/>
      <c r="AV294" s="306"/>
      <c r="AW294" s="303"/>
      <c r="AX294" s="303"/>
      <c r="AY294" s="303"/>
      <c r="AZ294" s="303"/>
      <c r="BA294" s="303"/>
      <c r="BB294" s="303"/>
      <c r="BC294" s="303"/>
      <c r="BD294" s="304"/>
      <c r="BE294" s="305"/>
      <c r="BF294" s="302"/>
      <c r="BG294" s="307"/>
      <c r="BH294" s="308"/>
      <c r="BI294" s="302"/>
      <c r="BJ294" s="307"/>
      <c r="BK294" s="308"/>
      <c r="BL294" s="302"/>
      <c r="BM294" s="303"/>
      <c r="BN294" s="315"/>
      <c r="BO294" s="250">
        <f t="shared" si="29"/>
        <v>0</v>
      </c>
    </row>
    <row r="295" spans="1:67" ht="25.5" customHeight="1" x14ac:dyDescent="0.2">
      <c r="A295" s="142">
        <f t="shared" si="30"/>
        <v>280</v>
      </c>
      <c r="B295" s="251"/>
      <c r="C295" s="252"/>
      <c r="D295" s="253"/>
      <c r="E295" s="254"/>
      <c r="F295" s="278"/>
      <c r="G295" s="256"/>
      <c r="H295" s="257"/>
      <c r="I295" s="231" t="str">
        <f t="shared" si="25"/>
        <v/>
      </c>
      <c r="J295" s="258">
        <f t="shared" si="26"/>
        <v>0</v>
      </c>
      <c r="K295" s="313"/>
      <c r="L295" s="300"/>
      <c r="M295" s="300"/>
      <c r="N295" s="235" t="str">
        <f t="shared" si="27"/>
        <v/>
      </c>
      <c r="O295" s="236" t="str">
        <f>IF('Data Set up'!$G$40="JUNE",IF(OR($N295=7,$N295=8,$N295=9),1,IF(OR($N295=10,$N295=11,$N295=12),2,IF(OR($N295=1,$N295=2,$N295=3),3,IF(OR($N295=4,$N295=5,$N295=6),4,"")))),IF(OR($N295=9,$N295=10,$N295=11),1,IF(OR($N295=12,$N295=1,$N295=2),2,IF(OR($N295=3,$N295=4,$N295=5),3,IF(OR($N295=6,$N295=7,$N295=8),4,"")))))</f>
        <v/>
      </c>
      <c r="P295" s="261"/>
      <c r="Q295" s="305"/>
      <c r="R295" s="302"/>
      <c r="S295" s="264">
        <f t="shared" si="28"/>
        <v>0</v>
      </c>
      <c r="T295" s="302"/>
      <c r="U295" s="302"/>
      <c r="V295" s="302"/>
      <c r="W295" s="302"/>
      <c r="X295" s="302"/>
      <c r="Y295" s="302"/>
      <c r="Z295" s="302"/>
      <c r="AA295" s="302"/>
      <c r="AB295" s="303"/>
      <c r="AC295" s="304"/>
      <c r="AD295" s="305"/>
      <c r="AE295" s="302"/>
      <c r="AF295" s="302"/>
      <c r="AG295" s="302"/>
      <c r="AH295" s="302"/>
      <c r="AI295" s="303"/>
      <c r="AJ295" s="303"/>
      <c r="AK295" s="302"/>
      <c r="AL295" s="314"/>
      <c r="AM295" s="305"/>
      <c r="AN295" s="302"/>
      <c r="AO295" s="302"/>
      <c r="AP295" s="302"/>
      <c r="AQ295" s="302"/>
      <c r="AR295" s="302"/>
      <c r="AS295" s="302"/>
      <c r="AT295" s="302"/>
      <c r="AU295" s="304"/>
      <c r="AV295" s="306"/>
      <c r="AW295" s="303"/>
      <c r="AX295" s="303"/>
      <c r="AY295" s="303"/>
      <c r="AZ295" s="303"/>
      <c r="BA295" s="303"/>
      <c r="BB295" s="303"/>
      <c r="BC295" s="303"/>
      <c r="BD295" s="304"/>
      <c r="BE295" s="305"/>
      <c r="BF295" s="302"/>
      <c r="BG295" s="307"/>
      <c r="BH295" s="308"/>
      <c r="BI295" s="302"/>
      <c r="BJ295" s="307"/>
      <c r="BK295" s="308"/>
      <c r="BL295" s="302"/>
      <c r="BM295" s="303"/>
      <c r="BN295" s="315"/>
      <c r="BO295" s="250">
        <f t="shared" si="29"/>
        <v>0</v>
      </c>
    </row>
    <row r="296" spans="1:67" ht="25.5" customHeight="1" x14ac:dyDescent="0.2">
      <c r="A296" s="142">
        <f t="shared" si="30"/>
        <v>281</v>
      </c>
      <c r="B296" s="251"/>
      <c r="C296" s="252"/>
      <c r="D296" s="253"/>
      <c r="E296" s="254"/>
      <c r="F296" s="278"/>
      <c r="G296" s="256"/>
      <c r="H296" s="257"/>
      <c r="I296" s="231" t="str">
        <f t="shared" si="25"/>
        <v/>
      </c>
      <c r="J296" s="258">
        <f t="shared" si="26"/>
        <v>0</v>
      </c>
      <c r="K296" s="313"/>
      <c r="L296" s="300"/>
      <c r="M296" s="300"/>
      <c r="N296" s="235" t="str">
        <f t="shared" si="27"/>
        <v/>
      </c>
      <c r="O296" s="236" t="str">
        <f>IF('Data Set up'!$G$40="JUNE",IF(OR($N296=7,$N296=8,$N296=9),1,IF(OR($N296=10,$N296=11,$N296=12),2,IF(OR($N296=1,$N296=2,$N296=3),3,IF(OR($N296=4,$N296=5,$N296=6),4,"")))),IF(OR($N296=9,$N296=10,$N296=11),1,IF(OR($N296=12,$N296=1,$N296=2),2,IF(OR($N296=3,$N296=4,$N296=5),3,IF(OR($N296=6,$N296=7,$N296=8),4,"")))))</f>
        <v/>
      </c>
      <c r="P296" s="261"/>
      <c r="Q296" s="305"/>
      <c r="R296" s="302"/>
      <c r="S296" s="264">
        <f t="shared" si="28"/>
        <v>0</v>
      </c>
      <c r="T296" s="302"/>
      <c r="U296" s="302"/>
      <c r="V296" s="302"/>
      <c r="W296" s="302"/>
      <c r="X296" s="302"/>
      <c r="Y296" s="302"/>
      <c r="Z296" s="302"/>
      <c r="AA296" s="302"/>
      <c r="AB296" s="303"/>
      <c r="AC296" s="304"/>
      <c r="AD296" s="305"/>
      <c r="AE296" s="302"/>
      <c r="AF296" s="302"/>
      <c r="AG296" s="302"/>
      <c r="AH296" s="302"/>
      <c r="AI296" s="303"/>
      <c r="AJ296" s="303"/>
      <c r="AK296" s="302"/>
      <c r="AL296" s="314"/>
      <c r="AM296" s="305"/>
      <c r="AN296" s="302"/>
      <c r="AO296" s="302"/>
      <c r="AP296" s="302"/>
      <c r="AQ296" s="302"/>
      <c r="AR296" s="302"/>
      <c r="AS296" s="302"/>
      <c r="AT296" s="302"/>
      <c r="AU296" s="304"/>
      <c r="AV296" s="306"/>
      <c r="AW296" s="303"/>
      <c r="AX296" s="303"/>
      <c r="AY296" s="303"/>
      <c r="AZ296" s="303"/>
      <c r="BA296" s="303"/>
      <c r="BB296" s="303"/>
      <c r="BC296" s="303"/>
      <c r="BD296" s="304"/>
      <c r="BE296" s="305"/>
      <c r="BF296" s="302"/>
      <c r="BG296" s="307"/>
      <c r="BH296" s="308"/>
      <c r="BI296" s="302"/>
      <c r="BJ296" s="307"/>
      <c r="BK296" s="308"/>
      <c r="BL296" s="302"/>
      <c r="BM296" s="303"/>
      <c r="BN296" s="315"/>
      <c r="BO296" s="250">
        <f t="shared" si="29"/>
        <v>0</v>
      </c>
    </row>
    <row r="297" spans="1:67" ht="25.5" customHeight="1" x14ac:dyDescent="0.2">
      <c r="A297" s="142">
        <f t="shared" si="30"/>
        <v>282</v>
      </c>
      <c r="B297" s="251"/>
      <c r="C297" s="252"/>
      <c r="D297" s="253"/>
      <c r="E297" s="254"/>
      <c r="F297" s="278"/>
      <c r="G297" s="256"/>
      <c r="H297" s="257"/>
      <c r="I297" s="231" t="str">
        <f t="shared" si="25"/>
        <v/>
      </c>
      <c r="J297" s="258">
        <f t="shared" si="26"/>
        <v>0</v>
      </c>
      <c r="K297" s="313"/>
      <c r="L297" s="300"/>
      <c r="M297" s="300"/>
      <c r="N297" s="235" t="str">
        <f t="shared" si="27"/>
        <v/>
      </c>
      <c r="O297" s="236" t="str">
        <f>IF('Data Set up'!$G$40="JUNE",IF(OR($N297=7,$N297=8,$N297=9),1,IF(OR($N297=10,$N297=11,$N297=12),2,IF(OR($N297=1,$N297=2,$N297=3),3,IF(OR($N297=4,$N297=5,$N297=6),4,"")))),IF(OR($N297=9,$N297=10,$N297=11),1,IF(OR($N297=12,$N297=1,$N297=2),2,IF(OR($N297=3,$N297=4,$N297=5),3,IF(OR($N297=6,$N297=7,$N297=8),4,"")))))</f>
        <v/>
      </c>
      <c r="P297" s="261"/>
      <c r="Q297" s="305"/>
      <c r="R297" s="302"/>
      <c r="S297" s="264">
        <f t="shared" si="28"/>
        <v>0</v>
      </c>
      <c r="T297" s="302"/>
      <c r="U297" s="302"/>
      <c r="V297" s="302"/>
      <c r="W297" s="302"/>
      <c r="X297" s="302"/>
      <c r="Y297" s="302"/>
      <c r="Z297" s="302"/>
      <c r="AA297" s="302"/>
      <c r="AB297" s="303"/>
      <c r="AC297" s="304"/>
      <c r="AD297" s="305"/>
      <c r="AE297" s="302"/>
      <c r="AF297" s="302"/>
      <c r="AG297" s="302"/>
      <c r="AH297" s="302"/>
      <c r="AI297" s="303"/>
      <c r="AJ297" s="303"/>
      <c r="AK297" s="302"/>
      <c r="AL297" s="314"/>
      <c r="AM297" s="305"/>
      <c r="AN297" s="302"/>
      <c r="AO297" s="302"/>
      <c r="AP297" s="302"/>
      <c r="AQ297" s="302"/>
      <c r="AR297" s="302"/>
      <c r="AS297" s="302"/>
      <c r="AT297" s="302"/>
      <c r="AU297" s="304"/>
      <c r="AV297" s="306"/>
      <c r="AW297" s="303"/>
      <c r="AX297" s="303"/>
      <c r="AY297" s="303"/>
      <c r="AZ297" s="303"/>
      <c r="BA297" s="303"/>
      <c r="BB297" s="303"/>
      <c r="BC297" s="303"/>
      <c r="BD297" s="304"/>
      <c r="BE297" s="305"/>
      <c r="BF297" s="302"/>
      <c r="BG297" s="307"/>
      <c r="BH297" s="308"/>
      <c r="BI297" s="302"/>
      <c r="BJ297" s="307"/>
      <c r="BK297" s="308"/>
      <c r="BL297" s="302"/>
      <c r="BM297" s="303"/>
      <c r="BN297" s="315"/>
      <c r="BO297" s="250">
        <f t="shared" si="29"/>
        <v>0</v>
      </c>
    </row>
    <row r="298" spans="1:67" ht="25.5" customHeight="1" x14ac:dyDescent="0.2">
      <c r="A298" s="142">
        <f t="shared" si="30"/>
        <v>283</v>
      </c>
      <c r="B298" s="251"/>
      <c r="C298" s="252"/>
      <c r="D298" s="253"/>
      <c r="E298" s="254"/>
      <c r="F298" s="278"/>
      <c r="G298" s="256"/>
      <c r="H298" s="257"/>
      <c r="I298" s="231" t="str">
        <f t="shared" si="25"/>
        <v/>
      </c>
      <c r="J298" s="258">
        <f t="shared" si="26"/>
        <v>0</v>
      </c>
      <c r="K298" s="313"/>
      <c r="L298" s="300"/>
      <c r="M298" s="300"/>
      <c r="N298" s="235" t="str">
        <f t="shared" si="27"/>
        <v/>
      </c>
      <c r="O298" s="236" t="str">
        <f>IF('Data Set up'!$G$40="JUNE",IF(OR($N298=7,$N298=8,$N298=9),1,IF(OR($N298=10,$N298=11,$N298=12),2,IF(OR($N298=1,$N298=2,$N298=3),3,IF(OR($N298=4,$N298=5,$N298=6),4,"")))),IF(OR($N298=9,$N298=10,$N298=11),1,IF(OR($N298=12,$N298=1,$N298=2),2,IF(OR($N298=3,$N298=4,$N298=5),3,IF(OR($N298=6,$N298=7,$N298=8),4,"")))))</f>
        <v/>
      </c>
      <c r="P298" s="261"/>
      <c r="Q298" s="305"/>
      <c r="R298" s="302"/>
      <c r="S298" s="264">
        <f t="shared" si="28"/>
        <v>0</v>
      </c>
      <c r="T298" s="302"/>
      <c r="U298" s="302"/>
      <c r="V298" s="302"/>
      <c r="W298" s="302"/>
      <c r="X298" s="302"/>
      <c r="Y298" s="302"/>
      <c r="Z298" s="302"/>
      <c r="AA298" s="302"/>
      <c r="AB298" s="303"/>
      <c r="AC298" s="304"/>
      <c r="AD298" s="305"/>
      <c r="AE298" s="302"/>
      <c r="AF298" s="302"/>
      <c r="AG298" s="302"/>
      <c r="AH298" s="302"/>
      <c r="AI298" s="303"/>
      <c r="AJ298" s="303"/>
      <c r="AK298" s="302"/>
      <c r="AL298" s="314"/>
      <c r="AM298" s="305"/>
      <c r="AN298" s="302"/>
      <c r="AO298" s="302"/>
      <c r="AP298" s="302"/>
      <c r="AQ298" s="302"/>
      <c r="AR298" s="302"/>
      <c r="AS298" s="302"/>
      <c r="AT298" s="302"/>
      <c r="AU298" s="304"/>
      <c r="AV298" s="306"/>
      <c r="AW298" s="303"/>
      <c r="AX298" s="303"/>
      <c r="AY298" s="303"/>
      <c r="AZ298" s="303"/>
      <c r="BA298" s="303"/>
      <c r="BB298" s="303"/>
      <c r="BC298" s="303"/>
      <c r="BD298" s="304"/>
      <c r="BE298" s="305"/>
      <c r="BF298" s="302"/>
      <c r="BG298" s="307"/>
      <c r="BH298" s="308"/>
      <c r="BI298" s="302"/>
      <c r="BJ298" s="307"/>
      <c r="BK298" s="308"/>
      <c r="BL298" s="302"/>
      <c r="BM298" s="303"/>
      <c r="BN298" s="315"/>
      <c r="BO298" s="250">
        <f t="shared" si="29"/>
        <v>0</v>
      </c>
    </row>
    <row r="299" spans="1:67" ht="25.5" customHeight="1" x14ac:dyDescent="0.2">
      <c r="A299" s="142">
        <f t="shared" si="30"/>
        <v>284</v>
      </c>
      <c r="B299" s="251"/>
      <c r="C299" s="252"/>
      <c r="D299" s="253"/>
      <c r="E299" s="254"/>
      <c r="F299" s="278"/>
      <c r="G299" s="256"/>
      <c r="H299" s="257"/>
      <c r="I299" s="231" t="str">
        <f t="shared" si="25"/>
        <v/>
      </c>
      <c r="J299" s="258">
        <f t="shared" si="26"/>
        <v>0</v>
      </c>
      <c r="K299" s="313"/>
      <c r="L299" s="300"/>
      <c r="M299" s="300"/>
      <c r="N299" s="235" t="str">
        <f t="shared" si="27"/>
        <v/>
      </c>
      <c r="O299" s="236" t="str">
        <f>IF('Data Set up'!$G$40="JUNE",IF(OR($N299=7,$N299=8,$N299=9),1,IF(OR($N299=10,$N299=11,$N299=12),2,IF(OR($N299=1,$N299=2,$N299=3),3,IF(OR($N299=4,$N299=5,$N299=6),4,"")))),IF(OR($N299=9,$N299=10,$N299=11),1,IF(OR($N299=12,$N299=1,$N299=2),2,IF(OR($N299=3,$N299=4,$N299=5),3,IF(OR($N299=6,$N299=7,$N299=8),4,"")))))</f>
        <v/>
      </c>
      <c r="P299" s="261"/>
      <c r="Q299" s="305"/>
      <c r="R299" s="302"/>
      <c r="S299" s="264">
        <f t="shared" si="28"/>
        <v>0</v>
      </c>
      <c r="T299" s="302"/>
      <c r="U299" s="302"/>
      <c r="V299" s="302"/>
      <c r="W299" s="302"/>
      <c r="X299" s="302"/>
      <c r="Y299" s="302"/>
      <c r="Z299" s="302"/>
      <c r="AA299" s="302"/>
      <c r="AB299" s="303"/>
      <c r="AC299" s="304"/>
      <c r="AD299" s="305"/>
      <c r="AE299" s="302"/>
      <c r="AF299" s="302"/>
      <c r="AG299" s="302"/>
      <c r="AH299" s="302"/>
      <c r="AI299" s="303"/>
      <c r="AJ299" s="303"/>
      <c r="AK299" s="302"/>
      <c r="AL299" s="314"/>
      <c r="AM299" s="305"/>
      <c r="AN299" s="302"/>
      <c r="AO299" s="302"/>
      <c r="AP299" s="302"/>
      <c r="AQ299" s="302"/>
      <c r="AR299" s="302"/>
      <c r="AS299" s="302"/>
      <c r="AT299" s="302"/>
      <c r="AU299" s="304"/>
      <c r="AV299" s="306"/>
      <c r="AW299" s="303"/>
      <c r="AX299" s="303"/>
      <c r="AY299" s="303"/>
      <c r="AZ299" s="303"/>
      <c r="BA299" s="303"/>
      <c r="BB299" s="303"/>
      <c r="BC299" s="303"/>
      <c r="BD299" s="304"/>
      <c r="BE299" s="305"/>
      <c r="BF299" s="302"/>
      <c r="BG299" s="307"/>
      <c r="BH299" s="308"/>
      <c r="BI299" s="302"/>
      <c r="BJ299" s="307"/>
      <c r="BK299" s="308"/>
      <c r="BL299" s="302"/>
      <c r="BM299" s="303"/>
      <c r="BN299" s="315"/>
      <c r="BO299" s="250">
        <f t="shared" si="29"/>
        <v>0</v>
      </c>
    </row>
    <row r="300" spans="1:67" ht="25.5" customHeight="1" x14ac:dyDescent="0.2">
      <c r="A300" s="142">
        <f t="shared" si="30"/>
        <v>285</v>
      </c>
      <c r="B300" s="251"/>
      <c r="C300" s="252"/>
      <c r="D300" s="253"/>
      <c r="E300" s="254"/>
      <c r="F300" s="278"/>
      <c r="G300" s="256"/>
      <c r="H300" s="257"/>
      <c r="I300" s="231" t="str">
        <f t="shared" si="25"/>
        <v/>
      </c>
      <c r="J300" s="258">
        <f t="shared" si="26"/>
        <v>0</v>
      </c>
      <c r="K300" s="313"/>
      <c r="L300" s="300"/>
      <c r="M300" s="300"/>
      <c r="N300" s="235" t="str">
        <f t="shared" si="27"/>
        <v/>
      </c>
      <c r="O300" s="236" t="str">
        <f>IF('Data Set up'!$G$40="JUNE",IF(OR($N300=7,$N300=8,$N300=9),1,IF(OR($N300=10,$N300=11,$N300=12),2,IF(OR($N300=1,$N300=2,$N300=3),3,IF(OR($N300=4,$N300=5,$N300=6),4,"")))),IF(OR($N300=9,$N300=10,$N300=11),1,IF(OR($N300=12,$N300=1,$N300=2),2,IF(OR($N300=3,$N300=4,$N300=5),3,IF(OR($N300=6,$N300=7,$N300=8),4,"")))))</f>
        <v/>
      </c>
      <c r="P300" s="261"/>
      <c r="Q300" s="305"/>
      <c r="R300" s="302"/>
      <c r="S300" s="264">
        <f t="shared" si="28"/>
        <v>0</v>
      </c>
      <c r="T300" s="302"/>
      <c r="U300" s="302"/>
      <c r="V300" s="302"/>
      <c r="W300" s="302"/>
      <c r="X300" s="302"/>
      <c r="Y300" s="302"/>
      <c r="Z300" s="302"/>
      <c r="AA300" s="302"/>
      <c r="AB300" s="303"/>
      <c r="AC300" s="304"/>
      <c r="AD300" s="305"/>
      <c r="AE300" s="302"/>
      <c r="AF300" s="302"/>
      <c r="AG300" s="302"/>
      <c r="AH300" s="302"/>
      <c r="AI300" s="303"/>
      <c r="AJ300" s="303"/>
      <c r="AK300" s="302"/>
      <c r="AL300" s="314"/>
      <c r="AM300" s="305"/>
      <c r="AN300" s="302"/>
      <c r="AO300" s="302"/>
      <c r="AP300" s="302"/>
      <c r="AQ300" s="302"/>
      <c r="AR300" s="302"/>
      <c r="AS300" s="302"/>
      <c r="AT300" s="302"/>
      <c r="AU300" s="304"/>
      <c r="AV300" s="306"/>
      <c r="AW300" s="303"/>
      <c r="AX300" s="303"/>
      <c r="AY300" s="303"/>
      <c r="AZ300" s="303"/>
      <c r="BA300" s="303"/>
      <c r="BB300" s="303"/>
      <c r="BC300" s="303"/>
      <c r="BD300" s="304"/>
      <c r="BE300" s="305"/>
      <c r="BF300" s="302"/>
      <c r="BG300" s="307"/>
      <c r="BH300" s="308"/>
      <c r="BI300" s="302"/>
      <c r="BJ300" s="307"/>
      <c r="BK300" s="308"/>
      <c r="BL300" s="302"/>
      <c r="BM300" s="303"/>
      <c r="BN300" s="315"/>
      <c r="BO300" s="250">
        <f t="shared" si="29"/>
        <v>0</v>
      </c>
    </row>
    <row r="301" spans="1:67" ht="25.5" customHeight="1" x14ac:dyDescent="0.2">
      <c r="A301" s="142">
        <f t="shared" si="30"/>
        <v>286</v>
      </c>
      <c r="B301" s="251"/>
      <c r="C301" s="252"/>
      <c r="D301" s="253"/>
      <c r="E301" s="254"/>
      <c r="F301" s="278"/>
      <c r="G301" s="256"/>
      <c r="H301" s="257"/>
      <c r="I301" s="231" t="str">
        <f t="shared" si="25"/>
        <v/>
      </c>
      <c r="J301" s="258">
        <f t="shared" si="26"/>
        <v>0</v>
      </c>
      <c r="K301" s="313"/>
      <c r="L301" s="300"/>
      <c r="M301" s="300"/>
      <c r="N301" s="235" t="str">
        <f t="shared" si="27"/>
        <v/>
      </c>
      <c r="O301" s="236" t="str">
        <f>IF('Data Set up'!$G$40="JUNE",IF(OR($N301=7,$N301=8,$N301=9),1,IF(OR($N301=10,$N301=11,$N301=12),2,IF(OR($N301=1,$N301=2,$N301=3),3,IF(OR($N301=4,$N301=5,$N301=6),4,"")))),IF(OR($N301=9,$N301=10,$N301=11),1,IF(OR($N301=12,$N301=1,$N301=2),2,IF(OR($N301=3,$N301=4,$N301=5),3,IF(OR($N301=6,$N301=7,$N301=8),4,"")))))</f>
        <v/>
      </c>
      <c r="P301" s="261"/>
      <c r="Q301" s="305"/>
      <c r="R301" s="302"/>
      <c r="S301" s="264">
        <f t="shared" si="28"/>
        <v>0</v>
      </c>
      <c r="T301" s="302"/>
      <c r="U301" s="302"/>
      <c r="V301" s="302"/>
      <c r="W301" s="302"/>
      <c r="X301" s="302"/>
      <c r="Y301" s="302"/>
      <c r="Z301" s="302"/>
      <c r="AA301" s="302"/>
      <c r="AB301" s="303"/>
      <c r="AC301" s="304"/>
      <c r="AD301" s="305"/>
      <c r="AE301" s="302"/>
      <c r="AF301" s="302"/>
      <c r="AG301" s="302"/>
      <c r="AH301" s="302"/>
      <c r="AI301" s="303"/>
      <c r="AJ301" s="303"/>
      <c r="AK301" s="302"/>
      <c r="AL301" s="314"/>
      <c r="AM301" s="305"/>
      <c r="AN301" s="302"/>
      <c r="AO301" s="302"/>
      <c r="AP301" s="302"/>
      <c r="AQ301" s="302"/>
      <c r="AR301" s="302"/>
      <c r="AS301" s="302"/>
      <c r="AT301" s="302"/>
      <c r="AU301" s="304"/>
      <c r="AV301" s="306"/>
      <c r="AW301" s="303"/>
      <c r="AX301" s="303"/>
      <c r="AY301" s="303"/>
      <c r="AZ301" s="303"/>
      <c r="BA301" s="303"/>
      <c r="BB301" s="303"/>
      <c r="BC301" s="303"/>
      <c r="BD301" s="304"/>
      <c r="BE301" s="305"/>
      <c r="BF301" s="302"/>
      <c r="BG301" s="307"/>
      <c r="BH301" s="308"/>
      <c r="BI301" s="302"/>
      <c r="BJ301" s="307"/>
      <c r="BK301" s="308"/>
      <c r="BL301" s="302"/>
      <c r="BM301" s="303"/>
      <c r="BN301" s="315"/>
      <c r="BO301" s="250">
        <f t="shared" si="29"/>
        <v>0</v>
      </c>
    </row>
    <row r="302" spans="1:67" ht="25.5" customHeight="1" x14ac:dyDescent="0.2">
      <c r="A302" s="142">
        <f t="shared" si="30"/>
        <v>287</v>
      </c>
      <c r="B302" s="251"/>
      <c r="C302" s="252"/>
      <c r="D302" s="253"/>
      <c r="E302" s="254"/>
      <c r="F302" s="278"/>
      <c r="G302" s="256"/>
      <c r="H302" s="257"/>
      <c r="I302" s="231" t="str">
        <f t="shared" si="25"/>
        <v/>
      </c>
      <c r="J302" s="258">
        <f t="shared" si="26"/>
        <v>0</v>
      </c>
      <c r="K302" s="313"/>
      <c r="L302" s="300"/>
      <c r="M302" s="300"/>
      <c r="N302" s="235" t="str">
        <f t="shared" si="27"/>
        <v/>
      </c>
      <c r="O302" s="236" t="str">
        <f>IF('Data Set up'!$G$40="JUNE",IF(OR($N302=7,$N302=8,$N302=9),1,IF(OR($N302=10,$N302=11,$N302=12),2,IF(OR($N302=1,$N302=2,$N302=3),3,IF(OR($N302=4,$N302=5,$N302=6),4,"")))),IF(OR($N302=9,$N302=10,$N302=11),1,IF(OR($N302=12,$N302=1,$N302=2),2,IF(OR($N302=3,$N302=4,$N302=5),3,IF(OR($N302=6,$N302=7,$N302=8),4,"")))))</f>
        <v/>
      </c>
      <c r="P302" s="261"/>
      <c r="Q302" s="305"/>
      <c r="R302" s="302"/>
      <c r="S302" s="264">
        <f t="shared" si="28"/>
        <v>0</v>
      </c>
      <c r="T302" s="302"/>
      <c r="U302" s="302"/>
      <c r="V302" s="302"/>
      <c r="W302" s="302"/>
      <c r="X302" s="302"/>
      <c r="Y302" s="302"/>
      <c r="Z302" s="302"/>
      <c r="AA302" s="302"/>
      <c r="AB302" s="303"/>
      <c r="AC302" s="304"/>
      <c r="AD302" s="305"/>
      <c r="AE302" s="302"/>
      <c r="AF302" s="302"/>
      <c r="AG302" s="302"/>
      <c r="AH302" s="302"/>
      <c r="AI302" s="303"/>
      <c r="AJ302" s="303"/>
      <c r="AK302" s="302"/>
      <c r="AL302" s="314"/>
      <c r="AM302" s="305"/>
      <c r="AN302" s="302"/>
      <c r="AO302" s="302"/>
      <c r="AP302" s="302"/>
      <c r="AQ302" s="302"/>
      <c r="AR302" s="302"/>
      <c r="AS302" s="302"/>
      <c r="AT302" s="302"/>
      <c r="AU302" s="304"/>
      <c r="AV302" s="306"/>
      <c r="AW302" s="303"/>
      <c r="AX302" s="303"/>
      <c r="AY302" s="303"/>
      <c r="AZ302" s="303"/>
      <c r="BA302" s="303"/>
      <c r="BB302" s="303"/>
      <c r="BC302" s="303"/>
      <c r="BD302" s="304"/>
      <c r="BE302" s="305"/>
      <c r="BF302" s="302"/>
      <c r="BG302" s="307"/>
      <c r="BH302" s="308"/>
      <c r="BI302" s="302"/>
      <c r="BJ302" s="307"/>
      <c r="BK302" s="308"/>
      <c r="BL302" s="302"/>
      <c r="BM302" s="303"/>
      <c r="BN302" s="315"/>
      <c r="BO302" s="250">
        <f t="shared" si="29"/>
        <v>0</v>
      </c>
    </row>
    <row r="303" spans="1:67" ht="25.5" customHeight="1" x14ac:dyDescent="0.2">
      <c r="A303" s="142">
        <f t="shared" si="30"/>
        <v>288</v>
      </c>
      <c r="B303" s="251"/>
      <c r="C303" s="252"/>
      <c r="D303" s="253"/>
      <c r="E303" s="254"/>
      <c r="F303" s="278"/>
      <c r="G303" s="256"/>
      <c r="H303" s="257"/>
      <c r="I303" s="231" t="str">
        <f t="shared" si="25"/>
        <v/>
      </c>
      <c r="J303" s="258">
        <f t="shared" si="26"/>
        <v>0</v>
      </c>
      <c r="K303" s="313"/>
      <c r="L303" s="300"/>
      <c r="M303" s="300"/>
      <c r="N303" s="235" t="str">
        <f t="shared" si="27"/>
        <v/>
      </c>
      <c r="O303" s="236" t="str">
        <f>IF('Data Set up'!$G$40="JUNE",IF(OR($N303=7,$N303=8,$N303=9),1,IF(OR($N303=10,$N303=11,$N303=12),2,IF(OR($N303=1,$N303=2,$N303=3),3,IF(OR($N303=4,$N303=5,$N303=6),4,"")))),IF(OR($N303=9,$N303=10,$N303=11),1,IF(OR($N303=12,$N303=1,$N303=2),2,IF(OR($N303=3,$N303=4,$N303=5),3,IF(OR($N303=6,$N303=7,$N303=8),4,"")))))</f>
        <v/>
      </c>
      <c r="P303" s="261"/>
      <c r="Q303" s="305"/>
      <c r="R303" s="302"/>
      <c r="S303" s="264">
        <f t="shared" si="28"/>
        <v>0</v>
      </c>
      <c r="T303" s="302"/>
      <c r="U303" s="302"/>
      <c r="V303" s="302"/>
      <c r="W303" s="302"/>
      <c r="X303" s="302"/>
      <c r="Y303" s="302"/>
      <c r="Z303" s="302"/>
      <c r="AA303" s="302"/>
      <c r="AB303" s="303"/>
      <c r="AC303" s="304"/>
      <c r="AD303" s="305"/>
      <c r="AE303" s="302"/>
      <c r="AF303" s="302"/>
      <c r="AG303" s="302"/>
      <c r="AH303" s="302"/>
      <c r="AI303" s="303"/>
      <c r="AJ303" s="303"/>
      <c r="AK303" s="302"/>
      <c r="AL303" s="314"/>
      <c r="AM303" s="305"/>
      <c r="AN303" s="302"/>
      <c r="AO303" s="302"/>
      <c r="AP303" s="302"/>
      <c r="AQ303" s="302"/>
      <c r="AR303" s="302"/>
      <c r="AS303" s="302"/>
      <c r="AT303" s="302"/>
      <c r="AU303" s="304"/>
      <c r="AV303" s="306"/>
      <c r="AW303" s="303"/>
      <c r="AX303" s="303"/>
      <c r="AY303" s="303"/>
      <c r="AZ303" s="303"/>
      <c r="BA303" s="303"/>
      <c r="BB303" s="303"/>
      <c r="BC303" s="303"/>
      <c r="BD303" s="304"/>
      <c r="BE303" s="305"/>
      <c r="BF303" s="302"/>
      <c r="BG303" s="307"/>
      <c r="BH303" s="308"/>
      <c r="BI303" s="302"/>
      <c r="BJ303" s="307"/>
      <c r="BK303" s="308"/>
      <c r="BL303" s="302"/>
      <c r="BM303" s="303"/>
      <c r="BN303" s="315"/>
      <c r="BO303" s="250">
        <f t="shared" si="29"/>
        <v>0</v>
      </c>
    </row>
    <row r="304" spans="1:67" ht="25.5" customHeight="1" x14ac:dyDescent="0.2">
      <c r="A304" s="142">
        <f t="shared" si="30"/>
        <v>289</v>
      </c>
      <c r="B304" s="251"/>
      <c r="C304" s="252"/>
      <c r="D304" s="253"/>
      <c r="E304" s="254"/>
      <c r="F304" s="278"/>
      <c r="G304" s="256"/>
      <c r="H304" s="257"/>
      <c r="I304" s="231" t="str">
        <f t="shared" si="25"/>
        <v/>
      </c>
      <c r="J304" s="258">
        <f t="shared" si="26"/>
        <v>0</v>
      </c>
      <c r="K304" s="313"/>
      <c r="L304" s="300"/>
      <c r="M304" s="300"/>
      <c r="N304" s="235" t="str">
        <f t="shared" si="27"/>
        <v/>
      </c>
      <c r="O304" s="236" t="str">
        <f>IF('Data Set up'!$G$40="JUNE",IF(OR($N304=7,$N304=8,$N304=9),1,IF(OR($N304=10,$N304=11,$N304=12),2,IF(OR($N304=1,$N304=2,$N304=3),3,IF(OR($N304=4,$N304=5,$N304=6),4,"")))),IF(OR($N304=9,$N304=10,$N304=11),1,IF(OR($N304=12,$N304=1,$N304=2),2,IF(OR($N304=3,$N304=4,$N304=5),3,IF(OR($N304=6,$N304=7,$N304=8),4,"")))))</f>
        <v/>
      </c>
      <c r="P304" s="261"/>
      <c r="Q304" s="305"/>
      <c r="R304" s="302"/>
      <c r="S304" s="264">
        <f t="shared" si="28"/>
        <v>0</v>
      </c>
      <c r="T304" s="302"/>
      <c r="U304" s="302"/>
      <c r="V304" s="302"/>
      <c r="W304" s="302"/>
      <c r="X304" s="302"/>
      <c r="Y304" s="302"/>
      <c r="Z304" s="302"/>
      <c r="AA304" s="302"/>
      <c r="AB304" s="303"/>
      <c r="AC304" s="304"/>
      <c r="AD304" s="305"/>
      <c r="AE304" s="302"/>
      <c r="AF304" s="302"/>
      <c r="AG304" s="302"/>
      <c r="AH304" s="302"/>
      <c r="AI304" s="303"/>
      <c r="AJ304" s="303"/>
      <c r="AK304" s="302"/>
      <c r="AL304" s="314"/>
      <c r="AM304" s="305"/>
      <c r="AN304" s="302"/>
      <c r="AO304" s="302"/>
      <c r="AP304" s="302"/>
      <c r="AQ304" s="302"/>
      <c r="AR304" s="302"/>
      <c r="AS304" s="302"/>
      <c r="AT304" s="302"/>
      <c r="AU304" s="304"/>
      <c r="AV304" s="306"/>
      <c r="AW304" s="303"/>
      <c r="AX304" s="303"/>
      <c r="AY304" s="303"/>
      <c r="AZ304" s="303"/>
      <c r="BA304" s="303"/>
      <c r="BB304" s="303"/>
      <c r="BC304" s="303"/>
      <c r="BD304" s="304"/>
      <c r="BE304" s="305"/>
      <c r="BF304" s="302"/>
      <c r="BG304" s="307"/>
      <c r="BH304" s="308"/>
      <c r="BI304" s="302"/>
      <c r="BJ304" s="307"/>
      <c r="BK304" s="308"/>
      <c r="BL304" s="302"/>
      <c r="BM304" s="303"/>
      <c r="BN304" s="315"/>
      <c r="BO304" s="250">
        <f t="shared" si="29"/>
        <v>0</v>
      </c>
    </row>
    <row r="305" spans="1:67" ht="25.5" customHeight="1" x14ac:dyDescent="0.2">
      <c r="A305" s="142">
        <f t="shared" si="30"/>
        <v>290</v>
      </c>
      <c r="B305" s="251"/>
      <c r="C305" s="316"/>
      <c r="D305" s="253"/>
      <c r="E305" s="254"/>
      <c r="F305" s="278"/>
      <c r="G305" s="256"/>
      <c r="H305" s="257"/>
      <c r="I305" s="231" t="str">
        <f t="shared" si="25"/>
        <v/>
      </c>
      <c r="J305" s="258">
        <f t="shared" si="26"/>
        <v>0</v>
      </c>
      <c r="K305" s="313"/>
      <c r="L305" s="300"/>
      <c r="M305" s="300"/>
      <c r="N305" s="235" t="str">
        <f t="shared" si="27"/>
        <v/>
      </c>
      <c r="O305" s="236" t="str">
        <f>IF('Data Set up'!$G$40="JUNE",IF(OR($N305=7,$N305=8,$N305=9),1,IF(OR($N305=10,$N305=11,$N305=12),2,IF(OR($N305=1,$N305=2,$N305=3),3,IF(OR($N305=4,$N305=5,$N305=6),4,"")))),IF(OR($N305=9,$N305=10,$N305=11),1,IF(OR($N305=12,$N305=1,$N305=2),2,IF(OR($N305=3,$N305=4,$N305=5),3,IF(OR($N305=6,$N305=7,$N305=8),4,"")))))</f>
        <v/>
      </c>
      <c r="P305" s="261"/>
      <c r="Q305" s="305"/>
      <c r="R305" s="302"/>
      <c r="S305" s="264">
        <f t="shared" si="28"/>
        <v>0</v>
      </c>
      <c r="T305" s="302"/>
      <c r="U305" s="302"/>
      <c r="V305" s="302"/>
      <c r="W305" s="302"/>
      <c r="X305" s="302"/>
      <c r="Y305" s="302"/>
      <c r="Z305" s="302"/>
      <c r="AA305" s="302"/>
      <c r="AB305" s="303"/>
      <c r="AC305" s="304"/>
      <c r="AD305" s="305"/>
      <c r="AE305" s="302"/>
      <c r="AF305" s="302"/>
      <c r="AG305" s="302"/>
      <c r="AH305" s="302"/>
      <c r="AI305" s="303"/>
      <c r="AJ305" s="303"/>
      <c r="AK305" s="302"/>
      <c r="AL305" s="314"/>
      <c r="AM305" s="305"/>
      <c r="AN305" s="302"/>
      <c r="AO305" s="302"/>
      <c r="AP305" s="302"/>
      <c r="AQ305" s="302"/>
      <c r="AR305" s="302"/>
      <c r="AS305" s="302"/>
      <c r="AT305" s="302"/>
      <c r="AU305" s="304"/>
      <c r="AV305" s="306"/>
      <c r="AW305" s="303"/>
      <c r="AX305" s="303"/>
      <c r="AY305" s="303"/>
      <c r="AZ305" s="303"/>
      <c r="BA305" s="303"/>
      <c r="BB305" s="303"/>
      <c r="BC305" s="303"/>
      <c r="BD305" s="304"/>
      <c r="BE305" s="305"/>
      <c r="BF305" s="302"/>
      <c r="BG305" s="307"/>
      <c r="BH305" s="308"/>
      <c r="BI305" s="302"/>
      <c r="BJ305" s="307"/>
      <c r="BK305" s="308"/>
      <c r="BL305" s="302"/>
      <c r="BM305" s="303"/>
      <c r="BN305" s="315"/>
      <c r="BO305" s="250">
        <f t="shared" si="29"/>
        <v>0</v>
      </c>
    </row>
    <row r="306" spans="1:67" ht="25.5" customHeight="1" x14ac:dyDescent="0.2">
      <c r="A306" s="142">
        <f t="shared" si="30"/>
        <v>291</v>
      </c>
      <c r="B306" s="251"/>
      <c r="C306" s="252"/>
      <c r="D306" s="253"/>
      <c r="E306" s="254"/>
      <c r="F306" s="278"/>
      <c r="G306" s="256"/>
      <c r="H306" s="257"/>
      <c r="I306" s="231" t="str">
        <f t="shared" si="25"/>
        <v/>
      </c>
      <c r="J306" s="258">
        <f t="shared" si="26"/>
        <v>0</v>
      </c>
      <c r="K306" s="313"/>
      <c r="L306" s="300"/>
      <c r="M306" s="300"/>
      <c r="N306" s="235" t="str">
        <f t="shared" si="27"/>
        <v/>
      </c>
      <c r="O306" s="236" t="str">
        <f>IF('Data Set up'!$G$40="JUNE",IF(OR($N306=7,$N306=8,$N306=9),1,IF(OR($N306=10,$N306=11,$N306=12),2,IF(OR($N306=1,$N306=2,$N306=3),3,IF(OR($N306=4,$N306=5,$N306=6),4,"")))),IF(OR($N306=9,$N306=10,$N306=11),1,IF(OR($N306=12,$N306=1,$N306=2),2,IF(OR($N306=3,$N306=4,$N306=5),3,IF(OR($N306=6,$N306=7,$N306=8),4,"")))))</f>
        <v/>
      </c>
      <c r="P306" s="261"/>
      <c r="Q306" s="305"/>
      <c r="R306" s="302"/>
      <c r="S306" s="264">
        <f t="shared" si="28"/>
        <v>0</v>
      </c>
      <c r="T306" s="302"/>
      <c r="U306" s="302"/>
      <c r="V306" s="302"/>
      <c r="W306" s="302"/>
      <c r="X306" s="302"/>
      <c r="Y306" s="302"/>
      <c r="Z306" s="302"/>
      <c r="AA306" s="302"/>
      <c r="AB306" s="303"/>
      <c r="AC306" s="304"/>
      <c r="AD306" s="305"/>
      <c r="AE306" s="302"/>
      <c r="AF306" s="302"/>
      <c r="AG306" s="302"/>
      <c r="AH306" s="302"/>
      <c r="AI306" s="303"/>
      <c r="AJ306" s="303"/>
      <c r="AK306" s="302"/>
      <c r="AL306" s="314"/>
      <c r="AM306" s="305"/>
      <c r="AN306" s="302"/>
      <c r="AO306" s="302"/>
      <c r="AP306" s="302"/>
      <c r="AQ306" s="302"/>
      <c r="AR306" s="302"/>
      <c r="AS306" s="302"/>
      <c r="AT306" s="302"/>
      <c r="AU306" s="304"/>
      <c r="AV306" s="306"/>
      <c r="AW306" s="303"/>
      <c r="AX306" s="303"/>
      <c r="AY306" s="303"/>
      <c r="AZ306" s="303"/>
      <c r="BA306" s="303"/>
      <c r="BB306" s="303"/>
      <c r="BC306" s="303"/>
      <c r="BD306" s="304"/>
      <c r="BE306" s="305"/>
      <c r="BF306" s="302"/>
      <c r="BG306" s="307"/>
      <c r="BH306" s="308"/>
      <c r="BI306" s="302"/>
      <c r="BJ306" s="307"/>
      <c r="BK306" s="308"/>
      <c r="BL306" s="302"/>
      <c r="BM306" s="303"/>
      <c r="BN306" s="315"/>
      <c r="BO306" s="250">
        <f t="shared" si="29"/>
        <v>0</v>
      </c>
    </row>
    <row r="307" spans="1:67" ht="25.5" customHeight="1" x14ac:dyDescent="0.2">
      <c r="A307" s="142">
        <f t="shared" si="30"/>
        <v>292</v>
      </c>
      <c r="B307" s="251"/>
      <c r="C307" s="252"/>
      <c r="D307" s="253"/>
      <c r="E307" s="254"/>
      <c r="F307" s="278"/>
      <c r="G307" s="256"/>
      <c r="H307" s="257"/>
      <c r="I307" s="231" t="str">
        <f t="shared" si="25"/>
        <v/>
      </c>
      <c r="J307" s="258">
        <f t="shared" si="26"/>
        <v>0</v>
      </c>
      <c r="K307" s="313"/>
      <c r="L307" s="300"/>
      <c r="M307" s="300"/>
      <c r="N307" s="235" t="str">
        <f t="shared" si="27"/>
        <v/>
      </c>
      <c r="O307" s="236" t="str">
        <f>IF('Data Set up'!$G$40="JUNE",IF(OR($N307=7,$N307=8,$N307=9),1,IF(OR($N307=10,$N307=11,$N307=12),2,IF(OR($N307=1,$N307=2,$N307=3),3,IF(OR($N307=4,$N307=5,$N307=6),4,"")))),IF(OR($N307=9,$N307=10,$N307=11),1,IF(OR($N307=12,$N307=1,$N307=2),2,IF(OR($N307=3,$N307=4,$N307=5),3,IF(OR($N307=6,$N307=7,$N307=8),4,"")))))</f>
        <v/>
      </c>
      <c r="P307" s="261"/>
      <c r="Q307" s="305"/>
      <c r="R307" s="302"/>
      <c r="S307" s="264">
        <f t="shared" si="28"/>
        <v>0</v>
      </c>
      <c r="T307" s="302"/>
      <c r="U307" s="302"/>
      <c r="V307" s="302"/>
      <c r="W307" s="302"/>
      <c r="X307" s="302"/>
      <c r="Y307" s="302"/>
      <c r="Z307" s="302"/>
      <c r="AA307" s="302"/>
      <c r="AB307" s="303"/>
      <c r="AC307" s="304"/>
      <c r="AD307" s="305"/>
      <c r="AE307" s="302"/>
      <c r="AF307" s="302"/>
      <c r="AG307" s="302"/>
      <c r="AH307" s="302"/>
      <c r="AI307" s="303"/>
      <c r="AJ307" s="303"/>
      <c r="AK307" s="302"/>
      <c r="AL307" s="314"/>
      <c r="AM307" s="305"/>
      <c r="AN307" s="302"/>
      <c r="AO307" s="302"/>
      <c r="AP307" s="302"/>
      <c r="AQ307" s="302"/>
      <c r="AR307" s="302"/>
      <c r="AS307" s="302"/>
      <c r="AT307" s="302"/>
      <c r="AU307" s="304"/>
      <c r="AV307" s="306"/>
      <c r="AW307" s="303"/>
      <c r="AX307" s="303"/>
      <c r="AY307" s="303"/>
      <c r="AZ307" s="303"/>
      <c r="BA307" s="303"/>
      <c r="BB307" s="303"/>
      <c r="BC307" s="303"/>
      <c r="BD307" s="304"/>
      <c r="BE307" s="305"/>
      <c r="BF307" s="302"/>
      <c r="BG307" s="307"/>
      <c r="BH307" s="308"/>
      <c r="BI307" s="302"/>
      <c r="BJ307" s="307"/>
      <c r="BK307" s="308"/>
      <c r="BL307" s="302"/>
      <c r="BM307" s="303"/>
      <c r="BN307" s="315"/>
      <c r="BO307" s="250">
        <f t="shared" si="29"/>
        <v>0</v>
      </c>
    </row>
    <row r="308" spans="1:67" ht="25.5" customHeight="1" x14ac:dyDescent="0.2">
      <c r="A308" s="142">
        <f t="shared" si="30"/>
        <v>293</v>
      </c>
      <c r="B308" s="251"/>
      <c r="C308" s="252"/>
      <c r="D308" s="253"/>
      <c r="E308" s="254"/>
      <c r="F308" s="278"/>
      <c r="G308" s="256"/>
      <c r="H308" s="257"/>
      <c r="I308" s="231" t="str">
        <f t="shared" si="25"/>
        <v/>
      </c>
      <c r="J308" s="258">
        <f t="shared" si="26"/>
        <v>0</v>
      </c>
      <c r="K308" s="313"/>
      <c r="L308" s="300"/>
      <c r="M308" s="300"/>
      <c r="N308" s="235" t="str">
        <f t="shared" si="27"/>
        <v/>
      </c>
      <c r="O308" s="236" t="str">
        <f>IF('Data Set up'!$G$40="JUNE",IF(OR($N308=7,$N308=8,$N308=9),1,IF(OR($N308=10,$N308=11,$N308=12),2,IF(OR($N308=1,$N308=2,$N308=3),3,IF(OR($N308=4,$N308=5,$N308=6),4,"")))),IF(OR($N308=9,$N308=10,$N308=11),1,IF(OR($N308=12,$N308=1,$N308=2),2,IF(OR($N308=3,$N308=4,$N308=5),3,IF(OR($N308=6,$N308=7,$N308=8),4,"")))))</f>
        <v/>
      </c>
      <c r="P308" s="261"/>
      <c r="Q308" s="305"/>
      <c r="R308" s="302"/>
      <c r="S308" s="264">
        <f t="shared" si="28"/>
        <v>0</v>
      </c>
      <c r="T308" s="302"/>
      <c r="U308" s="302"/>
      <c r="V308" s="302"/>
      <c r="W308" s="302"/>
      <c r="X308" s="302"/>
      <c r="Y308" s="302"/>
      <c r="Z308" s="302"/>
      <c r="AA308" s="302"/>
      <c r="AB308" s="303"/>
      <c r="AC308" s="304"/>
      <c r="AD308" s="305"/>
      <c r="AE308" s="302"/>
      <c r="AF308" s="302"/>
      <c r="AG308" s="302"/>
      <c r="AH308" s="302"/>
      <c r="AI308" s="303"/>
      <c r="AJ308" s="303"/>
      <c r="AK308" s="302"/>
      <c r="AL308" s="314"/>
      <c r="AM308" s="305"/>
      <c r="AN308" s="302"/>
      <c r="AO308" s="302"/>
      <c r="AP308" s="302"/>
      <c r="AQ308" s="302"/>
      <c r="AR308" s="302"/>
      <c r="AS308" s="302"/>
      <c r="AT308" s="302"/>
      <c r="AU308" s="304"/>
      <c r="AV308" s="306"/>
      <c r="AW308" s="303"/>
      <c r="AX308" s="303"/>
      <c r="AY308" s="303"/>
      <c r="AZ308" s="303"/>
      <c r="BA308" s="303"/>
      <c r="BB308" s="303"/>
      <c r="BC308" s="303"/>
      <c r="BD308" s="304"/>
      <c r="BE308" s="305"/>
      <c r="BF308" s="302"/>
      <c r="BG308" s="307"/>
      <c r="BH308" s="308"/>
      <c r="BI308" s="302"/>
      <c r="BJ308" s="307"/>
      <c r="BK308" s="308"/>
      <c r="BL308" s="302"/>
      <c r="BM308" s="303"/>
      <c r="BN308" s="315"/>
      <c r="BO308" s="250">
        <f t="shared" si="29"/>
        <v>0</v>
      </c>
    </row>
    <row r="309" spans="1:67" ht="25.5" customHeight="1" x14ac:dyDescent="0.2">
      <c r="A309" s="142">
        <f t="shared" si="30"/>
        <v>294</v>
      </c>
      <c r="B309" s="251"/>
      <c r="C309" s="252"/>
      <c r="D309" s="253"/>
      <c r="E309" s="254"/>
      <c r="F309" s="278"/>
      <c r="G309" s="256"/>
      <c r="H309" s="257"/>
      <c r="I309" s="231" t="str">
        <f t="shared" si="25"/>
        <v/>
      </c>
      <c r="J309" s="258">
        <f t="shared" si="26"/>
        <v>0</v>
      </c>
      <c r="K309" s="313"/>
      <c r="L309" s="300"/>
      <c r="M309" s="300"/>
      <c r="N309" s="235" t="str">
        <f t="shared" si="27"/>
        <v/>
      </c>
      <c r="O309" s="236" t="str">
        <f>IF('Data Set up'!$G$40="JUNE",IF(OR($N309=7,$N309=8,$N309=9),1,IF(OR($N309=10,$N309=11,$N309=12),2,IF(OR($N309=1,$N309=2,$N309=3),3,IF(OR($N309=4,$N309=5,$N309=6),4,"")))),IF(OR($N309=9,$N309=10,$N309=11),1,IF(OR($N309=12,$N309=1,$N309=2),2,IF(OR($N309=3,$N309=4,$N309=5),3,IF(OR($N309=6,$N309=7,$N309=8),4,"")))))</f>
        <v/>
      </c>
      <c r="P309" s="261"/>
      <c r="Q309" s="305"/>
      <c r="R309" s="302"/>
      <c r="S309" s="264">
        <f t="shared" si="28"/>
        <v>0</v>
      </c>
      <c r="T309" s="302"/>
      <c r="U309" s="302"/>
      <c r="V309" s="302"/>
      <c r="W309" s="302"/>
      <c r="X309" s="302"/>
      <c r="Y309" s="302"/>
      <c r="Z309" s="302"/>
      <c r="AA309" s="302"/>
      <c r="AB309" s="303"/>
      <c r="AC309" s="304"/>
      <c r="AD309" s="305"/>
      <c r="AE309" s="302"/>
      <c r="AF309" s="302"/>
      <c r="AG309" s="302"/>
      <c r="AH309" s="302"/>
      <c r="AI309" s="303"/>
      <c r="AJ309" s="303"/>
      <c r="AK309" s="302"/>
      <c r="AL309" s="314"/>
      <c r="AM309" s="305"/>
      <c r="AN309" s="302"/>
      <c r="AO309" s="302"/>
      <c r="AP309" s="302"/>
      <c r="AQ309" s="302"/>
      <c r="AR309" s="302"/>
      <c r="AS309" s="302"/>
      <c r="AT309" s="302"/>
      <c r="AU309" s="304"/>
      <c r="AV309" s="306"/>
      <c r="AW309" s="303"/>
      <c r="AX309" s="303"/>
      <c r="AY309" s="303"/>
      <c r="AZ309" s="303"/>
      <c r="BA309" s="303"/>
      <c r="BB309" s="303"/>
      <c r="BC309" s="303"/>
      <c r="BD309" s="304"/>
      <c r="BE309" s="305"/>
      <c r="BF309" s="302"/>
      <c r="BG309" s="307"/>
      <c r="BH309" s="308"/>
      <c r="BI309" s="302"/>
      <c r="BJ309" s="307"/>
      <c r="BK309" s="308"/>
      <c r="BL309" s="302"/>
      <c r="BM309" s="303"/>
      <c r="BN309" s="315"/>
      <c r="BO309" s="250">
        <f t="shared" si="29"/>
        <v>0</v>
      </c>
    </row>
    <row r="310" spans="1:67" ht="25.5" customHeight="1" x14ac:dyDescent="0.2">
      <c r="A310" s="142">
        <f t="shared" si="30"/>
        <v>295</v>
      </c>
      <c r="B310" s="251"/>
      <c r="C310" s="252"/>
      <c r="D310" s="253"/>
      <c r="E310" s="254"/>
      <c r="F310" s="278"/>
      <c r="G310" s="256"/>
      <c r="H310" s="257"/>
      <c r="I310" s="231" t="str">
        <f t="shared" si="25"/>
        <v/>
      </c>
      <c r="J310" s="258">
        <f t="shared" si="26"/>
        <v>0</v>
      </c>
      <c r="K310" s="313"/>
      <c r="L310" s="300"/>
      <c r="M310" s="300"/>
      <c r="N310" s="235" t="str">
        <f t="shared" si="27"/>
        <v/>
      </c>
      <c r="O310" s="236" t="str">
        <f>IF('Data Set up'!$G$40="JUNE",IF(OR($N310=7,$N310=8,$N310=9),1,IF(OR($N310=10,$N310=11,$N310=12),2,IF(OR($N310=1,$N310=2,$N310=3),3,IF(OR($N310=4,$N310=5,$N310=6),4,"")))),IF(OR($N310=9,$N310=10,$N310=11),1,IF(OR($N310=12,$N310=1,$N310=2),2,IF(OR($N310=3,$N310=4,$N310=5),3,IF(OR($N310=6,$N310=7,$N310=8),4,"")))))</f>
        <v/>
      </c>
      <c r="P310" s="261"/>
      <c r="Q310" s="305"/>
      <c r="R310" s="302"/>
      <c r="S310" s="264">
        <f t="shared" si="28"/>
        <v>0</v>
      </c>
      <c r="T310" s="302"/>
      <c r="U310" s="302"/>
      <c r="V310" s="302"/>
      <c r="W310" s="302"/>
      <c r="X310" s="302"/>
      <c r="Y310" s="302"/>
      <c r="Z310" s="302"/>
      <c r="AA310" s="302"/>
      <c r="AB310" s="303"/>
      <c r="AC310" s="304"/>
      <c r="AD310" s="305"/>
      <c r="AE310" s="302"/>
      <c r="AF310" s="302"/>
      <c r="AG310" s="302"/>
      <c r="AH310" s="302"/>
      <c r="AI310" s="303"/>
      <c r="AJ310" s="303"/>
      <c r="AK310" s="302"/>
      <c r="AL310" s="314"/>
      <c r="AM310" s="305"/>
      <c r="AN310" s="302"/>
      <c r="AO310" s="302"/>
      <c r="AP310" s="302"/>
      <c r="AQ310" s="302"/>
      <c r="AR310" s="302"/>
      <c r="AS310" s="302"/>
      <c r="AT310" s="302"/>
      <c r="AU310" s="304"/>
      <c r="AV310" s="306"/>
      <c r="AW310" s="303"/>
      <c r="AX310" s="303"/>
      <c r="AY310" s="303"/>
      <c r="AZ310" s="303"/>
      <c r="BA310" s="303"/>
      <c r="BB310" s="303"/>
      <c r="BC310" s="303"/>
      <c r="BD310" s="304"/>
      <c r="BE310" s="305"/>
      <c r="BF310" s="302"/>
      <c r="BG310" s="307"/>
      <c r="BH310" s="308"/>
      <c r="BI310" s="302"/>
      <c r="BJ310" s="307"/>
      <c r="BK310" s="308"/>
      <c r="BL310" s="302"/>
      <c r="BM310" s="303"/>
      <c r="BN310" s="315"/>
      <c r="BO310" s="250">
        <f t="shared" si="29"/>
        <v>0</v>
      </c>
    </row>
    <row r="311" spans="1:67" ht="25.5" customHeight="1" x14ac:dyDescent="0.2">
      <c r="A311" s="142">
        <f t="shared" si="30"/>
        <v>296</v>
      </c>
      <c r="B311" s="251"/>
      <c r="C311" s="252"/>
      <c r="D311" s="253"/>
      <c r="E311" s="254"/>
      <c r="F311" s="278"/>
      <c r="G311" s="256"/>
      <c r="H311" s="257"/>
      <c r="I311" s="231" t="str">
        <f t="shared" si="25"/>
        <v/>
      </c>
      <c r="J311" s="258">
        <f t="shared" si="26"/>
        <v>0</v>
      </c>
      <c r="K311" s="313"/>
      <c r="L311" s="300"/>
      <c r="M311" s="300"/>
      <c r="N311" s="235" t="str">
        <f t="shared" si="27"/>
        <v/>
      </c>
      <c r="O311" s="236" t="str">
        <f>IF('Data Set up'!$G$40="JUNE",IF(OR($N311=7,$N311=8,$N311=9),1,IF(OR($N311=10,$N311=11,$N311=12),2,IF(OR($N311=1,$N311=2,$N311=3),3,IF(OR($N311=4,$N311=5,$N311=6),4,"")))),IF(OR($N311=9,$N311=10,$N311=11),1,IF(OR($N311=12,$N311=1,$N311=2),2,IF(OR($N311=3,$N311=4,$N311=5),3,IF(OR($N311=6,$N311=7,$N311=8),4,"")))))</f>
        <v/>
      </c>
      <c r="P311" s="261"/>
      <c r="Q311" s="305"/>
      <c r="R311" s="302"/>
      <c r="S311" s="264">
        <f t="shared" si="28"/>
        <v>0</v>
      </c>
      <c r="T311" s="302"/>
      <c r="U311" s="302"/>
      <c r="V311" s="302"/>
      <c r="W311" s="302"/>
      <c r="X311" s="302"/>
      <c r="Y311" s="302"/>
      <c r="Z311" s="302"/>
      <c r="AA311" s="302"/>
      <c r="AB311" s="303"/>
      <c r="AC311" s="304"/>
      <c r="AD311" s="305"/>
      <c r="AE311" s="302"/>
      <c r="AF311" s="302"/>
      <c r="AG311" s="302"/>
      <c r="AH311" s="302"/>
      <c r="AI311" s="303"/>
      <c r="AJ311" s="303"/>
      <c r="AK311" s="302"/>
      <c r="AL311" s="314"/>
      <c r="AM311" s="305"/>
      <c r="AN311" s="302"/>
      <c r="AO311" s="302"/>
      <c r="AP311" s="302"/>
      <c r="AQ311" s="302"/>
      <c r="AR311" s="302"/>
      <c r="AS311" s="302"/>
      <c r="AT311" s="302"/>
      <c r="AU311" s="304"/>
      <c r="AV311" s="306"/>
      <c r="AW311" s="303"/>
      <c r="AX311" s="303"/>
      <c r="AY311" s="303"/>
      <c r="AZ311" s="303"/>
      <c r="BA311" s="303"/>
      <c r="BB311" s="303"/>
      <c r="BC311" s="303"/>
      <c r="BD311" s="304"/>
      <c r="BE311" s="305"/>
      <c r="BF311" s="302"/>
      <c r="BG311" s="307"/>
      <c r="BH311" s="308"/>
      <c r="BI311" s="302"/>
      <c r="BJ311" s="307"/>
      <c r="BK311" s="308"/>
      <c r="BL311" s="302"/>
      <c r="BM311" s="303"/>
      <c r="BN311" s="315"/>
      <c r="BO311" s="250">
        <f t="shared" si="29"/>
        <v>0</v>
      </c>
    </row>
    <row r="312" spans="1:67" ht="25.5" customHeight="1" x14ac:dyDescent="0.2">
      <c r="A312" s="142">
        <f t="shared" si="30"/>
        <v>297</v>
      </c>
      <c r="B312" s="251"/>
      <c r="C312" s="316"/>
      <c r="D312" s="253"/>
      <c r="E312" s="254"/>
      <c r="F312" s="278"/>
      <c r="G312" s="256"/>
      <c r="H312" s="257"/>
      <c r="I312" s="231" t="str">
        <f t="shared" si="25"/>
        <v/>
      </c>
      <c r="J312" s="258">
        <f t="shared" si="26"/>
        <v>0</v>
      </c>
      <c r="K312" s="313"/>
      <c r="L312" s="300"/>
      <c r="M312" s="300"/>
      <c r="N312" s="235" t="str">
        <f t="shared" si="27"/>
        <v/>
      </c>
      <c r="O312" s="236" t="str">
        <f>IF('Data Set up'!$G$40="JUNE",IF(OR($N312=7,$N312=8,$N312=9),1,IF(OR($N312=10,$N312=11,$N312=12),2,IF(OR($N312=1,$N312=2,$N312=3),3,IF(OR($N312=4,$N312=5,$N312=6),4,"")))),IF(OR($N312=9,$N312=10,$N312=11),1,IF(OR($N312=12,$N312=1,$N312=2),2,IF(OR($N312=3,$N312=4,$N312=5),3,IF(OR($N312=6,$N312=7,$N312=8),4,"")))))</f>
        <v/>
      </c>
      <c r="P312" s="261"/>
      <c r="Q312" s="305"/>
      <c r="R312" s="302"/>
      <c r="S312" s="264">
        <f t="shared" si="28"/>
        <v>0</v>
      </c>
      <c r="T312" s="302"/>
      <c r="U312" s="302"/>
      <c r="V312" s="302"/>
      <c r="W312" s="302"/>
      <c r="X312" s="302"/>
      <c r="Y312" s="302"/>
      <c r="Z312" s="302"/>
      <c r="AA312" s="302"/>
      <c r="AB312" s="303"/>
      <c r="AC312" s="304"/>
      <c r="AD312" s="305"/>
      <c r="AE312" s="302"/>
      <c r="AF312" s="302"/>
      <c r="AG312" s="302"/>
      <c r="AH312" s="302"/>
      <c r="AI312" s="303"/>
      <c r="AJ312" s="303"/>
      <c r="AK312" s="302"/>
      <c r="AL312" s="314"/>
      <c r="AM312" s="305"/>
      <c r="AN312" s="302"/>
      <c r="AO312" s="302"/>
      <c r="AP312" s="302"/>
      <c r="AQ312" s="302"/>
      <c r="AR312" s="302"/>
      <c r="AS312" s="302"/>
      <c r="AT312" s="302"/>
      <c r="AU312" s="304"/>
      <c r="AV312" s="306"/>
      <c r="AW312" s="303"/>
      <c r="AX312" s="303"/>
      <c r="AY312" s="303"/>
      <c r="AZ312" s="303"/>
      <c r="BA312" s="303"/>
      <c r="BB312" s="303"/>
      <c r="BC312" s="303"/>
      <c r="BD312" s="304"/>
      <c r="BE312" s="305"/>
      <c r="BF312" s="302"/>
      <c r="BG312" s="307"/>
      <c r="BH312" s="308"/>
      <c r="BI312" s="302"/>
      <c r="BJ312" s="307"/>
      <c r="BK312" s="308"/>
      <c r="BL312" s="302"/>
      <c r="BM312" s="303"/>
      <c r="BN312" s="315"/>
      <c r="BO312" s="250">
        <f t="shared" si="29"/>
        <v>0</v>
      </c>
    </row>
    <row r="313" spans="1:67" ht="25.5" customHeight="1" x14ac:dyDescent="0.2">
      <c r="A313" s="142">
        <f t="shared" si="30"/>
        <v>298</v>
      </c>
      <c r="B313" s="251"/>
      <c r="C313" s="252"/>
      <c r="D313" s="253"/>
      <c r="E313" s="254"/>
      <c r="F313" s="278"/>
      <c r="G313" s="256"/>
      <c r="H313" s="257"/>
      <c r="I313" s="231" t="str">
        <f t="shared" si="25"/>
        <v/>
      </c>
      <c r="J313" s="258">
        <f t="shared" si="26"/>
        <v>0</v>
      </c>
      <c r="K313" s="313"/>
      <c r="L313" s="300"/>
      <c r="M313" s="300"/>
      <c r="N313" s="235" t="str">
        <f t="shared" si="27"/>
        <v/>
      </c>
      <c r="O313" s="236" t="str">
        <f>IF('Data Set up'!$G$40="JUNE",IF(OR($N313=7,$N313=8,$N313=9),1,IF(OR($N313=10,$N313=11,$N313=12),2,IF(OR($N313=1,$N313=2,$N313=3),3,IF(OR($N313=4,$N313=5,$N313=6),4,"")))),IF(OR($N313=9,$N313=10,$N313=11),1,IF(OR($N313=12,$N313=1,$N313=2),2,IF(OR($N313=3,$N313=4,$N313=5),3,IF(OR($N313=6,$N313=7,$N313=8),4,"")))))</f>
        <v/>
      </c>
      <c r="P313" s="261"/>
      <c r="Q313" s="305"/>
      <c r="R313" s="302"/>
      <c r="S313" s="264">
        <f t="shared" si="28"/>
        <v>0</v>
      </c>
      <c r="T313" s="302"/>
      <c r="U313" s="302"/>
      <c r="V313" s="302"/>
      <c r="W313" s="302"/>
      <c r="X313" s="302"/>
      <c r="Y313" s="302"/>
      <c r="Z313" s="302"/>
      <c r="AA313" s="302"/>
      <c r="AB313" s="303"/>
      <c r="AC313" s="304"/>
      <c r="AD313" s="305"/>
      <c r="AE313" s="302"/>
      <c r="AF313" s="302"/>
      <c r="AG313" s="302"/>
      <c r="AH313" s="302"/>
      <c r="AI313" s="303"/>
      <c r="AJ313" s="303"/>
      <c r="AK313" s="302"/>
      <c r="AL313" s="314"/>
      <c r="AM313" s="305"/>
      <c r="AN313" s="302"/>
      <c r="AO313" s="302"/>
      <c r="AP313" s="302"/>
      <c r="AQ313" s="302"/>
      <c r="AR313" s="302"/>
      <c r="AS313" s="302"/>
      <c r="AT313" s="302"/>
      <c r="AU313" s="304"/>
      <c r="AV313" s="306"/>
      <c r="AW313" s="303"/>
      <c r="AX313" s="303"/>
      <c r="AY313" s="303"/>
      <c r="AZ313" s="303"/>
      <c r="BA313" s="303"/>
      <c r="BB313" s="303"/>
      <c r="BC313" s="303"/>
      <c r="BD313" s="304"/>
      <c r="BE313" s="305"/>
      <c r="BF313" s="302"/>
      <c r="BG313" s="307"/>
      <c r="BH313" s="308"/>
      <c r="BI313" s="302"/>
      <c r="BJ313" s="307"/>
      <c r="BK313" s="308"/>
      <c r="BL313" s="302"/>
      <c r="BM313" s="303"/>
      <c r="BN313" s="315"/>
      <c r="BO313" s="250">
        <f t="shared" si="29"/>
        <v>0</v>
      </c>
    </row>
    <row r="314" spans="1:67" ht="25.5" customHeight="1" x14ac:dyDescent="0.2">
      <c r="A314" s="142">
        <f t="shared" si="30"/>
        <v>299</v>
      </c>
      <c r="B314" s="251"/>
      <c r="C314" s="252"/>
      <c r="D314" s="253"/>
      <c r="E314" s="254"/>
      <c r="F314" s="278"/>
      <c r="G314" s="256"/>
      <c r="H314" s="257"/>
      <c r="I314" s="231" t="str">
        <f t="shared" si="25"/>
        <v/>
      </c>
      <c r="J314" s="258">
        <f t="shared" si="26"/>
        <v>0</v>
      </c>
      <c r="K314" s="313"/>
      <c r="L314" s="300"/>
      <c r="M314" s="300"/>
      <c r="N314" s="235" t="str">
        <f t="shared" si="27"/>
        <v/>
      </c>
      <c r="O314" s="236" t="str">
        <f>IF('Data Set up'!$G$40="JUNE",IF(OR($N314=7,$N314=8,$N314=9),1,IF(OR($N314=10,$N314=11,$N314=12),2,IF(OR($N314=1,$N314=2,$N314=3),3,IF(OR($N314=4,$N314=5,$N314=6),4,"")))),IF(OR($N314=9,$N314=10,$N314=11),1,IF(OR($N314=12,$N314=1,$N314=2),2,IF(OR($N314=3,$N314=4,$N314=5),3,IF(OR($N314=6,$N314=7,$N314=8),4,"")))))</f>
        <v/>
      </c>
      <c r="P314" s="261"/>
      <c r="Q314" s="305"/>
      <c r="R314" s="302"/>
      <c r="S314" s="264">
        <f t="shared" si="28"/>
        <v>0</v>
      </c>
      <c r="T314" s="302"/>
      <c r="U314" s="302"/>
      <c r="V314" s="302"/>
      <c r="W314" s="302"/>
      <c r="X314" s="302"/>
      <c r="Y314" s="302"/>
      <c r="Z314" s="302"/>
      <c r="AA314" s="302"/>
      <c r="AB314" s="303"/>
      <c r="AC314" s="304"/>
      <c r="AD314" s="305"/>
      <c r="AE314" s="302"/>
      <c r="AF314" s="302"/>
      <c r="AG314" s="302"/>
      <c r="AH314" s="302"/>
      <c r="AI314" s="303"/>
      <c r="AJ314" s="303"/>
      <c r="AK314" s="302"/>
      <c r="AL314" s="314"/>
      <c r="AM314" s="305"/>
      <c r="AN314" s="302"/>
      <c r="AO314" s="302"/>
      <c r="AP314" s="302"/>
      <c r="AQ314" s="302"/>
      <c r="AR314" s="302"/>
      <c r="AS314" s="302"/>
      <c r="AT314" s="302"/>
      <c r="AU314" s="304"/>
      <c r="AV314" s="306"/>
      <c r="AW314" s="303"/>
      <c r="AX314" s="303"/>
      <c r="AY314" s="303"/>
      <c r="AZ314" s="303"/>
      <c r="BA314" s="303"/>
      <c r="BB314" s="303"/>
      <c r="BC314" s="303"/>
      <c r="BD314" s="304"/>
      <c r="BE314" s="305"/>
      <c r="BF314" s="302"/>
      <c r="BG314" s="307"/>
      <c r="BH314" s="308"/>
      <c r="BI314" s="302"/>
      <c r="BJ314" s="307"/>
      <c r="BK314" s="308"/>
      <c r="BL314" s="302"/>
      <c r="BM314" s="303"/>
      <c r="BN314" s="315"/>
      <c r="BO314" s="250">
        <f t="shared" si="29"/>
        <v>0</v>
      </c>
    </row>
    <row r="315" spans="1:67" ht="25.5" customHeight="1" x14ac:dyDescent="0.2">
      <c r="A315" s="142">
        <f t="shared" si="30"/>
        <v>300</v>
      </c>
      <c r="B315" s="251"/>
      <c r="C315" s="252"/>
      <c r="D315" s="253"/>
      <c r="E315" s="254"/>
      <c r="F315" s="278"/>
      <c r="G315" s="256"/>
      <c r="H315" s="257"/>
      <c r="I315" s="231" t="str">
        <f t="shared" si="25"/>
        <v/>
      </c>
      <c r="J315" s="258">
        <f t="shared" si="26"/>
        <v>0</v>
      </c>
      <c r="K315" s="313"/>
      <c r="L315" s="300"/>
      <c r="M315" s="300"/>
      <c r="N315" s="235" t="str">
        <f t="shared" si="27"/>
        <v/>
      </c>
      <c r="O315" s="236" t="str">
        <f>IF('Data Set up'!$G$40="JUNE",IF(OR($N315=7,$N315=8,$N315=9),1,IF(OR($N315=10,$N315=11,$N315=12),2,IF(OR($N315=1,$N315=2,$N315=3),3,IF(OR($N315=4,$N315=5,$N315=6),4,"")))),IF(OR($N315=9,$N315=10,$N315=11),1,IF(OR($N315=12,$N315=1,$N315=2),2,IF(OR($N315=3,$N315=4,$N315=5),3,IF(OR($N315=6,$N315=7,$N315=8),4,"")))))</f>
        <v/>
      </c>
      <c r="P315" s="261"/>
      <c r="Q315" s="305"/>
      <c r="R315" s="302"/>
      <c r="S315" s="264">
        <f t="shared" si="28"/>
        <v>0</v>
      </c>
      <c r="T315" s="302"/>
      <c r="U315" s="302"/>
      <c r="V315" s="302"/>
      <c r="W315" s="302"/>
      <c r="X315" s="302"/>
      <c r="Y315" s="302"/>
      <c r="Z315" s="302"/>
      <c r="AA315" s="302"/>
      <c r="AB315" s="303"/>
      <c r="AC315" s="304"/>
      <c r="AD315" s="305"/>
      <c r="AE315" s="302"/>
      <c r="AF315" s="302"/>
      <c r="AG315" s="302"/>
      <c r="AH315" s="302"/>
      <c r="AI315" s="303"/>
      <c r="AJ315" s="303"/>
      <c r="AK315" s="302"/>
      <c r="AL315" s="314"/>
      <c r="AM315" s="305"/>
      <c r="AN315" s="302"/>
      <c r="AO315" s="302"/>
      <c r="AP315" s="302"/>
      <c r="AQ315" s="302"/>
      <c r="AR315" s="302"/>
      <c r="AS315" s="302"/>
      <c r="AT315" s="302"/>
      <c r="AU315" s="304"/>
      <c r="AV315" s="306"/>
      <c r="AW315" s="303"/>
      <c r="AX315" s="303"/>
      <c r="AY315" s="303"/>
      <c r="AZ315" s="303"/>
      <c r="BA315" s="303"/>
      <c r="BB315" s="303"/>
      <c r="BC315" s="303"/>
      <c r="BD315" s="304"/>
      <c r="BE315" s="305"/>
      <c r="BF315" s="302"/>
      <c r="BG315" s="307"/>
      <c r="BH315" s="308"/>
      <c r="BI315" s="302"/>
      <c r="BJ315" s="307"/>
      <c r="BK315" s="308"/>
      <c r="BL315" s="302"/>
      <c r="BM315" s="303"/>
      <c r="BN315" s="315"/>
      <c r="BO315" s="250">
        <f t="shared" si="29"/>
        <v>0</v>
      </c>
    </row>
    <row r="316" spans="1:67" ht="25.5" customHeight="1" x14ac:dyDescent="0.2">
      <c r="A316" s="142">
        <f t="shared" si="30"/>
        <v>301</v>
      </c>
      <c r="B316" s="251"/>
      <c r="C316" s="252"/>
      <c r="D316" s="253"/>
      <c r="E316" s="254"/>
      <c r="F316" s="278"/>
      <c r="G316" s="256"/>
      <c r="H316" s="257"/>
      <c r="I316" s="231" t="str">
        <f t="shared" si="25"/>
        <v/>
      </c>
      <c r="J316" s="258">
        <f t="shared" si="26"/>
        <v>0</v>
      </c>
      <c r="K316" s="313"/>
      <c r="L316" s="300"/>
      <c r="M316" s="300"/>
      <c r="N316" s="235" t="str">
        <f t="shared" si="27"/>
        <v/>
      </c>
      <c r="O316" s="236" t="str">
        <f>IF('Data Set up'!$G$40="JUNE",IF(OR($N316=7,$N316=8,$N316=9),1,IF(OR($N316=10,$N316=11,$N316=12),2,IF(OR($N316=1,$N316=2,$N316=3),3,IF(OR($N316=4,$N316=5,$N316=6),4,"")))),IF(OR($N316=9,$N316=10,$N316=11),1,IF(OR($N316=12,$N316=1,$N316=2),2,IF(OR($N316=3,$N316=4,$N316=5),3,IF(OR($N316=6,$N316=7,$N316=8),4,"")))))</f>
        <v/>
      </c>
      <c r="P316" s="261"/>
      <c r="Q316" s="305"/>
      <c r="R316" s="302"/>
      <c r="S316" s="264">
        <f t="shared" si="28"/>
        <v>0</v>
      </c>
      <c r="T316" s="302"/>
      <c r="U316" s="302"/>
      <c r="V316" s="302"/>
      <c r="W316" s="302"/>
      <c r="X316" s="302"/>
      <c r="Y316" s="302"/>
      <c r="Z316" s="302"/>
      <c r="AA316" s="302"/>
      <c r="AB316" s="303"/>
      <c r="AC316" s="304"/>
      <c r="AD316" s="305"/>
      <c r="AE316" s="302"/>
      <c r="AF316" s="302"/>
      <c r="AG316" s="302"/>
      <c r="AH316" s="302"/>
      <c r="AI316" s="303"/>
      <c r="AJ316" s="303"/>
      <c r="AK316" s="302"/>
      <c r="AL316" s="314"/>
      <c r="AM316" s="305"/>
      <c r="AN316" s="302"/>
      <c r="AO316" s="302"/>
      <c r="AP316" s="302"/>
      <c r="AQ316" s="302"/>
      <c r="AR316" s="302"/>
      <c r="AS316" s="302"/>
      <c r="AT316" s="302"/>
      <c r="AU316" s="304"/>
      <c r="AV316" s="306"/>
      <c r="AW316" s="303"/>
      <c r="AX316" s="303"/>
      <c r="AY316" s="303"/>
      <c r="AZ316" s="303"/>
      <c r="BA316" s="303"/>
      <c r="BB316" s="303"/>
      <c r="BC316" s="303"/>
      <c r="BD316" s="304"/>
      <c r="BE316" s="305"/>
      <c r="BF316" s="302"/>
      <c r="BG316" s="307"/>
      <c r="BH316" s="308"/>
      <c r="BI316" s="302"/>
      <c r="BJ316" s="307"/>
      <c r="BK316" s="308"/>
      <c r="BL316" s="302"/>
      <c r="BM316" s="303"/>
      <c r="BN316" s="315"/>
      <c r="BO316" s="250">
        <f t="shared" si="29"/>
        <v>0</v>
      </c>
    </row>
    <row r="317" spans="1:67" ht="25.5" customHeight="1" x14ac:dyDescent="0.2">
      <c r="A317" s="142">
        <f t="shared" si="30"/>
        <v>302</v>
      </c>
      <c r="B317" s="251"/>
      <c r="C317" s="252"/>
      <c r="D317" s="253"/>
      <c r="E317" s="254"/>
      <c r="F317" s="278"/>
      <c r="G317" s="256"/>
      <c r="H317" s="257"/>
      <c r="I317" s="231" t="str">
        <f t="shared" si="25"/>
        <v/>
      </c>
      <c r="J317" s="258">
        <f t="shared" si="26"/>
        <v>0</v>
      </c>
      <c r="K317" s="313"/>
      <c r="L317" s="300"/>
      <c r="M317" s="300"/>
      <c r="N317" s="235" t="str">
        <f t="shared" si="27"/>
        <v/>
      </c>
      <c r="O317" s="236" t="str">
        <f>IF('Data Set up'!$G$40="JUNE",IF(OR($N317=7,$N317=8,$N317=9),1,IF(OR($N317=10,$N317=11,$N317=12),2,IF(OR($N317=1,$N317=2,$N317=3),3,IF(OR($N317=4,$N317=5,$N317=6),4,"")))),IF(OR($N317=9,$N317=10,$N317=11),1,IF(OR($N317=12,$N317=1,$N317=2),2,IF(OR($N317=3,$N317=4,$N317=5),3,IF(OR($N317=6,$N317=7,$N317=8),4,"")))))</f>
        <v/>
      </c>
      <c r="P317" s="261"/>
      <c r="Q317" s="305"/>
      <c r="R317" s="302"/>
      <c r="S317" s="264">
        <f t="shared" si="28"/>
        <v>0</v>
      </c>
      <c r="T317" s="302"/>
      <c r="U317" s="302"/>
      <c r="V317" s="302"/>
      <c r="W317" s="302"/>
      <c r="X317" s="302"/>
      <c r="Y317" s="302"/>
      <c r="Z317" s="302"/>
      <c r="AA317" s="302"/>
      <c r="AB317" s="303"/>
      <c r="AC317" s="304"/>
      <c r="AD317" s="305"/>
      <c r="AE317" s="302"/>
      <c r="AF317" s="302"/>
      <c r="AG317" s="302"/>
      <c r="AH317" s="302"/>
      <c r="AI317" s="303"/>
      <c r="AJ317" s="303"/>
      <c r="AK317" s="302"/>
      <c r="AL317" s="314"/>
      <c r="AM317" s="305"/>
      <c r="AN317" s="302"/>
      <c r="AO317" s="302"/>
      <c r="AP317" s="302"/>
      <c r="AQ317" s="302"/>
      <c r="AR317" s="302"/>
      <c r="AS317" s="302"/>
      <c r="AT317" s="302"/>
      <c r="AU317" s="304"/>
      <c r="AV317" s="306"/>
      <c r="AW317" s="303"/>
      <c r="AX317" s="303"/>
      <c r="AY317" s="303"/>
      <c r="AZ317" s="303"/>
      <c r="BA317" s="303"/>
      <c r="BB317" s="303"/>
      <c r="BC317" s="303"/>
      <c r="BD317" s="304"/>
      <c r="BE317" s="305"/>
      <c r="BF317" s="302"/>
      <c r="BG317" s="307"/>
      <c r="BH317" s="308"/>
      <c r="BI317" s="302"/>
      <c r="BJ317" s="307"/>
      <c r="BK317" s="308"/>
      <c r="BL317" s="302"/>
      <c r="BM317" s="303"/>
      <c r="BN317" s="315"/>
      <c r="BO317" s="250">
        <f t="shared" si="29"/>
        <v>0</v>
      </c>
    </row>
    <row r="318" spans="1:67" ht="25.5" customHeight="1" x14ac:dyDescent="0.2">
      <c r="A318" s="142">
        <f t="shared" si="30"/>
        <v>303</v>
      </c>
      <c r="B318" s="251"/>
      <c r="C318" s="252"/>
      <c r="D318" s="253"/>
      <c r="E318" s="254"/>
      <c r="F318" s="278"/>
      <c r="G318" s="256"/>
      <c r="H318" s="257"/>
      <c r="I318" s="231" t="str">
        <f t="shared" si="25"/>
        <v/>
      </c>
      <c r="J318" s="258">
        <f t="shared" si="26"/>
        <v>0</v>
      </c>
      <c r="K318" s="313"/>
      <c r="L318" s="300"/>
      <c r="M318" s="300"/>
      <c r="N318" s="235" t="str">
        <f t="shared" si="27"/>
        <v/>
      </c>
      <c r="O318" s="236" t="str">
        <f>IF('Data Set up'!$G$40="JUNE",IF(OR($N318=7,$N318=8,$N318=9),1,IF(OR($N318=10,$N318=11,$N318=12),2,IF(OR($N318=1,$N318=2,$N318=3),3,IF(OR($N318=4,$N318=5,$N318=6),4,"")))),IF(OR($N318=9,$N318=10,$N318=11),1,IF(OR($N318=12,$N318=1,$N318=2),2,IF(OR($N318=3,$N318=4,$N318=5),3,IF(OR($N318=6,$N318=7,$N318=8),4,"")))))</f>
        <v/>
      </c>
      <c r="P318" s="261"/>
      <c r="Q318" s="305"/>
      <c r="R318" s="302"/>
      <c r="S318" s="264">
        <f t="shared" si="28"/>
        <v>0</v>
      </c>
      <c r="T318" s="302"/>
      <c r="U318" s="302"/>
      <c r="V318" s="302"/>
      <c r="W318" s="302"/>
      <c r="X318" s="302"/>
      <c r="Y318" s="302"/>
      <c r="Z318" s="302"/>
      <c r="AA318" s="302"/>
      <c r="AB318" s="303"/>
      <c r="AC318" s="304"/>
      <c r="AD318" s="305"/>
      <c r="AE318" s="302"/>
      <c r="AF318" s="302"/>
      <c r="AG318" s="302"/>
      <c r="AH318" s="302"/>
      <c r="AI318" s="303"/>
      <c r="AJ318" s="303"/>
      <c r="AK318" s="302"/>
      <c r="AL318" s="314"/>
      <c r="AM318" s="305"/>
      <c r="AN318" s="302"/>
      <c r="AO318" s="302"/>
      <c r="AP318" s="302"/>
      <c r="AQ318" s="302"/>
      <c r="AR318" s="302"/>
      <c r="AS318" s="302"/>
      <c r="AT318" s="302"/>
      <c r="AU318" s="304"/>
      <c r="AV318" s="306"/>
      <c r="AW318" s="303"/>
      <c r="AX318" s="303"/>
      <c r="AY318" s="303"/>
      <c r="AZ318" s="303"/>
      <c r="BA318" s="303"/>
      <c r="BB318" s="303"/>
      <c r="BC318" s="303"/>
      <c r="BD318" s="304"/>
      <c r="BE318" s="305"/>
      <c r="BF318" s="302"/>
      <c r="BG318" s="307"/>
      <c r="BH318" s="308"/>
      <c r="BI318" s="302"/>
      <c r="BJ318" s="307"/>
      <c r="BK318" s="308"/>
      <c r="BL318" s="302"/>
      <c r="BM318" s="303"/>
      <c r="BN318" s="315"/>
      <c r="BO318" s="250">
        <f t="shared" si="29"/>
        <v>0</v>
      </c>
    </row>
    <row r="319" spans="1:67" ht="25.5" customHeight="1" x14ac:dyDescent="0.2">
      <c r="A319" s="142">
        <f t="shared" si="30"/>
        <v>304</v>
      </c>
      <c r="B319" s="251"/>
      <c r="C319" s="252"/>
      <c r="D319" s="253"/>
      <c r="E319" s="254"/>
      <c r="F319" s="278"/>
      <c r="G319" s="256"/>
      <c r="H319" s="257"/>
      <c r="I319" s="231" t="str">
        <f t="shared" si="25"/>
        <v/>
      </c>
      <c r="J319" s="258">
        <f t="shared" si="26"/>
        <v>0</v>
      </c>
      <c r="K319" s="313"/>
      <c r="L319" s="300"/>
      <c r="M319" s="300"/>
      <c r="N319" s="235" t="str">
        <f t="shared" si="27"/>
        <v/>
      </c>
      <c r="O319" s="236" t="str">
        <f>IF('Data Set up'!$G$40="JUNE",IF(OR($N319=7,$N319=8,$N319=9),1,IF(OR($N319=10,$N319=11,$N319=12),2,IF(OR($N319=1,$N319=2,$N319=3),3,IF(OR($N319=4,$N319=5,$N319=6),4,"")))),IF(OR($N319=9,$N319=10,$N319=11),1,IF(OR($N319=12,$N319=1,$N319=2),2,IF(OR($N319=3,$N319=4,$N319=5),3,IF(OR($N319=6,$N319=7,$N319=8),4,"")))))</f>
        <v/>
      </c>
      <c r="P319" s="261"/>
      <c r="Q319" s="305"/>
      <c r="R319" s="302"/>
      <c r="S319" s="264">
        <f t="shared" si="28"/>
        <v>0</v>
      </c>
      <c r="T319" s="302"/>
      <c r="U319" s="302"/>
      <c r="V319" s="302"/>
      <c r="W319" s="302"/>
      <c r="X319" s="302"/>
      <c r="Y319" s="302"/>
      <c r="Z319" s="302"/>
      <c r="AA319" s="302"/>
      <c r="AB319" s="303"/>
      <c r="AC319" s="304"/>
      <c r="AD319" s="305"/>
      <c r="AE319" s="302"/>
      <c r="AF319" s="302"/>
      <c r="AG319" s="302"/>
      <c r="AH319" s="302"/>
      <c r="AI319" s="303"/>
      <c r="AJ319" s="303"/>
      <c r="AK319" s="302"/>
      <c r="AL319" s="314"/>
      <c r="AM319" s="305"/>
      <c r="AN319" s="302"/>
      <c r="AO319" s="302"/>
      <c r="AP319" s="302"/>
      <c r="AQ319" s="302"/>
      <c r="AR319" s="302"/>
      <c r="AS319" s="302"/>
      <c r="AT319" s="302"/>
      <c r="AU319" s="304"/>
      <c r="AV319" s="306"/>
      <c r="AW319" s="303"/>
      <c r="AX319" s="303"/>
      <c r="AY319" s="303"/>
      <c r="AZ319" s="303"/>
      <c r="BA319" s="303"/>
      <c r="BB319" s="303"/>
      <c r="BC319" s="303"/>
      <c r="BD319" s="304"/>
      <c r="BE319" s="305"/>
      <c r="BF319" s="302"/>
      <c r="BG319" s="307"/>
      <c r="BH319" s="308"/>
      <c r="BI319" s="302"/>
      <c r="BJ319" s="307"/>
      <c r="BK319" s="308"/>
      <c r="BL319" s="302"/>
      <c r="BM319" s="303"/>
      <c r="BN319" s="315"/>
      <c r="BO319" s="250">
        <f t="shared" si="29"/>
        <v>0</v>
      </c>
    </row>
    <row r="320" spans="1:67" ht="25.5" customHeight="1" x14ac:dyDescent="0.2">
      <c r="A320" s="142">
        <f t="shared" si="30"/>
        <v>305</v>
      </c>
      <c r="B320" s="251"/>
      <c r="C320" s="252"/>
      <c r="D320" s="253"/>
      <c r="E320" s="254"/>
      <c r="F320" s="278"/>
      <c r="G320" s="256"/>
      <c r="H320" s="257"/>
      <c r="I320" s="231" t="str">
        <f t="shared" si="25"/>
        <v/>
      </c>
      <c r="J320" s="258">
        <f t="shared" si="26"/>
        <v>0</v>
      </c>
      <c r="K320" s="313"/>
      <c r="L320" s="300"/>
      <c r="M320" s="300"/>
      <c r="N320" s="235" t="str">
        <f t="shared" si="27"/>
        <v/>
      </c>
      <c r="O320" s="236" t="str">
        <f>IF('Data Set up'!$G$40="JUNE",IF(OR($N320=7,$N320=8,$N320=9),1,IF(OR($N320=10,$N320=11,$N320=12),2,IF(OR($N320=1,$N320=2,$N320=3),3,IF(OR($N320=4,$N320=5,$N320=6),4,"")))),IF(OR($N320=9,$N320=10,$N320=11),1,IF(OR($N320=12,$N320=1,$N320=2),2,IF(OR($N320=3,$N320=4,$N320=5),3,IF(OR($N320=6,$N320=7,$N320=8),4,"")))))</f>
        <v/>
      </c>
      <c r="P320" s="261"/>
      <c r="Q320" s="305"/>
      <c r="R320" s="302"/>
      <c r="S320" s="264">
        <f t="shared" si="28"/>
        <v>0</v>
      </c>
      <c r="T320" s="302"/>
      <c r="U320" s="302"/>
      <c r="V320" s="302"/>
      <c r="W320" s="302"/>
      <c r="X320" s="302"/>
      <c r="Y320" s="302"/>
      <c r="Z320" s="302"/>
      <c r="AA320" s="302"/>
      <c r="AB320" s="303"/>
      <c r="AC320" s="304"/>
      <c r="AD320" s="305"/>
      <c r="AE320" s="302"/>
      <c r="AF320" s="302"/>
      <c r="AG320" s="302"/>
      <c r="AH320" s="302"/>
      <c r="AI320" s="303"/>
      <c r="AJ320" s="303"/>
      <c r="AK320" s="302"/>
      <c r="AL320" s="314"/>
      <c r="AM320" s="305"/>
      <c r="AN320" s="302"/>
      <c r="AO320" s="302"/>
      <c r="AP320" s="302"/>
      <c r="AQ320" s="302"/>
      <c r="AR320" s="302"/>
      <c r="AS320" s="302"/>
      <c r="AT320" s="302"/>
      <c r="AU320" s="304"/>
      <c r="AV320" s="306"/>
      <c r="AW320" s="303"/>
      <c r="AX320" s="303"/>
      <c r="AY320" s="303"/>
      <c r="AZ320" s="303"/>
      <c r="BA320" s="303"/>
      <c r="BB320" s="303"/>
      <c r="BC320" s="303"/>
      <c r="BD320" s="304"/>
      <c r="BE320" s="305"/>
      <c r="BF320" s="302"/>
      <c r="BG320" s="307"/>
      <c r="BH320" s="308"/>
      <c r="BI320" s="302"/>
      <c r="BJ320" s="307"/>
      <c r="BK320" s="308"/>
      <c r="BL320" s="302"/>
      <c r="BM320" s="303"/>
      <c r="BN320" s="315"/>
      <c r="BO320" s="250">
        <f t="shared" si="29"/>
        <v>0</v>
      </c>
    </row>
    <row r="321" spans="1:67" ht="25.5" customHeight="1" x14ac:dyDescent="0.2">
      <c r="A321" s="142">
        <f t="shared" si="30"/>
        <v>306</v>
      </c>
      <c r="B321" s="251"/>
      <c r="C321" s="252"/>
      <c r="D321" s="253"/>
      <c r="E321" s="254"/>
      <c r="F321" s="278"/>
      <c r="G321" s="256"/>
      <c r="H321" s="257"/>
      <c r="I321" s="231" t="str">
        <f t="shared" si="25"/>
        <v/>
      </c>
      <c r="J321" s="258">
        <f t="shared" si="26"/>
        <v>0</v>
      </c>
      <c r="K321" s="313"/>
      <c r="L321" s="300"/>
      <c r="M321" s="300"/>
      <c r="N321" s="235" t="str">
        <f t="shared" si="27"/>
        <v/>
      </c>
      <c r="O321" s="236" t="str">
        <f>IF('Data Set up'!$G$40="JUNE",IF(OR($N321=7,$N321=8,$N321=9),1,IF(OR($N321=10,$N321=11,$N321=12),2,IF(OR($N321=1,$N321=2,$N321=3),3,IF(OR($N321=4,$N321=5,$N321=6),4,"")))),IF(OR($N321=9,$N321=10,$N321=11),1,IF(OR($N321=12,$N321=1,$N321=2),2,IF(OR($N321=3,$N321=4,$N321=5),3,IF(OR($N321=6,$N321=7,$N321=8),4,"")))))</f>
        <v/>
      </c>
      <c r="P321" s="261"/>
      <c r="Q321" s="305"/>
      <c r="R321" s="302"/>
      <c r="S321" s="264">
        <f t="shared" si="28"/>
        <v>0</v>
      </c>
      <c r="T321" s="302"/>
      <c r="U321" s="302"/>
      <c r="V321" s="302"/>
      <c r="W321" s="302"/>
      <c r="X321" s="302"/>
      <c r="Y321" s="302"/>
      <c r="Z321" s="302"/>
      <c r="AA321" s="302"/>
      <c r="AB321" s="303"/>
      <c r="AC321" s="304"/>
      <c r="AD321" s="305"/>
      <c r="AE321" s="302"/>
      <c r="AF321" s="302"/>
      <c r="AG321" s="302"/>
      <c r="AH321" s="302"/>
      <c r="AI321" s="303"/>
      <c r="AJ321" s="303"/>
      <c r="AK321" s="302"/>
      <c r="AL321" s="314"/>
      <c r="AM321" s="305"/>
      <c r="AN321" s="302"/>
      <c r="AO321" s="302"/>
      <c r="AP321" s="302"/>
      <c r="AQ321" s="302"/>
      <c r="AR321" s="302"/>
      <c r="AS321" s="302"/>
      <c r="AT321" s="302"/>
      <c r="AU321" s="304"/>
      <c r="AV321" s="306"/>
      <c r="AW321" s="303"/>
      <c r="AX321" s="303"/>
      <c r="AY321" s="303"/>
      <c r="AZ321" s="303"/>
      <c r="BA321" s="303"/>
      <c r="BB321" s="303"/>
      <c r="BC321" s="303"/>
      <c r="BD321" s="304"/>
      <c r="BE321" s="305"/>
      <c r="BF321" s="302"/>
      <c r="BG321" s="307"/>
      <c r="BH321" s="308"/>
      <c r="BI321" s="302"/>
      <c r="BJ321" s="307"/>
      <c r="BK321" s="308"/>
      <c r="BL321" s="302"/>
      <c r="BM321" s="303"/>
      <c r="BN321" s="315"/>
      <c r="BO321" s="250">
        <f t="shared" si="29"/>
        <v>0</v>
      </c>
    </row>
    <row r="322" spans="1:67" ht="25.5" customHeight="1" x14ac:dyDescent="0.2">
      <c r="A322" s="142">
        <f t="shared" si="30"/>
        <v>307</v>
      </c>
      <c r="B322" s="251"/>
      <c r="C322" s="252"/>
      <c r="D322" s="253"/>
      <c r="E322" s="254"/>
      <c r="F322" s="278"/>
      <c r="G322" s="256"/>
      <c r="H322" s="257"/>
      <c r="I322" s="231" t="str">
        <f t="shared" si="25"/>
        <v/>
      </c>
      <c r="J322" s="258">
        <f t="shared" si="26"/>
        <v>0</v>
      </c>
      <c r="K322" s="313"/>
      <c r="L322" s="300"/>
      <c r="M322" s="300"/>
      <c r="N322" s="235" t="str">
        <f t="shared" si="27"/>
        <v/>
      </c>
      <c r="O322" s="236" t="str">
        <f>IF('Data Set up'!$G$40="JUNE",IF(OR($N322=7,$N322=8,$N322=9),1,IF(OR($N322=10,$N322=11,$N322=12),2,IF(OR($N322=1,$N322=2,$N322=3),3,IF(OR($N322=4,$N322=5,$N322=6),4,"")))),IF(OR($N322=9,$N322=10,$N322=11),1,IF(OR($N322=12,$N322=1,$N322=2),2,IF(OR($N322=3,$N322=4,$N322=5),3,IF(OR($N322=6,$N322=7,$N322=8),4,"")))))</f>
        <v/>
      </c>
      <c r="P322" s="261"/>
      <c r="Q322" s="305"/>
      <c r="R322" s="302"/>
      <c r="S322" s="264">
        <f t="shared" si="28"/>
        <v>0</v>
      </c>
      <c r="T322" s="302"/>
      <c r="U322" s="302"/>
      <c r="V322" s="302"/>
      <c r="W322" s="302"/>
      <c r="X322" s="302"/>
      <c r="Y322" s="302"/>
      <c r="Z322" s="302"/>
      <c r="AA322" s="302"/>
      <c r="AB322" s="303"/>
      <c r="AC322" s="304"/>
      <c r="AD322" s="305"/>
      <c r="AE322" s="302"/>
      <c r="AF322" s="302"/>
      <c r="AG322" s="302"/>
      <c r="AH322" s="302"/>
      <c r="AI322" s="303"/>
      <c r="AJ322" s="303"/>
      <c r="AK322" s="302"/>
      <c r="AL322" s="314"/>
      <c r="AM322" s="305"/>
      <c r="AN322" s="302"/>
      <c r="AO322" s="302"/>
      <c r="AP322" s="302"/>
      <c r="AQ322" s="302"/>
      <c r="AR322" s="302"/>
      <c r="AS322" s="302"/>
      <c r="AT322" s="302"/>
      <c r="AU322" s="304"/>
      <c r="AV322" s="306"/>
      <c r="AW322" s="303"/>
      <c r="AX322" s="303"/>
      <c r="AY322" s="303"/>
      <c r="AZ322" s="303"/>
      <c r="BA322" s="303"/>
      <c r="BB322" s="303"/>
      <c r="BC322" s="303"/>
      <c r="BD322" s="304"/>
      <c r="BE322" s="305"/>
      <c r="BF322" s="302"/>
      <c r="BG322" s="307"/>
      <c r="BH322" s="308"/>
      <c r="BI322" s="302"/>
      <c r="BJ322" s="307"/>
      <c r="BK322" s="308"/>
      <c r="BL322" s="302"/>
      <c r="BM322" s="303"/>
      <c r="BN322" s="315"/>
      <c r="BO322" s="250">
        <f t="shared" si="29"/>
        <v>0</v>
      </c>
    </row>
    <row r="323" spans="1:67" ht="25.5" customHeight="1" x14ac:dyDescent="0.2">
      <c r="A323" s="142">
        <f t="shared" si="30"/>
        <v>308</v>
      </c>
      <c r="B323" s="251"/>
      <c r="C323" s="252"/>
      <c r="D323" s="253"/>
      <c r="E323" s="254"/>
      <c r="F323" s="278"/>
      <c r="G323" s="256"/>
      <c r="H323" s="257"/>
      <c r="I323" s="231" t="str">
        <f t="shared" si="25"/>
        <v/>
      </c>
      <c r="J323" s="258">
        <f t="shared" si="26"/>
        <v>0</v>
      </c>
      <c r="K323" s="313"/>
      <c r="L323" s="300"/>
      <c r="M323" s="300"/>
      <c r="N323" s="235" t="str">
        <f t="shared" si="27"/>
        <v/>
      </c>
      <c r="O323" s="236" t="str">
        <f>IF('Data Set up'!$G$40="JUNE",IF(OR($N323=7,$N323=8,$N323=9),1,IF(OR($N323=10,$N323=11,$N323=12),2,IF(OR($N323=1,$N323=2,$N323=3),3,IF(OR($N323=4,$N323=5,$N323=6),4,"")))),IF(OR($N323=9,$N323=10,$N323=11),1,IF(OR($N323=12,$N323=1,$N323=2),2,IF(OR($N323=3,$N323=4,$N323=5),3,IF(OR($N323=6,$N323=7,$N323=8),4,"")))))</f>
        <v/>
      </c>
      <c r="P323" s="261"/>
      <c r="Q323" s="305"/>
      <c r="R323" s="302"/>
      <c r="S323" s="264">
        <f t="shared" si="28"/>
        <v>0</v>
      </c>
      <c r="T323" s="302"/>
      <c r="U323" s="302"/>
      <c r="V323" s="302"/>
      <c r="W323" s="302"/>
      <c r="X323" s="302"/>
      <c r="Y323" s="302"/>
      <c r="Z323" s="302"/>
      <c r="AA323" s="302"/>
      <c r="AB323" s="303"/>
      <c r="AC323" s="304"/>
      <c r="AD323" s="305"/>
      <c r="AE323" s="302"/>
      <c r="AF323" s="302"/>
      <c r="AG323" s="302"/>
      <c r="AH323" s="302"/>
      <c r="AI323" s="303"/>
      <c r="AJ323" s="303"/>
      <c r="AK323" s="302"/>
      <c r="AL323" s="314"/>
      <c r="AM323" s="305"/>
      <c r="AN323" s="302"/>
      <c r="AO323" s="302"/>
      <c r="AP323" s="302"/>
      <c r="AQ323" s="302"/>
      <c r="AR323" s="302"/>
      <c r="AS323" s="302"/>
      <c r="AT323" s="302"/>
      <c r="AU323" s="304"/>
      <c r="AV323" s="306"/>
      <c r="AW323" s="303"/>
      <c r="AX323" s="303"/>
      <c r="AY323" s="303"/>
      <c r="AZ323" s="303"/>
      <c r="BA323" s="303"/>
      <c r="BB323" s="303"/>
      <c r="BC323" s="303"/>
      <c r="BD323" s="304"/>
      <c r="BE323" s="305"/>
      <c r="BF323" s="302"/>
      <c r="BG323" s="307"/>
      <c r="BH323" s="308"/>
      <c r="BI323" s="302"/>
      <c r="BJ323" s="307"/>
      <c r="BK323" s="308"/>
      <c r="BL323" s="302"/>
      <c r="BM323" s="303"/>
      <c r="BN323" s="315"/>
      <c r="BO323" s="250">
        <f t="shared" si="29"/>
        <v>0</v>
      </c>
    </row>
    <row r="324" spans="1:67" ht="25.5" customHeight="1" x14ac:dyDescent="0.2">
      <c r="A324" s="142">
        <f t="shared" si="30"/>
        <v>309</v>
      </c>
      <c r="B324" s="251"/>
      <c r="C324" s="252"/>
      <c r="D324" s="253"/>
      <c r="E324" s="254"/>
      <c r="F324" s="278"/>
      <c r="G324" s="256"/>
      <c r="H324" s="257"/>
      <c r="I324" s="231" t="str">
        <f t="shared" si="25"/>
        <v/>
      </c>
      <c r="J324" s="258">
        <f t="shared" si="26"/>
        <v>0</v>
      </c>
      <c r="K324" s="313"/>
      <c r="L324" s="300"/>
      <c r="M324" s="300"/>
      <c r="N324" s="235" t="str">
        <f t="shared" si="27"/>
        <v/>
      </c>
      <c r="O324" s="236" t="str">
        <f>IF('Data Set up'!$G$40="JUNE",IF(OR($N324=7,$N324=8,$N324=9),1,IF(OR($N324=10,$N324=11,$N324=12),2,IF(OR($N324=1,$N324=2,$N324=3),3,IF(OR($N324=4,$N324=5,$N324=6),4,"")))),IF(OR($N324=9,$N324=10,$N324=11),1,IF(OR($N324=12,$N324=1,$N324=2),2,IF(OR($N324=3,$N324=4,$N324=5),3,IF(OR($N324=6,$N324=7,$N324=8),4,"")))))</f>
        <v/>
      </c>
      <c r="P324" s="261"/>
      <c r="Q324" s="305"/>
      <c r="R324" s="302"/>
      <c r="S324" s="264">
        <f t="shared" si="28"/>
        <v>0</v>
      </c>
      <c r="T324" s="302"/>
      <c r="U324" s="302"/>
      <c r="V324" s="302"/>
      <c r="W324" s="302"/>
      <c r="X324" s="302"/>
      <c r="Y324" s="302"/>
      <c r="Z324" s="302"/>
      <c r="AA324" s="302"/>
      <c r="AB324" s="303"/>
      <c r="AC324" s="304"/>
      <c r="AD324" s="305"/>
      <c r="AE324" s="302"/>
      <c r="AF324" s="302"/>
      <c r="AG324" s="302"/>
      <c r="AH324" s="302"/>
      <c r="AI324" s="303"/>
      <c r="AJ324" s="303"/>
      <c r="AK324" s="302"/>
      <c r="AL324" s="314"/>
      <c r="AM324" s="305"/>
      <c r="AN324" s="302"/>
      <c r="AO324" s="302"/>
      <c r="AP324" s="302"/>
      <c r="AQ324" s="302"/>
      <c r="AR324" s="302"/>
      <c r="AS324" s="302"/>
      <c r="AT324" s="302"/>
      <c r="AU324" s="304"/>
      <c r="AV324" s="306"/>
      <c r="AW324" s="303"/>
      <c r="AX324" s="303"/>
      <c r="AY324" s="303"/>
      <c r="AZ324" s="303"/>
      <c r="BA324" s="303"/>
      <c r="BB324" s="303"/>
      <c r="BC324" s="303"/>
      <c r="BD324" s="304"/>
      <c r="BE324" s="305"/>
      <c r="BF324" s="302"/>
      <c r="BG324" s="307"/>
      <c r="BH324" s="308"/>
      <c r="BI324" s="302"/>
      <c r="BJ324" s="307"/>
      <c r="BK324" s="308"/>
      <c r="BL324" s="302"/>
      <c r="BM324" s="303"/>
      <c r="BN324" s="315"/>
      <c r="BO324" s="250">
        <f t="shared" si="29"/>
        <v>0</v>
      </c>
    </row>
    <row r="325" spans="1:67" ht="25.5" customHeight="1" x14ac:dyDescent="0.2">
      <c r="A325" s="142">
        <f t="shared" si="30"/>
        <v>310</v>
      </c>
      <c r="B325" s="251"/>
      <c r="C325" s="252"/>
      <c r="D325" s="253"/>
      <c r="E325" s="254"/>
      <c r="F325" s="278"/>
      <c r="G325" s="256"/>
      <c r="H325" s="257"/>
      <c r="I325" s="231" t="str">
        <f t="shared" si="25"/>
        <v/>
      </c>
      <c r="J325" s="258">
        <f t="shared" si="26"/>
        <v>0</v>
      </c>
      <c r="K325" s="313"/>
      <c r="L325" s="300"/>
      <c r="M325" s="300"/>
      <c r="N325" s="235" t="str">
        <f t="shared" si="27"/>
        <v/>
      </c>
      <c r="O325" s="236" t="str">
        <f>IF('Data Set up'!$G$40="JUNE",IF(OR($N325=7,$N325=8,$N325=9),1,IF(OR($N325=10,$N325=11,$N325=12),2,IF(OR($N325=1,$N325=2,$N325=3),3,IF(OR($N325=4,$N325=5,$N325=6),4,"")))),IF(OR($N325=9,$N325=10,$N325=11),1,IF(OR($N325=12,$N325=1,$N325=2),2,IF(OR($N325=3,$N325=4,$N325=5),3,IF(OR($N325=6,$N325=7,$N325=8),4,"")))))</f>
        <v/>
      </c>
      <c r="P325" s="261"/>
      <c r="Q325" s="305"/>
      <c r="R325" s="302"/>
      <c r="S325" s="264">
        <f t="shared" si="28"/>
        <v>0</v>
      </c>
      <c r="T325" s="302"/>
      <c r="U325" s="302"/>
      <c r="V325" s="302"/>
      <c r="W325" s="302"/>
      <c r="X325" s="302"/>
      <c r="Y325" s="302"/>
      <c r="Z325" s="302"/>
      <c r="AA325" s="302"/>
      <c r="AB325" s="303"/>
      <c r="AC325" s="304"/>
      <c r="AD325" s="305"/>
      <c r="AE325" s="302"/>
      <c r="AF325" s="302"/>
      <c r="AG325" s="302"/>
      <c r="AH325" s="302"/>
      <c r="AI325" s="303"/>
      <c r="AJ325" s="303"/>
      <c r="AK325" s="302"/>
      <c r="AL325" s="314"/>
      <c r="AM325" s="305"/>
      <c r="AN325" s="302"/>
      <c r="AO325" s="302"/>
      <c r="AP325" s="302"/>
      <c r="AQ325" s="302"/>
      <c r="AR325" s="302"/>
      <c r="AS325" s="302"/>
      <c r="AT325" s="302"/>
      <c r="AU325" s="304"/>
      <c r="AV325" s="306"/>
      <c r="AW325" s="303"/>
      <c r="AX325" s="303"/>
      <c r="AY325" s="303"/>
      <c r="AZ325" s="303"/>
      <c r="BA325" s="303"/>
      <c r="BB325" s="303"/>
      <c r="BC325" s="303"/>
      <c r="BD325" s="304"/>
      <c r="BE325" s="305"/>
      <c r="BF325" s="302"/>
      <c r="BG325" s="307"/>
      <c r="BH325" s="308"/>
      <c r="BI325" s="302"/>
      <c r="BJ325" s="307"/>
      <c r="BK325" s="308"/>
      <c r="BL325" s="302"/>
      <c r="BM325" s="303"/>
      <c r="BN325" s="315"/>
      <c r="BO325" s="250">
        <f t="shared" si="29"/>
        <v>0</v>
      </c>
    </row>
    <row r="326" spans="1:67" ht="25.5" customHeight="1" x14ac:dyDescent="0.2">
      <c r="A326" s="142">
        <f t="shared" si="30"/>
        <v>311</v>
      </c>
      <c r="B326" s="251"/>
      <c r="C326" s="252"/>
      <c r="D326" s="253"/>
      <c r="E326" s="254"/>
      <c r="F326" s="278"/>
      <c r="G326" s="256"/>
      <c r="H326" s="257"/>
      <c r="I326" s="231" t="str">
        <f t="shared" si="25"/>
        <v/>
      </c>
      <c r="J326" s="258">
        <f t="shared" si="26"/>
        <v>0</v>
      </c>
      <c r="K326" s="313"/>
      <c r="L326" s="300"/>
      <c r="M326" s="300"/>
      <c r="N326" s="235" t="str">
        <f t="shared" si="27"/>
        <v/>
      </c>
      <c r="O326" s="236" t="str">
        <f>IF('Data Set up'!$G$40="JUNE",IF(OR($N326=7,$N326=8,$N326=9),1,IF(OR($N326=10,$N326=11,$N326=12),2,IF(OR($N326=1,$N326=2,$N326=3),3,IF(OR($N326=4,$N326=5,$N326=6),4,"")))),IF(OR($N326=9,$N326=10,$N326=11),1,IF(OR($N326=12,$N326=1,$N326=2),2,IF(OR($N326=3,$N326=4,$N326=5),3,IF(OR($N326=6,$N326=7,$N326=8),4,"")))))</f>
        <v/>
      </c>
      <c r="P326" s="261"/>
      <c r="Q326" s="305"/>
      <c r="R326" s="302"/>
      <c r="S326" s="264">
        <f t="shared" si="28"/>
        <v>0</v>
      </c>
      <c r="T326" s="302"/>
      <c r="U326" s="302"/>
      <c r="V326" s="302"/>
      <c r="W326" s="302"/>
      <c r="X326" s="302"/>
      <c r="Y326" s="302"/>
      <c r="Z326" s="302"/>
      <c r="AA326" s="302"/>
      <c r="AB326" s="303"/>
      <c r="AC326" s="304"/>
      <c r="AD326" s="305"/>
      <c r="AE326" s="302"/>
      <c r="AF326" s="302"/>
      <c r="AG326" s="302"/>
      <c r="AH326" s="302"/>
      <c r="AI326" s="303"/>
      <c r="AJ326" s="303"/>
      <c r="AK326" s="302"/>
      <c r="AL326" s="314"/>
      <c r="AM326" s="305"/>
      <c r="AN326" s="302"/>
      <c r="AO326" s="302"/>
      <c r="AP326" s="302"/>
      <c r="AQ326" s="302"/>
      <c r="AR326" s="302"/>
      <c r="AS326" s="302"/>
      <c r="AT326" s="302"/>
      <c r="AU326" s="304"/>
      <c r="AV326" s="306"/>
      <c r="AW326" s="303"/>
      <c r="AX326" s="303"/>
      <c r="AY326" s="303"/>
      <c r="AZ326" s="303"/>
      <c r="BA326" s="303"/>
      <c r="BB326" s="303"/>
      <c r="BC326" s="303"/>
      <c r="BD326" s="304"/>
      <c r="BE326" s="305"/>
      <c r="BF326" s="302"/>
      <c r="BG326" s="307"/>
      <c r="BH326" s="308"/>
      <c r="BI326" s="302"/>
      <c r="BJ326" s="307"/>
      <c r="BK326" s="308"/>
      <c r="BL326" s="302"/>
      <c r="BM326" s="303"/>
      <c r="BN326" s="315"/>
      <c r="BO326" s="250">
        <f t="shared" si="29"/>
        <v>0</v>
      </c>
    </row>
    <row r="327" spans="1:67" ht="25.5" customHeight="1" x14ac:dyDescent="0.2">
      <c r="A327" s="142">
        <f t="shared" si="30"/>
        <v>312</v>
      </c>
      <c r="B327" s="251"/>
      <c r="C327" s="252"/>
      <c r="D327" s="253"/>
      <c r="E327" s="254"/>
      <c r="F327" s="278"/>
      <c r="G327" s="256"/>
      <c r="H327" s="257"/>
      <c r="I327" s="231" t="str">
        <f t="shared" si="25"/>
        <v/>
      </c>
      <c r="J327" s="258">
        <f t="shared" si="26"/>
        <v>0</v>
      </c>
      <c r="K327" s="313"/>
      <c r="L327" s="300"/>
      <c r="M327" s="300"/>
      <c r="N327" s="235" t="str">
        <f t="shared" si="27"/>
        <v/>
      </c>
      <c r="O327" s="236" t="str">
        <f>IF('Data Set up'!$G$40="JUNE",IF(OR($N327=7,$N327=8,$N327=9),1,IF(OR($N327=10,$N327=11,$N327=12),2,IF(OR($N327=1,$N327=2,$N327=3),3,IF(OR($N327=4,$N327=5,$N327=6),4,"")))),IF(OR($N327=9,$N327=10,$N327=11),1,IF(OR($N327=12,$N327=1,$N327=2),2,IF(OR($N327=3,$N327=4,$N327=5),3,IF(OR($N327=6,$N327=7,$N327=8),4,"")))))</f>
        <v/>
      </c>
      <c r="P327" s="261"/>
      <c r="Q327" s="305"/>
      <c r="R327" s="302"/>
      <c r="S327" s="264">
        <f t="shared" si="28"/>
        <v>0</v>
      </c>
      <c r="T327" s="302"/>
      <c r="U327" s="302"/>
      <c r="V327" s="302"/>
      <c r="W327" s="302"/>
      <c r="X327" s="302"/>
      <c r="Y327" s="302"/>
      <c r="Z327" s="302"/>
      <c r="AA327" s="302"/>
      <c r="AB327" s="303"/>
      <c r="AC327" s="304"/>
      <c r="AD327" s="305"/>
      <c r="AE327" s="302"/>
      <c r="AF327" s="302"/>
      <c r="AG327" s="302"/>
      <c r="AH327" s="302"/>
      <c r="AI327" s="303"/>
      <c r="AJ327" s="303"/>
      <c r="AK327" s="302"/>
      <c r="AL327" s="314"/>
      <c r="AM327" s="305"/>
      <c r="AN327" s="302"/>
      <c r="AO327" s="302"/>
      <c r="AP327" s="302"/>
      <c r="AQ327" s="302"/>
      <c r="AR327" s="302"/>
      <c r="AS327" s="302"/>
      <c r="AT327" s="302"/>
      <c r="AU327" s="304"/>
      <c r="AV327" s="306"/>
      <c r="AW327" s="303"/>
      <c r="AX327" s="303"/>
      <c r="AY327" s="303"/>
      <c r="AZ327" s="303"/>
      <c r="BA327" s="303"/>
      <c r="BB327" s="303"/>
      <c r="BC327" s="303"/>
      <c r="BD327" s="304"/>
      <c r="BE327" s="305"/>
      <c r="BF327" s="302"/>
      <c r="BG327" s="307"/>
      <c r="BH327" s="308"/>
      <c r="BI327" s="302"/>
      <c r="BJ327" s="307"/>
      <c r="BK327" s="308"/>
      <c r="BL327" s="302"/>
      <c r="BM327" s="303"/>
      <c r="BN327" s="315"/>
      <c r="BO327" s="250">
        <f t="shared" si="29"/>
        <v>0</v>
      </c>
    </row>
    <row r="328" spans="1:67" ht="25.5" customHeight="1" x14ac:dyDescent="0.2">
      <c r="A328" s="142">
        <f t="shared" si="30"/>
        <v>313</v>
      </c>
      <c r="B328" s="251"/>
      <c r="C328" s="252"/>
      <c r="D328" s="253"/>
      <c r="E328" s="254"/>
      <c r="F328" s="278"/>
      <c r="G328" s="256"/>
      <c r="H328" s="257"/>
      <c r="I328" s="231" t="str">
        <f t="shared" si="25"/>
        <v/>
      </c>
      <c r="J328" s="258">
        <f t="shared" si="26"/>
        <v>0</v>
      </c>
      <c r="K328" s="313"/>
      <c r="L328" s="300"/>
      <c r="M328" s="300"/>
      <c r="N328" s="235" t="str">
        <f t="shared" si="27"/>
        <v/>
      </c>
      <c r="O328" s="236" t="str">
        <f>IF('Data Set up'!$G$40="JUNE",IF(OR($N328=7,$N328=8,$N328=9),1,IF(OR($N328=10,$N328=11,$N328=12),2,IF(OR($N328=1,$N328=2,$N328=3),3,IF(OR($N328=4,$N328=5,$N328=6),4,"")))),IF(OR($N328=9,$N328=10,$N328=11),1,IF(OR($N328=12,$N328=1,$N328=2),2,IF(OR($N328=3,$N328=4,$N328=5),3,IF(OR($N328=6,$N328=7,$N328=8),4,"")))))</f>
        <v/>
      </c>
      <c r="P328" s="261"/>
      <c r="Q328" s="305"/>
      <c r="R328" s="302"/>
      <c r="S328" s="264">
        <f t="shared" si="28"/>
        <v>0</v>
      </c>
      <c r="T328" s="302"/>
      <c r="U328" s="302"/>
      <c r="V328" s="302"/>
      <c r="W328" s="302"/>
      <c r="X328" s="302"/>
      <c r="Y328" s="302"/>
      <c r="Z328" s="302"/>
      <c r="AA328" s="302"/>
      <c r="AB328" s="303"/>
      <c r="AC328" s="304"/>
      <c r="AD328" s="305"/>
      <c r="AE328" s="302"/>
      <c r="AF328" s="302"/>
      <c r="AG328" s="302"/>
      <c r="AH328" s="302"/>
      <c r="AI328" s="303"/>
      <c r="AJ328" s="303"/>
      <c r="AK328" s="302"/>
      <c r="AL328" s="314"/>
      <c r="AM328" s="305"/>
      <c r="AN328" s="302"/>
      <c r="AO328" s="302"/>
      <c r="AP328" s="302"/>
      <c r="AQ328" s="302"/>
      <c r="AR328" s="302"/>
      <c r="AS328" s="302"/>
      <c r="AT328" s="302"/>
      <c r="AU328" s="304"/>
      <c r="AV328" s="306"/>
      <c r="AW328" s="303"/>
      <c r="AX328" s="303"/>
      <c r="AY328" s="303"/>
      <c r="AZ328" s="303"/>
      <c r="BA328" s="303"/>
      <c r="BB328" s="303"/>
      <c r="BC328" s="303"/>
      <c r="BD328" s="304"/>
      <c r="BE328" s="305"/>
      <c r="BF328" s="302"/>
      <c r="BG328" s="307"/>
      <c r="BH328" s="308"/>
      <c r="BI328" s="302"/>
      <c r="BJ328" s="307"/>
      <c r="BK328" s="308"/>
      <c r="BL328" s="302"/>
      <c r="BM328" s="303"/>
      <c r="BN328" s="315"/>
      <c r="BO328" s="250">
        <f t="shared" si="29"/>
        <v>0</v>
      </c>
    </row>
    <row r="329" spans="1:67" ht="25.5" customHeight="1" x14ac:dyDescent="0.2">
      <c r="A329" s="142">
        <f t="shared" si="30"/>
        <v>314</v>
      </c>
      <c r="B329" s="251"/>
      <c r="C329" s="252"/>
      <c r="D329" s="253"/>
      <c r="E329" s="254"/>
      <c r="F329" s="278"/>
      <c r="G329" s="256"/>
      <c r="H329" s="257"/>
      <c r="I329" s="231" t="str">
        <f t="shared" si="25"/>
        <v/>
      </c>
      <c r="J329" s="258">
        <f t="shared" si="26"/>
        <v>0</v>
      </c>
      <c r="K329" s="313"/>
      <c r="L329" s="300"/>
      <c r="M329" s="300"/>
      <c r="N329" s="235" t="str">
        <f t="shared" si="27"/>
        <v/>
      </c>
      <c r="O329" s="236" t="str">
        <f>IF('Data Set up'!$G$40="JUNE",IF(OR($N329=7,$N329=8,$N329=9),1,IF(OR($N329=10,$N329=11,$N329=12),2,IF(OR($N329=1,$N329=2,$N329=3),3,IF(OR($N329=4,$N329=5,$N329=6),4,"")))),IF(OR($N329=9,$N329=10,$N329=11),1,IF(OR($N329=12,$N329=1,$N329=2),2,IF(OR($N329=3,$N329=4,$N329=5),3,IF(OR($N329=6,$N329=7,$N329=8),4,"")))))</f>
        <v/>
      </c>
      <c r="P329" s="261"/>
      <c r="Q329" s="305"/>
      <c r="R329" s="302"/>
      <c r="S329" s="264">
        <f t="shared" si="28"/>
        <v>0</v>
      </c>
      <c r="T329" s="302"/>
      <c r="U329" s="302"/>
      <c r="V329" s="302"/>
      <c r="W329" s="302"/>
      <c r="X329" s="302"/>
      <c r="Y329" s="302"/>
      <c r="Z329" s="302"/>
      <c r="AA329" s="302"/>
      <c r="AB329" s="303"/>
      <c r="AC329" s="304"/>
      <c r="AD329" s="305"/>
      <c r="AE329" s="302"/>
      <c r="AF329" s="302"/>
      <c r="AG329" s="302"/>
      <c r="AH329" s="302"/>
      <c r="AI329" s="303"/>
      <c r="AJ329" s="303"/>
      <c r="AK329" s="302"/>
      <c r="AL329" s="314"/>
      <c r="AM329" s="305"/>
      <c r="AN329" s="302"/>
      <c r="AO329" s="302"/>
      <c r="AP329" s="302"/>
      <c r="AQ329" s="302"/>
      <c r="AR329" s="302"/>
      <c r="AS329" s="302"/>
      <c r="AT329" s="302"/>
      <c r="AU329" s="304"/>
      <c r="AV329" s="306"/>
      <c r="AW329" s="303"/>
      <c r="AX329" s="303"/>
      <c r="AY329" s="303"/>
      <c r="AZ329" s="303"/>
      <c r="BA329" s="303"/>
      <c r="BB329" s="303"/>
      <c r="BC329" s="303"/>
      <c r="BD329" s="304"/>
      <c r="BE329" s="305"/>
      <c r="BF329" s="302"/>
      <c r="BG329" s="307"/>
      <c r="BH329" s="308"/>
      <c r="BI329" s="302"/>
      <c r="BJ329" s="307"/>
      <c r="BK329" s="308"/>
      <c r="BL329" s="302"/>
      <c r="BM329" s="303"/>
      <c r="BN329" s="315"/>
      <c r="BO329" s="250">
        <f t="shared" si="29"/>
        <v>0</v>
      </c>
    </row>
    <row r="330" spans="1:67" ht="25.5" customHeight="1" x14ac:dyDescent="0.2">
      <c r="A330" s="142">
        <f t="shared" si="30"/>
        <v>315</v>
      </c>
      <c r="B330" s="251"/>
      <c r="C330" s="252"/>
      <c r="D330" s="253"/>
      <c r="E330" s="254"/>
      <c r="F330" s="278"/>
      <c r="G330" s="256"/>
      <c r="H330" s="257"/>
      <c r="I330" s="231" t="str">
        <f t="shared" si="25"/>
        <v/>
      </c>
      <c r="J330" s="258">
        <f t="shared" si="26"/>
        <v>0</v>
      </c>
      <c r="K330" s="313"/>
      <c r="L330" s="300"/>
      <c r="M330" s="300"/>
      <c r="N330" s="235" t="str">
        <f t="shared" si="27"/>
        <v/>
      </c>
      <c r="O330" s="236" t="str">
        <f>IF('Data Set up'!$G$40="JUNE",IF(OR($N330=7,$N330=8,$N330=9),1,IF(OR($N330=10,$N330=11,$N330=12),2,IF(OR($N330=1,$N330=2,$N330=3),3,IF(OR($N330=4,$N330=5,$N330=6),4,"")))),IF(OR($N330=9,$N330=10,$N330=11),1,IF(OR($N330=12,$N330=1,$N330=2),2,IF(OR($N330=3,$N330=4,$N330=5),3,IF(OR($N330=6,$N330=7,$N330=8),4,"")))))</f>
        <v/>
      </c>
      <c r="P330" s="261"/>
      <c r="Q330" s="305"/>
      <c r="R330" s="302"/>
      <c r="S330" s="264">
        <f t="shared" si="28"/>
        <v>0</v>
      </c>
      <c r="T330" s="302"/>
      <c r="U330" s="302"/>
      <c r="V330" s="302"/>
      <c r="W330" s="302"/>
      <c r="X330" s="302"/>
      <c r="Y330" s="302"/>
      <c r="Z330" s="302"/>
      <c r="AA330" s="302"/>
      <c r="AB330" s="303"/>
      <c r="AC330" s="304"/>
      <c r="AD330" s="305"/>
      <c r="AE330" s="302"/>
      <c r="AF330" s="302"/>
      <c r="AG330" s="302"/>
      <c r="AH330" s="302"/>
      <c r="AI330" s="303"/>
      <c r="AJ330" s="303"/>
      <c r="AK330" s="302"/>
      <c r="AL330" s="314"/>
      <c r="AM330" s="305"/>
      <c r="AN330" s="302"/>
      <c r="AO330" s="302"/>
      <c r="AP330" s="302"/>
      <c r="AQ330" s="302"/>
      <c r="AR330" s="302"/>
      <c r="AS330" s="302"/>
      <c r="AT330" s="302"/>
      <c r="AU330" s="304"/>
      <c r="AV330" s="306"/>
      <c r="AW330" s="303"/>
      <c r="AX330" s="303"/>
      <c r="AY330" s="303"/>
      <c r="AZ330" s="303"/>
      <c r="BA330" s="303"/>
      <c r="BB330" s="303"/>
      <c r="BC330" s="303"/>
      <c r="BD330" s="304"/>
      <c r="BE330" s="305"/>
      <c r="BF330" s="302"/>
      <c r="BG330" s="307"/>
      <c r="BH330" s="308"/>
      <c r="BI330" s="302"/>
      <c r="BJ330" s="307"/>
      <c r="BK330" s="308"/>
      <c r="BL330" s="302"/>
      <c r="BM330" s="303"/>
      <c r="BN330" s="315"/>
      <c r="BO330" s="250">
        <f t="shared" si="29"/>
        <v>0</v>
      </c>
    </row>
    <row r="331" spans="1:67" ht="25.5" customHeight="1" x14ac:dyDescent="0.2">
      <c r="A331" s="142">
        <f t="shared" si="30"/>
        <v>316</v>
      </c>
      <c r="B331" s="251"/>
      <c r="C331" s="252"/>
      <c r="D331" s="253"/>
      <c r="E331" s="254"/>
      <c r="F331" s="278"/>
      <c r="G331" s="256"/>
      <c r="H331" s="257"/>
      <c r="I331" s="231" t="str">
        <f t="shared" si="25"/>
        <v/>
      </c>
      <c r="J331" s="258">
        <f t="shared" si="26"/>
        <v>0</v>
      </c>
      <c r="K331" s="313"/>
      <c r="L331" s="300"/>
      <c r="M331" s="300"/>
      <c r="N331" s="235" t="str">
        <f t="shared" si="27"/>
        <v/>
      </c>
      <c r="O331" s="236" t="str">
        <f>IF('Data Set up'!$G$40="JUNE",IF(OR($N331=7,$N331=8,$N331=9),1,IF(OR($N331=10,$N331=11,$N331=12),2,IF(OR($N331=1,$N331=2,$N331=3),3,IF(OR($N331=4,$N331=5,$N331=6),4,"")))),IF(OR($N331=9,$N331=10,$N331=11),1,IF(OR($N331=12,$N331=1,$N331=2),2,IF(OR($N331=3,$N331=4,$N331=5),3,IF(OR($N331=6,$N331=7,$N331=8),4,"")))))</f>
        <v/>
      </c>
      <c r="P331" s="261"/>
      <c r="Q331" s="305"/>
      <c r="R331" s="302"/>
      <c r="S331" s="264">
        <f t="shared" si="28"/>
        <v>0</v>
      </c>
      <c r="T331" s="302"/>
      <c r="U331" s="302"/>
      <c r="V331" s="302"/>
      <c r="W331" s="302"/>
      <c r="X331" s="302"/>
      <c r="Y331" s="302"/>
      <c r="Z331" s="302"/>
      <c r="AA331" s="302"/>
      <c r="AB331" s="303"/>
      <c r="AC331" s="304"/>
      <c r="AD331" s="305"/>
      <c r="AE331" s="302"/>
      <c r="AF331" s="302"/>
      <c r="AG331" s="302"/>
      <c r="AH331" s="302"/>
      <c r="AI331" s="303"/>
      <c r="AJ331" s="303"/>
      <c r="AK331" s="302"/>
      <c r="AL331" s="314"/>
      <c r="AM331" s="305"/>
      <c r="AN331" s="302"/>
      <c r="AO331" s="302"/>
      <c r="AP331" s="302"/>
      <c r="AQ331" s="302"/>
      <c r="AR331" s="302"/>
      <c r="AS331" s="302"/>
      <c r="AT331" s="302"/>
      <c r="AU331" s="304"/>
      <c r="AV331" s="306"/>
      <c r="AW331" s="303"/>
      <c r="AX331" s="303"/>
      <c r="AY331" s="303"/>
      <c r="AZ331" s="303"/>
      <c r="BA331" s="303"/>
      <c r="BB331" s="303"/>
      <c r="BC331" s="303"/>
      <c r="BD331" s="304"/>
      <c r="BE331" s="305"/>
      <c r="BF331" s="302"/>
      <c r="BG331" s="307"/>
      <c r="BH331" s="308"/>
      <c r="BI331" s="302"/>
      <c r="BJ331" s="307"/>
      <c r="BK331" s="308"/>
      <c r="BL331" s="302"/>
      <c r="BM331" s="303"/>
      <c r="BN331" s="315"/>
      <c r="BO331" s="250">
        <f t="shared" si="29"/>
        <v>0</v>
      </c>
    </row>
    <row r="332" spans="1:67" ht="25.5" customHeight="1" x14ac:dyDescent="0.2">
      <c r="A332" s="142">
        <f t="shared" si="30"/>
        <v>317</v>
      </c>
      <c r="B332" s="251"/>
      <c r="C332" s="252"/>
      <c r="D332" s="253"/>
      <c r="E332" s="254"/>
      <c r="F332" s="278"/>
      <c r="G332" s="256"/>
      <c r="H332" s="257"/>
      <c r="I332" s="231" t="str">
        <f t="shared" si="25"/>
        <v/>
      </c>
      <c r="J332" s="258">
        <f t="shared" si="26"/>
        <v>0</v>
      </c>
      <c r="K332" s="313"/>
      <c r="L332" s="300"/>
      <c r="M332" s="300"/>
      <c r="N332" s="235" t="str">
        <f t="shared" si="27"/>
        <v/>
      </c>
      <c r="O332" s="236" t="str">
        <f>IF('Data Set up'!$G$40="JUNE",IF(OR($N332=7,$N332=8,$N332=9),1,IF(OR($N332=10,$N332=11,$N332=12),2,IF(OR($N332=1,$N332=2,$N332=3),3,IF(OR($N332=4,$N332=5,$N332=6),4,"")))),IF(OR($N332=9,$N332=10,$N332=11),1,IF(OR($N332=12,$N332=1,$N332=2),2,IF(OR($N332=3,$N332=4,$N332=5),3,IF(OR($N332=6,$N332=7,$N332=8),4,"")))))</f>
        <v/>
      </c>
      <c r="P332" s="261"/>
      <c r="Q332" s="305"/>
      <c r="R332" s="302"/>
      <c r="S332" s="264">
        <f t="shared" si="28"/>
        <v>0</v>
      </c>
      <c r="T332" s="302"/>
      <c r="U332" s="302"/>
      <c r="V332" s="302"/>
      <c r="W332" s="302"/>
      <c r="X332" s="302"/>
      <c r="Y332" s="302"/>
      <c r="Z332" s="302"/>
      <c r="AA332" s="302"/>
      <c r="AB332" s="303"/>
      <c r="AC332" s="304"/>
      <c r="AD332" s="305"/>
      <c r="AE332" s="302"/>
      <c r="AF332" s="302"/>
      <c r="AG332" s="302"/>
      <c r="AH332" s="302"/>
      <c r="AI332" s="303"/>
      <c r="AJ332" s="303"/>
      <c r="AK332" s="302"/>
      <c r="AL332" s="314"/>
      <c r="AM332" s="305"/>
      <c r="AN332" s="302"/>
      <c r="AO332" s="302"/>
      <c r="AP332" s="302"/>
      <c r="AQ332" s="302"/>
      <c r="AR332" s="302"/>
      <c r="AS332" s="302"/>
      <c r="AT332" s="302"/>
      <c r="AU332" s="304"/>
      <c r="AV332" s="306"/>
      <c r="AW332" s="303"/>
      <c r="AX332" s="303"/>
      <c r="AY332" s="303"/>
      <c r="AZ332" s="303"/>
      <c r="BA332" s="303"/>
      <c r="BB332" s="303"/>
      <c r="BC332" s="303"/>
      <c r="BD332" s="304"/>
      <c r="BE332" s="305"/>
      <c r="BF332" s="302"/>
      <c r="BG332" s="307"/>
      <c r="BH332" s="308"/>
      <c r="BI332" s="302"/>
      <c r="BJ332" s="307"/>
      <c r="BK332" s="308"/>
      <c r="BL332" s="302"/>
      <c r="BM332" s="303"/>
      <c r="BN332" s="315"/>
      <c r="BO332" s="250">
        <f t="shared" si="29"/>
        <v>0</v>
      </c>
    </row>
    <row r="333" spans="1:67" ht="25.5" customHeight="1" x14ac:dyDescent="0.2">
      <c r="A333" s="142">
        <f t="shared" si="30"/>
        <v>318</v>
      </c>
      <c r="B333" s="251"/>
      <c r="C333" s="252"/>
      <c r="D333" s="253"/>
      <c r="E333" s="254"/>
      <c r="F333" s="278"/>
      <c r="G333" s="256"/>
      <c r="H333" s="257"/>
      <c r="I333" s="231" t="str">
        <f t="shared" si="25"/>
        <v/>
      </c>
      <c r="J333" s="258">
        <f t="shared" si="26"/>
        <v>0</v>
      </c>
      <c r="K333" s="313"/>
      <c r="L333" s="300"/>
      <c r="M333" s="300"/>
      <c r="N333" s="235" t="str">
        <f t="shared" si="27"/>
        <v/>
      </c>
      <c r="O333" s="236" t="str">
        <f>IF('Data Set up'!$G$40="JUNE",IF(OR($N333=7,$N333=8,$N333=9),1,IF(OR($N333=10,$N333=11,$N333=12),2,IF(OR($N333=1,$N333=2,$N333=3),3,IF(OR($N333=4,$N333=5,$N333=6),4,"")))),IF(OR($N333=9,$N333=10,$N333=11),1,IF(OR($N333=12,$N333=1,$N333=2),2,IF(OR($N333=3,$N333=4,$N333=5),3,IF(OR($N333=6,$N333=7,$N333=8),4,"")))))</f>
        <v/>
      </c>
      <c r="P333" s="261"/>
      <c r="Q333" s="305"/>
      <c r="R333" s="302"/>
      <c r="S333" s="264">
        <f t="shared" si="28"/>
        <v>0</v>
      </c>
      <c r="T333" s="302"/>
      <c r="U333" s="302"/>
      <c r="V333" s="302"/>
      <c r="W333" s="302"/>
      <c r="X333" s="302"/>
      <c r="Y333" s="302"/>
      <c r="Z333" s="302"/>
      <c r="AA333" s="302"/>
      <c r="AB333" s="303"/>
      <c r="AC333" s="304"/>
      <c r="AD333" s="305"/>
      <c r="AE333" s="302"/>
      <c r="AF333" s="302"/>
      <c r="AG333" s="302"/>
      <c r="AH333" s="302"/>
      <c r="AI333" s="303"/>
      <c r="AJ333" s="303"/>
      <c r="AK333" s="302"/>
      <c r="AL333" s="314"/>
      <c r="AM333" s="305"/>
      <c r="AN333" s="302"/>
      <c r="AO333" s="302"/>
      <c r="AP333" s="302"/>
      <c r="AQ333" s="302"/>
      <c r="AR333" s="302"/>
      <c r="AS333" s="302"/>
      <c r="AT333" s="302"/>
      <c r="AU333" s="304"/>
      <c r="AV333" s="306"/>
      <c r="AW333" s="303"/>
      <c r="AX333" s="303"/>
      <c r="AY333" s="303"/>
      <c r="AZ333" s="303"/>
      <c r="BA333" s="303"/>
      <c r="BB333" s="303"/>
      <c r="BC333" s="303"/>
      <c r="BD333" s="304"/>
      <c r="BE333" s="305"/>
      <c r="BF333" s="302"/>
      <c r="BG333" s="307"/>
      <c r="BH333" s="308"/>
      <c r="BI333" s="302"/>
      <c r="BJ333" s="307"/>
      <c r="BK333" s="308"/>
      <c r="BL333" s="302"/>
      <c r="BM333" s="303"/>
      <c r="BN333" s="315"/>
      <c r="BO333" s="250">
        <f t="shared" si="29"/>
        <v>0</v>
      </c>
    </row>
    <row r="334" spans="1:67" ht="25.5" customHeight="1" x14ac:dyDescent="0.2">
      <c r="A334" s="142">
        <f t="shared" si="30"/>
        <v>319</v>
      </c>
      <c r="B334" s="251"/>
      <c r="C334" s="252"/>
      <c r="D334" s="253"/>
      <c r="E334" s="254"/>
      <c r="F334" s="278"/>
      <c r="G334" s="256"/>
      <c r="H334" s="257"/>
      <c r="I334" s="231" t="str">
        <f t="shared" si="25"/>
        <v/>
      </c>
      <c r="J334" s="258">
        <f t="shared" si="26"/>
        <v>0</v>
      </c>
      <c r="K334" s="313"/>
      <c r="L334" s="300"/>
      <c r="M334" s="300"/>
      <c r="N334" s="235" t="str">
        <f t="shared" si="27"/>
        <v/>
      </c>
      <c r="O334" s="236" t="str">
        <f>IF('Data Set up'!$G$40="JUNE",IF(OR($N334=7,$N334=8,$N334=9),1,IF(OR($N334=10,$N334=11,$N334=12),2,IF(OR($N334=1,$N334=2,$N334=3),3,IF(OR($N334=4,$N334=5,$N334=6),4,"")))),IF(OR($N334=9,$N334=10,$N334=11),1,IF(OR($N334=12,$N334=1,$N334=2),2,IF(OR($N334=3,$N334=4,$N334=5),3,IF(OR($N334=6,$N334=7,$N334=8),4,"")))))</f>
        <v/>
      </c>
      <c r="P334" s="261"/>
      <c r="Q334" s="305"/>
      <c r="R334" s="302"/>
      <c r="S334" s="264">
        <f t="shared" si="28"/>
        <v>0</v>
      </c>
      <c r="T334" s="302"/>
      <c r="U334" s="302"/>
      <c r="V334" s="302"/>
      <c r="W334" s="302"/>
      <c r="X334" s="302"/>
      <c r="Y334" s="302"/>
      <c r="Z334" s="302"/>
      <c r="AA334" s="302"/>
      <c r="AB334" s="303"/>
      <c r="AC334" s="304"/>
      <c r="AD334" s="305"/>
      <c r="AE334" s="302"/>
      <c r="AF334" s="302"/>
      <c r="AG334" s="302"/>
      <c r="AH334" s="302"/>
      <c r="AI334" s="303"/>
      <c r="AJ334" s="303"/>
      <c r="AK334" s="302"/>
      <c r="AL334" s="314"/>
      <c r="AM334" s="305"/>
      <c r="AN334" s="302"/>
      <c r="AO334" s="302"/>
      <c r="AP334" s="302"/>
      <c r="AQ334" s="302"/>
      <c r="AR334" s="302"/>
      <c r="AS334" s="302"/>
      <c r="AT334" s="302"/>
      <c r="AU334" s="304"/>
      <c r="AV334" s="306"/>
      <c r="AW334" s="303"/>
      <c r="AX334" s="303"/>
      <c r="AY334" s="303"/>
      <c r="AZ334" s="303"/>
      <c r="BA334" s="303"/>
      <c r="BB334" s="303"/>
      <c r="BC334" s="303"/>
      <c r="BD334" s="304"/>
      <c r="BE334" s="305"/>
      <c r="BF334" s="302"/>
      <c r="BG334" s="307"/>
      <c r="BH334" s="308"/>
      <c r="BI334" s="302"/>
      <c r="BJ334" s="307"/>
      <c r="BK334" s="308"/>
      <c r="BL334" s="302"/>
      <c r="BM334" s="303"/>
      <c r="BN334" s="315"/>
      <c r="BO334" s="250">
        <f t="shared" si="29"/>
        <v>0</v>
      </c>
    </row>
    <row r="335" spans="1:67" ht="25.5" customHeight="1" x14ac:dyDescent="0.2">
      <c r="A335" s="142">
        <f t="shared" si="30"/>
        <v>320</v>
      </c>
      <c r="B335" s="251"/>
      <c r="C335" s="252"/>
      <c r="D335" s="253"/>
      <c r="E335" s="254"/>
      <c r="F335" s="278"/>
      <c r="G335" s="256"/>
      <c r="H335" s="257"/>
      <c r="I335" s="231" t="str">
        <f t="shared" si="25"/>
        <v/>
      </c>
      <c r="J335" s="258">
        <f t="shared" si="26"/>
        <v>0</v>
      </c>
      <c r="K335" s="313"/>
      <c r="L335" s="300"/>
      <c r="M335" s="300"/>
      <c r="N335" s="235" t="str">
        <f t="shared" si="27"/>
        <v/>
      </c>
      <c r="O335" s="236" t="str">
        <f>IF('Data Set up'!$G$40="JUNE",IF(OR($N335=7,$N335=8,$N335=9),1,IF(OR($N335=10,$N335=11,$N335=12),2,IF(OR($N335=1,$N335=2,$N335=3),3,IF(OR($N335=4,$N335=5,$N335=6),4,"")))),IF(OR($N335=9,$N335=10,$N335=11),1,IF(OR($N335=12,$N335=1,$N335=2),2,IF(OR($N335=3,$N335=4,$N335=5),3,IF(OR($N335=6,$N335=7,$N335=8),4,"")))))</f>
        <v/>
      </c>
      <c r="P335" s="261"/>
      <c r="Q335" s="305"/>
      <c r="R335" s="302"/>
      <c r="S335" s="264">
        <f t="shared" si="28"/>
        <v>0</v>
      </c>
      <c r="T335" s="302"/>
      <c r="U335" s="302"/>
      <c r="V335" s="302"/>
      <c r="W335" s="302"/>
      <c r="X335" s="302"/>
      <c r="Y335" s="302"/>
      <c r="Z335" s="302"/>
      <c r="AA335" s="302"/>
      <c r="AB335" s="303"/>
      <c r="AC335" s="304"/>
      <c r="AD335" s="305"/>
      <c r="AE335" s="302"/>
      <c r="AF335" s="302"/>
      <c r="AG335" s="302"/>
      <c r="AH335" s="302"/>
      <c r="AI335" s="303"/>
      <c r="AJ335" s="303"/>
      <c r="AK335" s="302"/>
      <c r="AL335" s="314"/>
      <c r="AM335" s="305"/>
      <c r="AN335" s="302"/>
      <c r="AO335" s="302"/>
      <c r="AP335" s="302"/>
      <c r="AQ335" s="302"/>
      <c r="AR335" s="302"/>
      <c r="AS335" s="302"/>
      <c r="AT335" s="302"/>
      <c r="AU335" s="304"/>
      <c r="AV335" s="306"/>
      <c r="AW335" s="303"/>
      <c r="AX335" s="303"/>
      <c r="AY335" s="303"/>
      <c r="AZ335" s="303"/>
      <c r="BA335" s="303"/>
      <c r="BB335" s="303"/>
      <c r="BC335" s="303"/>
      <c r="BD335" s="304"/>
      <c r="BE335" s="305"/>
      <c r="BF335" s="302"/>
      <c r="BG335" s="307"/>
      <c r="BH335" s="308"/>
      <c r="BI335" s="302"/>
      <c r="BJ335" s="307"/>
      <c r="BK335" s="308"/>
      <c r="BL335" s="302"/>
      <c r="BM335" s="303"/>
      <c r="BN335" s="315"/>
      <c r="BO335" s="250">
        <f t="shared" si="29"/>
        <v>0</v>
      </c>
    </row>
    <row r="336" spans="1:67" ht="25.5" customHeight="1" x14ac:dyDescent="0.2">
      <c r="A336" s="142">
        <f t="shared" si="30"/>
        <v>321</v>
      </c>
      <c r="B336" s="251"/>
      <c r="C336" s="252"/>
      <c r="D336" s="253"/>
      <c r="E336" s="254"/>
      <c r="F336" s="278"/>
      <c r="G336" s="256"/>
      <c r="H336" s="257"/>
      <c r="I336" s="231" t="str">
        <f t="shared" ref="I336:I399" si="31">LEFT(H336,4)</f>
        <v/>
      </c>
      <c r="J336" s="258">
        <f t="shared" ref="J336:J399" si="32">G336-BO336</f>
        <v>0</v>
      </c>
      <c r="K336" s="313"/>
      <c r="L336" s="300"/>
      <c r="M336" s="300"/>
      <c r="N336" s="235" t="str">
        <f t="shared" ref="N336:N399" si="33">IF($E336="","",MONTH($E336))</f>
        <v/>
      </c>
      <c r="O336" s="236" t="str">
        <f>IF('Data Set up'!$G$40="JUNE",IF(OR($N336=7,$N336=8,$N336=9),1,IF(OR($N336=10,$N336=11,$N336=12),2,IF(OR($N336=1,$N336=2,$N336=3),3,IF(OR($N336=4,$N336=5,$N336=6),4,"")))),IF(OR($N336=9,$N336=10,$N336=11),1,IF(OR($N336=12,$N336=1,$N336=2),2,IF(OR($N336=3,$N336=4,$N336=5),3,IF(OR($N336=6,$N336=7,$N336=8),4,"")))))</f>
        <v/>
      </c>
      <c r="P336" s="261"/>
      <c r="Q336" s="305"/>
      <c r="R336" s="302"/>
      <c r="S336" s="264">
        <f t="shared" ref="S336:S399" si="34">SUM(T336:W336)</f>
        <v>0</v>
      </c>
      <c r="T336" s="302"/>
      <c r="U336" s="302"/>
      <c r="V336" s="302"/>
      <c r="W336" s="302"/>
      <c r="X336" s="302"/>
      <c r="Y336" s="302"/>
      <c r="Z336" s="302"/>
      <c r="AA336" s="302"/>
      <c r="AB336" s="303"/>
      <c r="AC336" s="304"/>
      <c r="AD336" s="305"/>
      <c r="AE336" s="302"/>
      <c r="AF336" s="302"/>
      <c r="AG336" s="302"/>
      <c r="AH336" s="302"/>
      <c r="AI336" s="303"/>
      <c r="AJ336" s="303"/>
      <c r="AK336" s="302"/>
      <c r="AL336" s="314"/>
      <c r="AM336" s="305"/>
      <c r="AN336" s="302"/>
      <c r="AO336" s="302"/>
      <c r="AP336" s="302"/>
      <c r="AQ336" s="302"/>
      <c r="AR336" s="302"/>
      <c r="AS336" s="302"/>
      <c r="AT336" s="302"/>
      <c r="AU336" s="304"/>
      <c r="AV336" s="306"/>
      <c r="AW336" s="303"/>
      <c r="AX336" s="303"/>
      <c r="AY336" s="303"/>
      <c r="AZ336" s="303"/>
      <c r="BA336" s="303"/>
      <c r="BB336" s="303"/>
      <c r="BC336" s="303"/>
      <c r="BD336" s="304"/>
      <c r="BE336" s="305"/>
      <c r="BF336" s="302"/>
      <c r="BG336" s="307"/>
      <c r="BH336" s="308"/>
      <c r="BI336" s="302"/>
      <c r="BJ336" s="307"/>
      <c r="BK336" s="308"/>
      <c r="BL336" s="302"/>
      <c r="BM336" s="303"/>
      <c r="BN336" s="315"/>
      <c r="BO336" s="250">
        <f t="shared" ref="BO336:BO399" si="35">SUM(Q336:R336,T336:BN336)</f>
        <v>0</v>
      </c>
    </row>
    <row r="337" spans="1:67" ht="25.5" customHeight="1" x14ac:dyDescent="0.2">
      <c r="A337" s="142">
        <f t="shared" ref="A337:A400" si="36">$A336+1</f>
        <v>322</v>
      </c>
      <c r="B337" s="251"/>
      <c r="C337" s="252"/>
      <c r="D337" s="253"/>
      <c r="E337" s="254"/>
      <c r="F337" s="278"/>
      <c r="G337" s="256"/>
      <c r="H337" s="257"/>
      <c r="I337" s="231" t="str">
        <f t="shared" si="31"/>
        <v/>
      </c>
      <c r="J337" s="258">
        <f t="shared" si="32"/>
        <v>0</v>
      </c>
      <c r="K337" s="313"/>
      <c r="L337" s="300"/>
      <c r="M337" s="300"/>
      <c r="N337" s="235" t="str">
        <f t="shared" si="33"/>
        <v/>
      </c>
      <c r="O337" s="236" t="str">
        <f>IF('Data Set up'!$G$40="JUNE",IF(OR($N337=7,$N337=8,$N337=9),1,IF(OR($N337=10,$N337=11,$N337=12),2,IF(OR($N337=1,$N337=2,$N337=3),3,IF(OR($N337=4,$N337=5,$N337=6),4,"")))),IF(OR($N337=9,$N337=10,$N337=11),1,IF(OR($N337=12,$N337=1,$N337=2),2,IF(OR($N337=3,$N337=4,$N337=5),3,IF(OR($N337=6,$N337=7,$N337=8),4,"")))))</f>
        <v/>
      </c>
      <c r="P337" s="261"/>
      <c r="Q337" s="305"/>
      <c r="R337" s="302"/>
      <c r="S337" s="264">
        <f t="shared" si="34"/>
        <v>0</v>
      </c>
      <c r="T337" s="302"/>
      <c r="U337" s="302"/>
      <c r="V337" s="302"/>
      <c r="W337" s="302"/>
      <c r="X337" s="302"/>
      <c r="Y337" s="302"/>
      <c r="Z337" s="302"/>
      <c r="AA337" s="302"/>
      <c r="AB337" s="303"/>
      <c r="AC337" s="304"/>
      <c r="AD337" s="305"/>
      <c r="AE337" s="302"/>
      <c r="AF337" s="302"/>
      <c r="AG337" s="302"/>
      <c r="AH337" s="302"/>
      <c r="AI337" s="303"/>
      <c r="AJ337" s="303"/>
      <c r="AK337" s="302"/>
      <c r="AL337" s="314"/>
      <c r="AM337" s="305"/>
      <c r="AN337" s="302"/>
      <c r="AO337" s="302"/>
      <c r="AP337" s="302"/>
      <c r="AQ337" s="302"/>
      <c r="AR337" s="302"/>
      <c r="AS337" s="302"/>
      <c r="AT337" s="302"/>
      <c r="AU337" s="304"/>
      <c r="AV337" s="306"/>
      <c r="AW337" s="303"/>
      <c r="AX337" s="303"/>
      <c r="AY337" s="303"/>
      <c r="AZ337" s="303"/>
      <c r="BA337" s="303"/>
      <c r="BB337" s="303"/>
      <c r="BC337" s="303"/>
      <c r="BD337" s="304"/>
      <c r="BE337" s="305"/>
      <c r="BF337" s="302"/>
      <c r="BG337" s="307"/>
      <c r="BH337" s="308"/>
      <c r="BI337" s="302"/>
      <c r="BJ337" s="307"/>
      <c r="BK337" s="308"/>
      <c r="BL337" s="302"/>
      <c r="BM337" s="303"/>
      <c r="BN337" s="315"/>
      <c r="BO337" s="250">
        <f t="shared" si="35"/>
        <v>0</v>
      </c>
    </row>
    <row r="338" spans="1:67" ht="25.5" customHeight="1" x14ac:dyDescent="0.2">
      <c r="A338" s="142">
        <f t="shared" si="36"/>
        <v>323</v>
      </c>
      <c r="B338" s="251"/>
      <c r="C338" s="252"/>
      <c r="D338" s="253"/>
      <c r="E338" s="254"/>
      <c r="F338" s="278"/>
      <c r="G338" s="256"/>
      <c r="H338" s="257"/>
      <c r="I338" s="231" t="str">
        <f t="shared" si="31"/>
        <v/>
      </c>
      <c r="J338" s="258">
        <f t="shared" si="32"/>
        <v>0</v>
      </c>
      <c r="K338" s="313"/>
      <c r="L338" s="300"/>
      <c r="M338" s="300"/>
      <c r="N338" s="235" t="str">
        <f t="shared" si="33"/>
        <v/>
      </c>
      <c r="O338" s="236" t="str">
        <f>IF('Data Set up'!$G$40="JUNE",IF(OR($N338=7,$N338=8,$N338=9),1,IF(OR($N338=10,$N338=11,$N338=12),2,IF(OR($N338=1,$N338=2,$N338=3),3,IF(OR($N338=4,$N338=5,$N338=6),4,"")))),IF(OR($N338=9,$N338=10,$N338=11),1,IF(OR($N338=12,$N338=1,$N338=2),2,IF(OR($N338=3,$N338=4,$N338=5),3,IF(OR($N338=6,$N338=7,$N338=8),4,"")))))</f>
        <v/>
      </c>
      <c r="P338" s="261"/>
      <c r="Q338" s="305"/>
      <c r="R338" s="302"/>
      <c r="S338" s="264">
        <f t="shared" si="34"/>
        <v>0</v>
      </c>
      <c r="T338" s="302"/>
      <c r="U338" s="302"/>
      <c r="V338" s="302"/>
      <c r="W338" s="302"/>
      <c r="X338" s="302"/>
      <c r="Y338" s="302"/>
      <c r="Z338" s="302"/>
      <c r="AA338" s="302"/>
      <c r="AB338" s="303"/>
      <c r="AC338" s="304"/>
      <c r="AD338" s="305"/>
      <c r="AE338" s="302"/>
      <c r="AF338" s="302"/>
      <c r="AG338" s="302"/>
      <c r="AH338" s="302"/>
      <c r="AI338" s="303"/>
      <c r="AJ338" s="303"/>
      <c r="AK338" s="302"/>
      <c r="AL338" s="314"/>
      <c r="AM338" s="305"/>
      <c r="AN338" s="302"/>
      <c r="AO338" s="302"/>
      <c r="AP338" s="302"/>
      <c r="AQ338" s="302"/>
      <c r="AR338" s="302"/>
      <c r="AS338" s="302"/>
      <c r="AT338" s="302"/>
      <c r="AU338" s="304"/>
      <c r="AV338" s="306"/>
      <c r="AW338" s="303"/>
      <c r="AX338" s="303"/>
      <c r="AY338" s="303"/>
      <c r="AZ338" s="303"/>
      <c r="BA338" s="303"/>
      <c r="BB338" s="303"/>
      <c r="BC338" s="303"/>
      <c r="BD338" s="304"/>
      <c r="BE338" s="305"/>
      <c r="BF338" s="302"/>
      <c r="BG338" s="307"/>
      <c r="BH338" s="308"/>
      <c r="BI338" s="302"/>
      <c r="BJ338" s="307"/>
      <c r="BK338" s="308"/>
      <c r="BL338" s="302"/>
      <c r="BM338" s="303"/>
      <c r="BN338" s="315"/>
      <c r="BO338" s="250">
        <f t="shared" si="35"/>
        <v>0</v>
      </c>
    </row>
    <row r="339" spans="1:67" ht="25.5" customHeight="1" x14ac:dyDescent="0.2">
      <c r="A339" s="142">
        <f t="shared" si="36"/>
        <v>324</v>
      </c>
      <c r="B339" s="251"/>
      <c r="C339" s="252"/>
      <c r="D339" s="253"/>
      <c r="E339" s="254"/>
      <c r="F339" s="278"/>
      <c r="G339" s="256"/>
      <c r="H339" s="257"/>
      <c r="I339" s="231" t="str">
        <f t="shared" si="31"/>
        <v/>
      </c>
      <c r="J339" s="258">
        <f t="shared" si="32"/>
        <v>0</v>
      </c>
      <c r="K339" s="313"/>
      <c r="L339" s="300"/>
      <c r="M339" s="300"/>
      <c r="N339" s="235" t="str">
        <f t="shared" si="33"/>
        <v/>
      </c>
      <c r="O339" s="236" t="str">
        <f>IF('Data Set up'!$G$40="JUNE",IF(OR($N339=7,$N339=8,$N339=9),1,IF(OR($N339=10,$N339=11,$N339=12),2,IF(OR($N339=1,$N339=2,$N339=3),3,IF(OR($N339=4,$N339=5,$N339=6),4,"")))),IF(OR($N339=9,$N339=10,$N339=11),1,IF(OR($N339=12,$N339=1,$N339=2),2,IF(OR($N339=3,$N339=4,$N339=5),3,IF(OR($N339=6,$N339=7,$N339=8),4,"")))))</f>
        <v/>
      </c>
      <c r="P339" s="261"/>
      <c r="Q339" s="305"/>
      <c r="R339" s="302"/>
      <c r="S339" s="264">
        <f t="shared" si="34"/>
        <v>0</v>
      </c>
      <c r="T339" s="302"/>
      <c r="U339" s="302"/>
      <c r="V339" s="302"/>
      <c r="W339" s="302"/>
      <c r="X339" s="302"/>
      <c r="Y339" s="302"/>
      <c r="Z339" s="302"/>
      <c r="AA339" s="302"/>
      <c r="AB339" s="303"/>
      <c r="AC339" s="304"/>
      <c r="AD339" s="305"/>
      <c r="AE339" s="302"/>
      <c r="AF339" s="302"/>
      <c r="AG339" s="302"/>
      <c r="AH339" s="302"/>
      <c r="AI339" s="303"/>
      <c r="AJ339" s="303"/>
      <c r="AK339" s="302"/>
      <c r="AL339" s="314"/>
      <c r="AM339" s="305"/>
      <c r="AN339" s="302"/>
      <c r="AO339" s="302"/>
      <c r="AP339" s="302"/>
      <c r="AQ339" s="302"/>
      <c r="AR339" s="302"/>
      <c r="AS339" s="302"/>
      <c r="AT339" s="302"/>
      <c r="AU339" s="304"/>
      <c r="AV339" s="306"/>
      <c r="AW339" s="303"/>
      <c r="AX339" s="303"/>
      <c r="AY339" s="303"/>
      <c r="AZ339" s="303"/>
      <c r="BA339" s="303"/>
      <c r="BB339" s="303"/>
      <c r="BC339" s="303"/>
      <c r="BD339" s="304"/>
      <c r="BE339" s="305"/>
      <c r="BF339" s="302"/>
      <c r="BG339" s="307"/>
      <c r="BH339" s="308"/>
      <c r="BI339" s="302"/>
      <c r="BJ339" s="307"/>
      <c r="BK339" s="308"/>
      <c r="BL339" s="302"/>
      <c r="BM339" s="303"/>
      <c r="BN339" s="315"/>
      <c r="BO339" s="250">
        <f t="shared" si="35"/>
        <v>0</v>
      </c>
    </row>
    <row r="340" spans="1:67" ht="25.5" customHeight="1" x14ac:dyDescent="0.2">
      <c r="A340" s="142">
        <f t="shared" si="36"/>
        <v>325</v>
      </c>
      <c r="B340" s="251"/>
      <c r="C340" s="252"/>
      <c r="D340" s="253"/>
      <c r="E340" s="254"/>
      <c r="F340" s="278"/>
      <c r="G340" s="256"/>
      <c r="H340" s="257"/>
      <c r="I340" s="231" t="str">
        <f t="shared" si="31"/>
        <v/>
      </c>
      <c r="J340" s="258">
        <f t="shared" si="32"/>
        <v>0</v>
      </c>
      <c r="K340" s="313"/>
      <c r="L340" s="300"/>
      <c r="M340" s="300"/>
      <c r="N340" s="235" t="str">
        <f t="shared" si="33"/>
        <v/>
      </c>
      <c r="O340" s="236" t="str">
        <f>IF('Data Set up'!$G$40="JUNE",IF(OR($N340=7,$N340=8,$N340=9),1,IF(OR($N340=10,$N340=11,$N340=12),2,IF(OR($N340=1,$N340=2,$N340=3),3,IF(OR($N340=4,$N340=5,$N340=6),4,"")))),IF(OR($N340=9,$N340=10,$N340=11),1,IF(OR($N340=12,$N340=1,$N340=2),2,IF(OR($N340=3,$N340=4,$N340=5),3,IF(OR($N340=6,$N340=7,$N340=8),4,"")))))</f>
        <v/>
      </c>
      <c r="P340" s="261"/>
      <c r="Q340" s="305"/>
      <c r="R340" s="302"/>
      <c r="S340" s="264">
        <f t="shared" si="34"/>
        <v>0</v>
      </c>
      <c r="T340" s="302"/>
      <c r="U340" s="302"/>
      <c r="V340" s="302"/>
      <c r="W340" s="302"/>
      <c r="X340" s="302"/>
      <c r="Y340" s="302"/>
      <c r="Z340" s="302"/>
      <c r="AA340" s="302"/>
      <c r="AB340" s="303"/>
      <c r="AC340" s="304"/>
      <c r="AD340" s="305"/>
      <c r="AE340" s="302"/>
      <c r="AF340" s="302"/>
      <c r="AG340" s="302"/>
      <c r="AH340" s="302"/>
      <c r="AI340" s="303"/>
      <c r="AJ340" s="303"/>
      <c r="AK340" s="302"/>
      <c r="AL340" s="314"/>
      <c r="AM340" s="305"/>
      <c r="AN340" s="302"/>
      <c r="AO340" s="302"/>
      <c r="AP340" s="302"/>
      <c r="AQ340" s="302"/>
      <c r="AR340" s="302"/>
      <c r="AS340" s="302"/>
      <c r="AT340" s="302"/>
      <c r="AU340" s="304"/>
      <c r="AV340" s="306"/>
      <c r="AW340" s="303"/>
      <c r="AX340" s="303"/>
      <c r="AY340" s="303"/>
      <c r="AZ340" s="303"/>
      <c r="BA340" s="303"/>
      <c r="BB340" s="303"/>
      <c r="BC340" s="303"/>
      <c r="BD340" s="304"/>
      <c r="BE340" s="305"/>
      <c r="BF340" s="302"/>
      <c r="BG340" s="307"/>
      <c r="BH340" s="308"/>
      <c r="BI340" s="302"/>
      <c r="BJ340" s="307"/>
      <c r="BK340" s="308"/>
      <c r="BL340" s="302"/>
      <c r="BM340" s="303"/>
      <c r="BN340" s="315"/>
      <c r="BO340" s="250">
        <f t="shared" si="35"/>
        <v>0</v>
      </c>
    </row>
    <row r="341" spans="1:67" ht="25.5" customHeight="1" x14ac:dyDescent="0.2">
      <c r="A341" s="142">
        <f t="shared" si="36"/>
        <v>326</v>
      </c>
      <c r="B341" s="251"/>
      <c r="C341" s="252"/>
      <c r="D341" s="253"/>
      <c r="E341" s="254"/>
      <c r="F341" s="278"/>
      <c r="G341" s="256"/>
      <c r="H341" s="257"/>
      <c r="I341" s="231" t="str">
        <f t="shared" si="31"/>
        <v/>
      </c>
      <c r="J341" s="258">
        <f t="shared" si="32"/>
        <v>0</v>
      </c>
      <c r="K341" s="313"/>
      <c r="L341" s="300"/>
      <c r="M341" s="300"/>
      <c r="N341" s="235" t="str">
        <f t="shared" si="33"/>
        <v/>
      </c>
      <c r="O341" s="236" t="str">
        <f>IF('Data Set up'!$G$40="JUNE",IF(OR($N341=7,$N341=8,$N341=9),1,IF(OR($N341=10,$N341=11,$N341=12),2,IF(OR($N341=1,$N341=2,$N341=3),3,IF(OR($N341=4,$N341=5,$N341=6),4,"")))),IF(OR($N341=9,$N341=10,$N341=11),1,IF(OR($N341=12,$N341=1,$N341=2),2,IF(OR($N341=3,$N341=4,$N341=5),3,IF(OR($N341=6,$N341=7,$N341=8),4,"")))))</f>
        <v/>
      </c>
      <c r="P341" s="261"/>
      <c r="Q341" s="305"/>
      <c r="R341" s="302"/>
      <c r="S341" s="264">
        <f t="shared" si="34"/>
        <v>0</v>
      </c>
      <c r="T341" s="302"/>
      <c r="U341" s="302"/>
      <c r="V341" s="302"/>
      <c r="W341" s="302"/>
      <c r="X341" s="302"/>
      <c r="Y341" s="302"/>
      <c r="Z341" s="302"/>
      <c r="AA341" s="302"/>
      <c r="AB341" s="303"/>
      <c r="AC341" s="304"/>
      <c r="AD341" s="305"/>
      <c r="AE341" s="302"/>
      <c r="AF341" s="302"/>
      <c r="AG341" s="302"/>
      <c r="AH341" s="302"/>
      <c r="AI341" s="303"/>
      <c r="AJ341" s="303"/>
      <c r="AK341" s="302"/>
      <c r="AL341" s="314"/>
      <c r="AM341" s="305"/>
      <c r="AN341" s="302"/>
      <c r="AO341" s="302"/>
      <c r="AP341" s="302"/>
      <c r="AQ341" s="302"/>
      <c r="AR341" s="302"/>
      <c r="AS341" s="302"/>
      <c r="AT341" s="302"/>
      <c r="AU341" s="304"/>
      <c r="AV341" s="306"/>
      <c r="AW341" s="303"/>
      <c r="AX341" s="303"/>
      <c r="AY341" s="303"/>
      <c r="AZ341" s="303"/>
      <c r="BA341" s="303"/>
      <c r="BB341" s="303"/>
      <c r="BC341" s="303"/>
      <c r="BD341" s="304"/>
      <c r="BE341" s="305"/>
      <c r="BF341" s="302"/>
      <c r="BG341" s="307"/>
      <c r="BH341" s="308"/>
      <c r="BI341" s="302"/>
      <c r="BJ341" s="307"/>
      <c r="BK341" s="308"/>
      <c r="BL341" s="302"/>
      <c r="BM341" s="303"/>
      <c r="BN341" s="315"/>
      <c r="BO341" s="250">
        <f t="shared" si="35"/>
        <v>0</v>
      </c>
    </row>
    <row r="342" spans="1:67" ht="25.5" customHeight="1" x14ac:dyDescent="0.2">
      <c r="A342" s="142">
        <f t="shared" si="36"/>
        <v>327</v>
      </c>
      <c r="B342" s="251"/>
      <c r="C342" s="252"/>
      <c r="D342" s="253"/>
      <c r="E342" s="254"/>
      <c r="F342" s="278"/>
      <c r="G342" s="256"/>
      <c r="H342" s="257"/>
      <c r="I342" s="231" t="str">
        <f t="shared" si="31"/>
        <v/>
      </c>
      <c r="J342" s="258">
        <f t="shared" si="32"/>
        <v>0</v>
      </c>
      <c r="K342" s="313"/>
      <c r="L342" s="300"/>
      <c r="M342" s="300"/>
      <c r="N342" s="235" t="str">
        <f t="shared" si="33"/>
        <v/>
      </c>
      <c r="O342" s="236" t="str">
        <f>IF('Data Set up'!$G$40="JUNE",IF(OR($N342=7,$N342=8,$N342=9),1,IF(OR($N342=10,$N342=11,$N342=12),2,IF(OR($N342=1,$N342=2,$N342=3),3,IF(OR($N342=4,$N342=5,$N342=6),4,"")))),IF(OR($N342=9,$N342=10,$N342=11),1,IF(OR($N342=12,$N342=1,$N342=2),2,IF(OR($N342=3,$N342=4,$N342=5),3,IF(OR($N342=6,$N342=7,$N342=8),4,"")))))</f>
        <v/>
      </c>
      <c r="P342" s="261"/>
      <c r="Q342" s="305"/>
      <c r="R342" s="302"/>
      <c r="S342" s="264">
        <f t="shared" si="34"/>
        <v>0</v>
      </c>
      <c r="T342" s="302"/>
      <c r="U342" s="302"/>
      <c r="V342" s="302"/>
      <c r="W342" s="302"/>
      <c r="X342" s="302"/>
      <c r="Y342" s="302"/>
      <c r="Z342" s="302"/>
      <c r="AA342" s="302"/>
      <c r="AB342" s="303"/>
      <c r="AC342" s="304"/>
      <c r="AD342" s="305"/>
      <c r="AE342" s="302"/>
      <c r="AF342" s="302"/>
      <c r="AG342" s="302"/>
      <c r="AH342" s="302"/>
      <c r="AI342" s="303"/>
      <c r="AJ342" s="303"/>
      <c r="AK342" s="302"/>
      <c r="AL342" s="314"/>
      <c r="AM342" s="305"/>
      <c r="AN342" s="302"/>
      <c r="AO342" s="302"/>
      <c r="AP342" s="302"/>
      <c r="AQ342" s="302"/>
      <c r="AR342" s="302"/>
      <c r="AS342" s="302"/>
      <c r="AT342" s="302"/>
      <c r="AU342" s="304"/>
      <c r="AV342" s="306"/>
      <c r="AW342" s="303"/>
      <c r="AX342" s="303"/>
      <c r="AY342" s="303"/>
      <c r="AZ342" s="303"/>
      <c r="BA342" s="303"/>
      <c r="BB342" s="303"/>
      <c r="BC342" s="303"/>
      <c r="BD342" s="304"/>
      <c r="BE342" s="305"/>
      <c r="BF342" s="302"/>
      <c r="BG342" s="307"/>
      <c r="BH342" s="308"/>
      <c r="BI342" s="302"/>
      <c r="BJ342" s="307"/>
      <c r="BK342" s="308"/>
      <c r="BL342" s="302"/>
      <c r="BM342" s="303"/>
      <c r="BN342" s="315"/>
      <c r="BO342" s="250">
        <f t="shared" si="35"/>
        <v>0</v>
      </c>
    </row>
    <row r="343" spans="1:67" ht="25.5" customHeight="1" x14ac:dyDescent="0.2">
      <c r="A343" s="142">
        <f t="shared" si="36"/>
        <v>328</v>
      </c>
      <c r="B343" s="251"/>
      <c r="C343" s="252"/>
      <c r="D343" s="253"/>
      <c r="E343" s="254"/>
      <c r="F343" s="278"/>
      <c r="G343" s="256"/>
      <c r="H343" s="257"/>
      <c r="I343" s="231" t="str">
        <f t="shared" si="31"/>
        <v/>
      </c>
      <c r="J343" s="258">
        <f t="shared" si="32"/>
        <v>0</v>
      </c>
      <c r="K343" s="313"/>
      <c r="L343" s="300"/>
      <c r="M343" s="300"/>
      <c r="N343" s="235" t="str">
        <f t="shared" si="33"/>
        <v/>
      </c>
      <c r="O343" s="236" t="str">
        <f>IF('Data Set up'!$G$40="JUNE",IF(OR($N343=7,$N343=8,$N343=9),1,IF(OR($N343=10,$N343=11,$N343=12),2,IF(OR($N343=1,$N343=2,$N343=3),3,IF(OR($N343=4,$N343=5,$N343=6),4,"")))),IF(OR($N343=9,$N343=10,$N343=11),1,IF(OR($N343=12,$N343=1,$N343=2),2,IF(OR($N343=3,$N343=4,$N343=5),3,IF(OR($N343=6,$N343=7,$N343=8),4,"")))))</f>
        <v/>
      </c>
      <c r="P343" s="261"/>
      <c r="Q343" s="305"/>
      <c r="R343" s="302"/>
      <c r="S343" s="264">
        <f t="shared" si="34"/>
        <v>0</v>
      </c>
      <c r="T343" s="302"/>
      <c r="U343" s="302"/>
      <c r="V343" s="302"/>
      <c r="W343" s="302"/>
      <c r="X343" s="302"/>
      <c r="Y343" s="302"/>
      <c r="Z343" s="302"/>
      <c r="AA343" s="302"/>
      <c r="AB343" s="303"/>
      <c r="AC343" s="304"/>
      <c r="AD343" s="305"/>
      <c r="AE343" s="302"/>
      <c r="AF343" s="302"/>
      <c r="AG343" s="302"/>
      <c r="AH343" s="302"/>
      <c r="AI343" s="303"/>
      <c r="AJ343" s="303"/>
      <c r="AK343" s="302"/>
      <c r="AL343" s="314"/>
      <c r="AM343" s="305"/>
      <c r="AN343" s="302"/>
      <c r="AO343" s="302"/>
      <c r="AP343" s="302"/>
      <c r="AQ343" s="302"/>
      <c r="AR343" s="302"/>
      <c r="AS343" s="302"/>
      <c r="AT343" s="302"/>
      <c r="AU343" s="304"/>
      <c r="AV343" s="306"/>
      <c r="AW343" s="303"/>
      <c r="AX343" s="303"/>
      <c r="AY343" s="303"/>
      <c r="AZ343" s="303"/>
      <c r="BA343" s="303"/>
      <c r="BB343" s="303"/>
      <c r="BC343" s="303"/>
      <c r="BD343" s="304"/>
      <c r="BE343" s="305"/>
      <c r="BF343" s="302"/>
      <c r="BG343" s="307"/>
      <c r="BH343" s="308"/>
      <c r="BI343" s="302"/>
      <c r="BJ343" s="307"/>
      <c r="BK343" s="308"/>
      <c r="BL343" s="302"/>
      <c r="BM343" s="303"/>
      <c r="BN343" s="315"/>
      <c r="BO343" s="250">
        <f t="shared" si="35"/>
        <v>0</v>
      </c>
    </row>
    <row r="344" spans="1:67" ht="25.5" customHeight="1" x14ac:dyDescent="0.2">
      <c r="A344" s="142">
        <f t="shared" si="36"/>
        <v>329</v>
      </c>
      <c r="B344" s="251"/>
      <c r="C344" s="252"/>
      <c r="D344" s="253"/>
      <c r="E344" s="254"/>
      <c r="F344" s="278"/>
      <c r="G344" s="256"/>
      <c r="H344" s="257"/>
      <c r="I344" s="231" t="str">
        <f t="shared" si="31"/>
        <v/>
      </c>
      <c r="J344" s="258">
        <f t="shared" si="32"/>
        <v>0</v>
      </c>
      <c r="K344" s="313"/>
      <c r="L344" s="300"/>
      <c r="M344" s="300"/>
      <c r="N344" s="235" t="str">
        <f t="shared" si="33"/>
        <v/>
      </c>
      <c r="O344" s="236" t="str">
        <f>IF('Data Set up'!$G$40="JUNE",IF(OR($N344=7,$N344=8,$N344=9),1,IF(OR($N344=10,$N344=11,$N344=12),2,IF(OR($N344=1,$N344=2,$N344=3),3,IF(OR($N344=4,$N344=5,$N344=6),4,"")))),IF(OR($N344=9,$N344=10,$N344=11),1,IF(OR($N344=12,$N344=1,$N344=2),2,IF(OR($N344=3,$N344=4,$N344=5),3,IF(OR($N344=6,$N344=7,$N344=8),4,"")))))</f>
        <v/>
      </c>
      <c r="P344" s="261"/>
      <c r="Q344" s="305"/>
      <c r="R344" s="302"/>
      <c r="S344" s="264">
        <f t="shared" si="34"/>
        <v>0</v>
      </c>
      <c r="T344" s="302"/>
      <c r="U344" s="302"/>
      <c r="V344" s="302"/>
      <c r="W344" s="302"/>
      <c r="X344" s="302"/>
      <c r="Y344" s="302"/>
      <c r="Z344" s="302"/>
      <c r="AA344" s="302"/>
      <c r="AB344" s="303"/>
      <c r="AC344" s="304"/>
      <c r="AD344" s="305"/>
      <c r="AE344" s="302"/>
      <c r="AF344" s="302"/>
      <c r="AG344" s="302"/>
      <c r="AH344" s="302"/>
      <c r="AI344" s="303"/>
      <c r="AJ344" s="303"/>
      <c r="AK344" s="302"/>
      <c r="AL344" s="314"/>
      <c r="AM344" s="305"/>
      <c r="AN344" s="302"/>
      <c r="AO344" s="302"/>
      <c r="AP344" s="302"/>
      <c r="AQ344" s="302"/>
      <c r="AR344" s="302"/>
      <c r="AS344" s="302"/>
      <c r="AT344" s="302"/>
      <c r="AU344" s="304"/>
      <c r="AV344" s="306"/>
      <c r="AW344" s="303"/>
      <c r="AX344" s="303"/>
      <c r="AY344" s="303"/>
      <c r="AZ344" s="303"/>
      <c r="BA344" s="303"/>
      <c r="BB344" s="303"/>
      <c r="BC344" s="303"/>
      <c r="BD344" s="304"/>
      <c r="BE344" s="305"/>
      <c r="BF344" s="302"/>
      <c r="BG344" s="307"/>
      <c r="BH344" s="308"/>
      <c r="BI344" s="302"/>
      <c r="BJ344" s="307"/>
      <c r="BK344" s="308"/>
      <c r="BL344" s="302"/>
      <c r="BM344" s="303"/>
      <c r="BN344" s="315"/>
      <c r="BO344" s="250">
        <f t="shared" si="35"/>
        <v>0</v>
      </c>
    </row>
    <row r="345" spans="1:67" ht="25.5" customHeight="1" x14ac:dyDescent="0.2">
      <c r="A345" s="142">
        <f t="shared" si="36"/>
        <v>330</v>
      </c>
      <c r="B345" s="251"/>
      <c r="C345" s="252"/>
      <c r="D345" s="253"/>
      <c r="E345" s="254"/>
      <c r="F345" s="278"/>
      <c r="G345" s="256"/>
      <c r="H345" s="257"/>
      <c r="I345" s="231" t="str">
        <f t="shared" si="31"/>
        <v/>
      </c>
      <c r="J345" s="258">
        <f t="shared" si="32"/>
        <v>0</v>
      </c>
      <c r="K345" s="313"/>
      <c r="L345" s="300"/>
      <c r="M345" s="300"/>
      <c r="N345" s="235" t="str">
        <f t="shared" si="33"/>
        <v/>
      </c>
      <c r="O345" s="236" t="str">
        <f>IF('Data Set up'!$G$40="JUNE",IF(OR($N345=7,$N345=8,$N345=9),1,IF(OR($N345=10,$N345=11,$N345=12),2,IF(OR($N345=1,$N345=2,$N345=3),3,IF(OR($N345=4,$N345=5,$N345=6),4,"")))),IF(OR($N345=9,$N345=10,$N345=11),1,IF(OR($N345=12,$N345=1,$N345=2),2,IF(OR($N345=3,$N345=4,$N345=5),3,IF(OR($N345=6,$N345=7,$N345=8),4,"")))))</f>
        <v/>
      </c>
      <c r="P345" s="261"/>
      <c r="Q345" s="305"/>
      <c r="R345" s="302"/>
      <c r="S345" s="264">
        <f t="shared" si="34"/>
        <v>0</v>
      </c>
      <c r="T345" s="302"/>
      <c r="U345" s="302"/>
      <c r="V345" s="302"/>
      <c r="W345" s="302"/>
      <c r="X345" s="302"/>
      <c r="Y345" s="302"/>
      <c r="Z345" s="302"/>
      <c r="AA345" s="302"/>
      <c r="AB345" s="303"/>
      <c r="AC345" s="304"/>
      <c r="AD345" s="305"/>
      <c r="AE345" s="302"/>
      <c r="AF345" s="302"/>
      <c r="AG345" s="302"/>
      <c r="AH345" s="302"/>
      <c r="AI345" s="303"/>
      <c r="AJ345" s="303"/>
      <c r="AK345" s="302"/>
      <c r="AL345" s="314"/>
      <c r="AM345" s="305"/>
      <c r="AN345" s="302"/>
      <c r="AO345" s="302"/>
      <c r="AP345" s="302"/>
      <c r="AQ345" s="302"/>
      <c r="AR345" s="302"/>
      <c r="AS345" s="302"/>
      <c r="AT345" s="302"/>
      <c r="AU345" s="304"/>
      <c r="AV345" s="306"/>
      <c r="AW345" s="303"/>
      <c r="AX345" s="303"/>
      <c r="AY345" s="303"/>
      <c r="AZ345" s="303"/>
      <c r="BA345" s="303"/>
      <c r="BB345" s="303"/>
      <c r="BC345" s="303"/>
      <c r="BD345" s="304"/>
      <c r="BE345" s="305"/>
      <c r="BF345" s="302"/>
      <c r="BG345" s="307"/>
      <c r="BH345" s="308"/>
      <c r="BI345" s="302"/>
      <c r="BJ345" s="307"/>
      <c r="BK345" s="308"/>
      <c r="BL345" s="302"/>
      <c r="BM345" s="303"/>
      <c r="BN345" s="315"/>
      <c r="BO345" s="250">
        <f t="shared" si="35"/>
        <v>0</v>
      </c>
    </row>
    <row r="346" spans="1:67" ht="25.5" customHeight="1" x14ac:dyDescent="0.2">
      <c r="A346" s="142">
        <f t="shared" si="36"/>
        <v>331</v>
      </c>
      <c r="B346" s="251"/>
      <c r="C346" s="252"/>
      <c r="D346" s="253"/>
      <c r="E346" s="254"/>
      <c r="F346" s="278"/>
      <c r="G346" s="256"/>
      <c r="H346" s="257"/>
      <c r="I346" s="231" t="str">
        <f t="shared" si="31"/>
        <v/>
      </c>
      <c r="J346" s="258">
        <f t="shared" si="32"/>
        <v>0</v>
      </c>
      <c r="K346" s="313"/>
      <c r="L346" s="300"/>
      <c r="M346" s="300"/>
      <c r="N346" s="235" t="str">
        <f t="shared" si="33"/>
        <v/>
      </c>
      <c r="O346" s="236" t="str">
        <f>IF('Data Set up'!$G$40="JUNE",IF(OR($N346=7,$N346=8,$N346=9),1,IF(OR($N346=10,$N346=11,$N346=12),2,IF(OR($N346=1,$N346=2,$N346=3),3,IF(OR($N346=4,$N346=5,$N346=6),4,"")))),IF(OR($N346=9,$N346=10,$N346=11),1,IF(OR($N346=12,$N346=1,$N346=2),2,IF(OR($N346=3,$N346=4,$N346=5),3,IF(OR($N346=6,$N346=7,$N346=8),4,"")))))</f>
        <v/>
      </c>
      <c r="P346" s="261"/>
      <c r="Q346" s="305"/>
      <c r="R346" s="302"/>
      <c r="S346" s="264">
        <f t="shared" si="34"/>
        <v>0</v>
      </c>
      <c r="T346" s="302"/>
      <c r="U346" s="302"/>
      <c r="V346" s="302"/>
      <c r="W346" s="302"/>
      <c r="X346" s="302"/>
      <c r="Y346" s="302"/>
      <c r="Z346" s="302"/>
      <c r="AA346" s="302"/>
      <c r="AB346" s="303"/>
      <c r="AC346" s="304"/>
      <c r="AD346" s="305"/>
      <c r="AE346" s="302"/>
      <c r="AF346" s="302"/>
      <c r="AG346" s="302"/>
      <c r="AH346" s="302"/>
      <c r="AI346" s="303"/>
      <c r="AJ346" s="303"/>
      <c r="AK346" s="302"/>
      <c r="AL346" s="314"/>
      <c r="AM346" s="305"/>
      <c r="AN346" s="302"/>
      <c r="AO346" s="302"/>
      <c r="AP346" s="302"/>
      <c r="AQ346" s="302"/>
      <c r="AR346" s="302"/>
      <c r="AS346" s="302"/>
      <c r="AT346" s="302"/>
      <c r="AU346" s="304"/>
      <c r="AV346" s="306"/>
      <c r="AW346" s="303"/>
      <c r="AX346" s="303"/>
      <c r="AY346" s="303"/>
      <c r="AZ346" s="303"/>
      <c r="BA346" s="303"/>
      <c r="BB346" s="303"/>
      <c r="BC346" s="303"/>
      <c r="BD346" s="304"/>
      <c r="BE346" s="305"/>
      <c r="BF346" s="302"/>
      <c r="BG346" s="307"/>
      <c r="BH346" s="308"/>
      <c r="BI346" s="302"/>
      <c r="BJ346" s="307"/>
      <c r="BK346" s="308"/>
      <c r="BL346" s="302"/>
      <c r="BM346" s="303"/>
      <c r="BN346" s="315"/>
      <c r="BO346" s="250">
        <f t="shared" si="35"/>
        <v>0</v>
      </c>
    </row>
    <row r="347" spans="1:67" ht="25.5" customHeight="1" x14ac:dyDescent="0.2">
      <c r="A347" s="142">
        <f t="shared" si="36"/>
        <v>332</v>
      </c>
      <c r="B347" s="251"/>
      <c r="C347" s="252"/>
      <c r="D347" s="253"/>
      <c r="E347" s="254"/>
      <c r="F347" s="278"/>
      <c r="G347" s="256"/>
      <c r="H347" s="257"/>
      <c r="I347" s="231" t="str">
        <f t="shared" si="31"/>
        <v/>
      </c>
      <c r="J347" s="258">
        <f t="shared" si="32"/>
        <v>0</v>
      </c>
      <c r="K347" s="313"/>
      <c r="L347" s="300"/>
      <c r="M347" s="300"/>
      <c r="N347" s="235" t="str">
        <f t="shared" si="33"/>
        <v/>
      </c>
      <c r="O347" s="236" t="str">
        <f>IF('Data Set up'!$G$40="JUNE",IF(OR($N347=7,$N347=8,$N347=9),1,IF(OR($N347=10,$N347=11,$N347=12),2,IF(OR($N347=1,$N347=2,$N347=3),3,IF(OR($N347=4,$N347=5,$N347=6),4,"")))),IF(OR($N347=9,$N347=10,$N347=11),1,IF(OR($N347=12,$N347=1,$N347=2),2,IF(OR($N347=3,$N347=4,$N347=5),3,IF(OR($N347=6,$N347=7,$N347=8),4,"")))))</f>
        <v/>
      </c>
      <c r="P347" s="261"/>
      <c r="Q347" s="305"/>
      <c r="R347" s="302"/>
      <c r="S347" s="264">
        <f t="shared" si="34"/>
        <v>0</v>
      </c>
      <c r="T347" s="302"/>
      <c r="U347" s="302"/>
      <c r="V347" s="302"/>
      <c r="W347" s="302"/>
      <c r="X347" s="302"/>
      <c r="Y347" s="302"/>
      <c r="Z347" s="302"/>
      <c r="AA347" s="302"/>
      <c r="AB347" s="303"/>
      <c r="AC347" s="304"/>
      <c r="AD347" s="305"/>
      <c r="AE347" s="302"/>
      <c r="AF347" s="302"/>
      <c r="AG347" s="302"/>
      <c r="AH347" s="302"/>
      <c r="AI347" s="303"/>
      <c r="AJ347" s="303"/>
      <c r="AK347" s="302"/>
      <c r="AL347" s="314"/>
      <c r="AM347" s="305"/>
      <c r="AN347" s="302"/>
      <c r="AO347" s="302"/>
      <c r="AP347" s="302"/>
      <c r="AQ347" s="302"/>
      <c r="AR347" s="302"/>
      <c r="AS347" s="302"/>
      <c r="AT347" s="302"/>
      <c r="AU347" s="304"/>
      <c r="AV347" s="306"/>
      <c r="AW347" s="303"/>
      <c r="AX347" s="303"/>
      <c r="AY347" s="303"/>
      <c r="AZ347" s="303"/>
      <c r="BA347" s="303"/>
      <c r="BB347" s="303"/>
      <c r="BC347" s="303"/>
      <c r="BD347" s="304"/>
      <c r="BE347" s="305"/>
      <c r="BF347" s="302"/>
      <c r="BG347" s="307"/>
      <c r="BH347" s="308"/>
      <c r="BI347" s="302"/>
      <c r="BJ347" s="307"/>
      <c r="BK347" s="308"/>
      <c r="BL347" s="302"/>
      <c r="BM347" s="303"/>
      <c r="BN347" s="315"/>
      <c r="BO347" s="250">
        <f t="shared" si="35"/>
        <v>0</v>
      </c>
    </row>
    <row r="348" spans="1:67" ht="25.5" customHeight="1" x14ac:dyDescent="0.2">
      <c r="A348" s="142">
        <f t="shared" si="36"/>
        <v>333</v>
      </c>
      <c r="B348" s="251"/>
      <c r="C348" s="252"/>
      <c r="D348" s="253"/>
      <c r="E348" s="254"/>
      <c r="F348" s="278"/>
      <c r="G348" s="256"/>
      <c r="H348" s="257"/>
      <c r="I348" s="231" t="str">
        <f t="shared" si="31"/>
        <v/>
      </c>
      <c r="J348" s="258">
        <f t="shared" si="32"/>
        <v>0</v>
      </c>
      <c r="K348" s="313"/>
      <c r="L348" s="300"/>
      <c r="M348" s="300"/>
      <c r="N348" s="235" t="str">
        <f t="shared" si="33"/>
        <v/>
      </c>
      <c r="O348" s="236" t="str">
        <f>IF('Data Set up'!$G$40="JUNE",IF(OR($N348=7,$N348=8,$N348=9),1,IF(OR($N348=10,$N348=11,$N348=12),2,IF(OR($N348=1,$N348=2,$N348=3),3,IF(OR($N348=4,$N348=5,$N348=6),4,"")))),IF(OR($N348=9,$N348=10,$N348=11),1,IF(OR($N348=12,$N348=1,$N348=2),2,IF(OR($N348=3,$N348=4,$N348=5),3,IF(OR($N348=6,$N348=7,$N348=8),4,"")))))</f>
        <v/>
      </c>
      <c r="P348" s="261"/>
      <c r="Q348" s="305"/>
      <c r="R348" s="302"/>
      <c r="S348" s="264">
        <f t="shared" si="34"/>
        <v>0</v>
      </c>
      <c r="T348" s="302"/>
      <c r="U348" s="302"/>
      <c r="V348" s="302"/>
      <c r="W348" s="302"/>
      <c r="X348" s="302"/>
      <c r="Y348" s="302"/>
      <c r="Z348" s="302"/>
      <c r="AA348" s="302"/>
      <c r="AB348" s="303"/>
      <c r="AC348" s="304"/>
      <c r="AD348" s="305"/>
      <c r="AE348" s="302"/>
      <c r="AF348" s="302"/>
      <c r="AG348" s="302"/>
      <c r="AH348" s="302"/>
      <c r="AI348" s="303"/>
      <c r="AJ348" s="303"/>
      <c r="AK348" s="302"/>
      <c r="AL348" s="314"/>
      <c r="AM348" s="305"/>
      <c r="AN348" s="302"/>
      <c r="AO348" s="302"/>
      <c r="AP348" s="302"/>
      <c r="AQ348" s="302"/>
      <c r="AR348" s="302"/>
      <c r="AS348" s="302"/>
      <c r="AT348" s="302"/>
      <c r="AU348" s="304"/>
      <c r="AV348" s="306"/>
      <c r="AW348" s="303"/>
      <c r="AX348" s="303"/>
      <c r="AY348" s="303"/>
      <c r="AZ348" s="303"/>
      <c r="BA348" s="303"/>
      <c r="BB348" s="303"/>
      <c r="BC348" s="303"/>
      <c r="BD348" s="304"/>
      <c r="BE348" s="305"/>
      <c r="BF348" s="302"/>
      <c r="BG348" s="307"/>
      <c r="BH348" s="308"/>
      <c r="BI348" s="302"/>
      <c r="BJ348" s="307"/>
      <c r="BK348" s="308"/>
      <c r="BL348" s="302"/>
      <c r="BM348" s="303"/>
      <c r="BN348" s="315"/>
      <c r="BO348" s="250">
        <f t="shared" si="35"/>
        <v>0</v>
      </c>
    </row>
    <row r="349" spans="1:67" ht="25.5" customHeight="1" x14ac:dyDescent="0.2">
      <c r="A349" s="142">
        <f t="shared" si="36"/>
        <v>334</v>
      </c>
      <c r="B349" s="251"/>
      <c r="C349" s="252"/>
      <c r="D349" s="253"/>
      <c r="E349" s="254"/>
      <c r="F349" s="278"/>
      <c r="G349" s="256"/>
      <c r="H349" s="257"/>
      <c r="I349" s="231" t="str">
        <f t="shared" si="31"/>
        <v/>
      </c>
      <c r="J349" s="258">
        <f t="shared" si="32"/>
        <v>0</v>
      </c>
      <c r="K349" s="313"/>
      <c r="L349" s="300"/>
      <c r="M349" s="300"/>
      <c r="N349" s="235" t="str">
        <f t="shared" si="33"/>
        <v/>
      </c>
      <c r="O349" s="236" t="str">
        <f>IF('Data Set up'!$G$40="JUNE",IF(OR($N349=7,$N349=8,$N349=9),1,IF(OR($N349=10,$N349=11,$N349=12),2,IF(OR($N349=1,$N349=2,$N349=3),3,IF(OR($N349=4,$N349=5,$N349=6),4,"")))),IF(OR($N349=9,$N349=10,$N349=11),1,IF(OR($N349=12,$N349=1,$N349=2),2,IF(OR($N349=3,$N349=4,$N349=5),3,IF(OR($N349=6,$N349=7,$N349=8),4,"")))))</f>
        <v/>
      </c>
      <c r="P349" s="261"/>
      <c r="Q349" s="305"/>
      <c r="R349" s="302"/>
      <c r="S349" s="264">
        <f t="shared" si="34"/>
        <v>0</v>
      </c>
      <c r="T349" s="302"/>
      <c r="U349" s="302"/>
      <c r="V349" s="302"/>
      <c r="W349" s="302"/>
      <c r="X349" s="302"/>
      <c r="Y349" s="302"/>
      <c r="Z349" s="302"/>
      <c r="AA349" s="302"/>
      <c r="AB349" s="303"/>
      <c r="AC349" s="304"/>
      <c r="AD349" s="305"/>
      <c r="AE349" s="302"/>
      <c r="AF349" s="302"/>
      <c r="AG349" s="302"/>
      <c r="AH349" s="302"/>
      <c r="AI349" s="303"/>
      <c r="AJ349" s="303"/>
      <c r="AK349" s="302"/>
      <c r="AL349" s="314"/>
      <c r="AM349" s="305"/>
      <c r="AN349" s="302"/>
      <c r="AO349" s="302"/>
      <c r="AP349" s="302"/>
      <c r="AQ349" s="302"/>
      <c r="AR349" s="302"/>
      <c r="AS349" s="302"/>
      <c r="AT349" s="302"/>
      <c r="AU349" s="304"/>
      <c r="AV349" s="306"/>
      <c r="AW349" s="303"/>
      <c r="AX349" s="303"/>
      <c r="AY349" s="303"/>
      <c r="AZ349" s="303"/>
      <c r="BA349" s="303"/>
      <c r="BB349" s="303"/>
      <c r="BC349" s="303"/>
      <c r="BD349" s="304"/>
      <c r="BE349" s="305"/>
      <c r="BF349" s="302"/>
      <c r="BG349" s="307"/>
      <c r="BH349" s="308"/>
      <c r="BI349" s="302"/>
      <c r="BJ349" s="307"/>
      <c r="BK349" s="308"/>
      <c r="BL349" s="302"/>
      <c r="BM349" s="303"/>
      <c r="BN349" s="315"/>
      <c r="BO349" s="250">
        <f t="shared" si="35"/>
        <v>0</v>
      </c>
    </row>
    <row r="350" spans="1:67" ht="25.5" customHeight="1" x14ac:dyDescent="0.2">
      <c r="A350" s="142">
        <f t="shared" si="36"/>
        <v>335</v>
      </c>
      <c r="B350" s="251"/>
      <c r="C350" s="252"/>
      <c r="D350" s="253"/>
      <c r="E350" s="254"/>
      <c r="F350" s="278"/>
      <c r="G350" s="256"/>
      <c r="H350" s="257"/>
      <c r="I350" s="231" t="str">
        <f t="shared" si="31"/>
        <v/>
      </c>
      <c r="J350" s="258">
        <f t="shared" si="32"/>
        <v>0</v>
      </c>
      <c r="K350" s="313"/>
      <c r="L350" s="300"/>
      <c r="M350" s="300"/>
      <c r="N350" s="235" t="str">
        <f t="shared" si="33"/>
        <v/>
      </c>
      <c r="O350" s="236" t="str">
        <f>IF('Data Set up'!$G$40="JUNE",IF(OR($N350=7,$N350=8,$N350=9),1,IF(OR($N350=10,$N350=11,$N350=12),2,IF(OR($N350=1,$N350=2,$N350=3),3,IF(OR($N350=4,$N350=5,$N350=6),4,"")))),IF(OR($N350=9,$N350=10,$N350=11),1,IF(OR($N350=12,$N350=1,$N350=2),2,IF(OR($N350=3,$N350=4,$N350=5),3,IF(OR($N350=6,$N350=7,$N350=8),4,"")))))</f>
        <v/>
      </c>
      <c r="P350" s="261"/>
      <c r="Q350" s="305"/>
      <c r="R350" s="302"/>
      <c r="S350" s="264">
        <f t="shared" si="34"/>
        <v>0</v>
      </c>
      <c r="T350" s="302"/>
      <c r="U350" s="302"/>
      <c r="V350" s="302"/>
      <c r="W350" s="302"/>
      <c r="X350" s="302"/>
      <c r="Y350" s="302"/>
      <c r="Z350" s="302"/>
      <c r="AA350" s="302"/>
      <c r="AB350" s="303"/>
      <c r="AC350" s="304"/>
      <c r="AD350" s="305"/>
      <c r="AE350" s="302"/>
      <c r="AF350" s="302"/>
      <c r="AG350" s="302"/>
      <c r="AH350" s="302"/>
      <c r="AI350" s="303"/>
      <c r="AJ350" s="303"/>
      <c r="AK350" s="302"/>
      <c r="AL350" s="314"/>
      <c r="AM350" s="305"/>
      <c r="AN350" s="302"/>
      <c r="AO350" s="302"/>
      <c r="AP350" s="302"/>
      <c r="AQ350" s="302"/>
      <c r="AR350" s="302"/>
      <c r="AS350" s="302"/>
      <c r="AT350" s="302"/>
      <c r="AU350" s="304"/>
      <c r="AV350" s="306"/>
      <c r="AW350" s="303"/>
      <c r="AX350" s="303"/>
      <c r="AY350" s="303"/>
      <c r="AZ350" s="303"/>
      <c r="BA350" s="303"/>
      <c r="BB350" s="303"/>
      <c r="BC350" s="303"/>
      <c r="BD350" s="304"/>
      <c r="BE350" s="305"/>
      <c r="BF350" s="302"/>
      <c r="BG350" s="307"/>
      <c r="BH350" s="308"/>
      <c r="BI350" s="302"/>
      <c r="BJ350" s="307"/>
      <c r="BK350" s="308"/>
      <c r="BL350" s="302"/>
      <c r="BM350" s="303"/>
      <c r="BN350" s="315"/>
      <c r="BO350" s="250">
        <f t="shared" si="35"/>
        <v>0</v>
      </c>
    </row>
    <row r="351" spans="1:67" ht="25.5" customHeight="1" x14ac:dyDescent="0.2">
      <c r="A351" s="142">
        <f t="shared" si="36"/>
        <v>336</v>
      </c>
      <c r="B351" s="251"/>
      <c r="C351" s="252"/>
      <c r="D351" s="253"/>
      <c r="E351" s="254"/>
      <c r="F351" s="278"/>
      <c r="G351" s="256"/>
      <c r="H351" s="257"/>
      <c r="I351" s="231" t="str">
        <f t="shared" si="31"/>
        <v/>
      </c>
      <c r="J351" s="258">
        <f t="shared" si="32"/>
        <v>0</v>
      </c>
      <c r="K351" s="313"/>
      <c r="L351" s="300"/>
      <c r="M351" s="300"/>
      <c r="N351" s="235" t="str">
        <f t="shared" si="33"/>
        <v/>
      </c>
      <c r="O351" s="236" t="str">
        <f>IF('Data Set up'!$G$40="JUNE",IF(OR($N351=7,$N351=8,$N351=9),1,IF(OR($N351=10,$N351=11,$N351=12),2,IF(OR($N351=1,$N351=2,$N351=3),3,IF(OR($N351=4,$N351=5,$N351=6),4,"")))),IF(OR($N351=9,$N351=10,$N351=11),1,IF(OR($N351=12,$N351=1,$N351=2),2,IF(OR($N351=3,$N351=4,$N351=5),3,IF(OR($N351=6,$N351=7,$N351=8),4,"")))))</f>
        <v/>
      </c>
      <c r="P351" s="261"/>
      <c r="Q351" s="305"/>
      <c r="R351" s="302"/>
      <c r="S351" s="264">
        <f t="shared" si="34"/>
        <v>0</v>
      </c>
      <c r="T351" s="302"/>
      <c r="U351" s="302"/>
      <c r="V351" s="302"/>
      <c r="W351" s="302"/>
      <c r="X351" s="302"/>
      <c r="Y351" s="302"/>
      <c r="Z351" s="302"/>
      <c r="AA351" s="302"/>
      <c r="AB351" s="303"/>
      <c r="AC351" s="304"/>
      <c r="AD351" s="305"/>
      <c r="AE351" s="302"/>
      <c r="AF351" s="302"/>
      <c r="AG351" s="302"/>
      <c r="AH351" s="302"/>
      <c r="AI351" s="303"/>
      <c r="AJ351" s="303"/>
      <c r="AK351" s="302"/>
      <c r="AL351" s="314"/>
      <c r="AM351" s="305"/>
      <c r="AN351" s="302"/>
      <c r="AO351" s="302"/>
      <c r="AP351" s="302"/>
      <c r="AQ351" s="302"/>
      <c r="AR351" s="302"/>
      <c r="AS351" s="302"/>
      <c r="AT351" s="302"/>
      <c r="AU351" s="304"/>
      <c r="AV351" s="306"/>
      <c r="AW351" s="303"/>
      <c r="AX351" s="303"/>
      <c r="AY351" s="303"/>
      <c r="AZ351" s="303"/>
      <c r="BA351" s="303"/>
      <c r="BB351" s="303"/>
      <c r="BC351" s="303"/>
      <c r="BD351" s="304"/>
      <c r="BE351" s="305"/>
      <c r="BF351" s="302"/>
      <c r="BG351" s="307"/>
      <c r="BH351" s="308"/>
      <c r="BI351" s="302"/>
      <c r="BJ351" s="307"/>
      <c r="BK351" s="308"/>
      <c r="BL351" s="302"/>
      <c r="BM351" s="303"/>
      <c r="BN351" s="315"/>
      <c r="BO351" s="250">
        <f t="shared" si="35"/>
        <v>0</v>
      </c>
    </row>
    <row r="352" spans="1:67" ht="25.5" customHeight="1" x14ac:dyDescent="0.2">
      <c r="A352" s="142">
        <f t="shared" si="36"/>
        <v>337</v>
      </c>
      <c r="B352" s="251"/>
      <c r="C352" s="252"/>
      <c r="D352" s="253"/>
      <c r="E352" s="254"/>
      <c r="F352" s="278"/>
      <c r="G352" s="256"/>
      <c r="H352" s="257"/>
      <c r="I352" s="231" t="str">
        <f t="shared" si="31"/>
        <v/>
      </c>
      <c r="J352" s="258">
        <f t="shared" si="32"/>
        <v>0</v>
      </c>
      <c r="K352" s="313"/>
      <c r="L352" s="300"/>
      <c r="M352" s="300"/>
      <c r="N352" s="235" t="str">
        <f t="shared" si="33"/>
        <v/>
      </c>
      <c r="O352" s="236" t="str">
        <f>IF('Data Set up'!$G$40="JUNE",IF(OR($N352=7,$N352=8,$N352=9),1,IF(OR($N352=10,$N352=11,$N352=12),2,IF(OR($N352=1,$N352=2,$N352=3),3,IF(OR($N352=4,$N352=5,$N352=6),4,"")))),IF(OR($N352=9,$N352=10,$N352=11),1,IF(OR($N352=12,$N352=1,$N352=2),2,IF(OR($N352=3,$N352=4,$N352=5),3,IF(OR($N352=6,$N352=7,$N352=8),4,"")))))</f>
        <v/>
      </c>
      <c r="P352" s="261"/>
      <c r="Q352" s="305"/>
      <c r="R352" s="302"/>
      <c r="S352" s="264">
        <f t="shared" si="34"/>
        <v>0</v>
      </c>
      <c r="T352" s="302"/>
      <c r="U352" s="302"/>
      <c r="V352" s="302"/>
      <c r="W352" s="302"/>
      <c r="X352" s="302"/>
      <c r="Y352" s="302"/>
      <c r="Z352" s="302"/>
      <c r="AA352" s="302"/>
      <c r="AB352" s="303"/>
      <c r="AC352" s="304"/>
      <c r="AD352" s="305"/>
      <c r="AE352" s="302"/>
      <c r="AF352" s="302"/>
      <c r="AG352" s="302"/>
      <c r="AH352" s="302"/>
      <c r="AI352" s="303"/>
      <c r="AJ352" s="303"/>
      <c r="AK352" s="302"/>
      <c r="AL352" s="314"/>
      <c r="AM352" s="305"/>
      <c r="AN352" s="302"/>
      <c r="AO352" s="302"/>
      <c r="AP352" s="302"/>
      <c r="AQ352" s="302"/>
      <c r="AR352" s="302"/>
      <c r="AS352" s="302"/>
      <c r="AT352" s="302"/>
      <c r="AU352" s="304"/>
      <c r="AV352" s="306"/>
      <c r="AW352" s="303"/>
      <c r="AX352" s="303"/>
      <c r="AY352" s="303"/>
      <c r="AZ352" s="303"/>
      <c r="BA352" s="303"/>
      <c r="BB352" s="303"/>
      <c r="BC352" s="303"/>
      <c r="BD352" s="304"/>
      <c r="BE352" s="305"/>
      <c r="BF352" s="302"/>
      <c r="BG352" s="307"/>
      <c r="BH352" s="308"/>
      <c r="BI352" s="302"/>
      <c r="BJ352" s="307"/>
      <c r="BK352" s="308"/>
      <c r="BL352" s="302"/>
      <c r="BM352" s="303"/>
      <c r="BN352" s="315"/>
      <c r="BO352" s="250">
        <f t="shared" si="35"/>
        <v>0</v>
      </c>
    </row>
    <row r="353" spans="1:67" ht="25.5" customHeight="1" x14ac:dyDescent="0.2">
      <c r="A353" s="142">
        <f t="shared" si="36"/>
        <v>338</v>
      </c>
      <c r="B353" s="251"/>
      <c r="C353" s="252"/>
      <c r="D353" s="253"/>
      <c r="E353" s="254"/>
      <c r="F353" s="278"/>
      <c r="G353" s="256"/>
      <c r="H353" s="257"/>
      <c r="I353" s="231" t="str">
        <f t="shared" si="31"/>
        <v/>
      </c>
      <c r="J353" s="258">
        <f t="shared" si="32"/>
        <v>0</v>
      </c>
      <c r="K353" s="313"/>
      <c r="L353" s="300"/>
      <c r="M353" s="300"/>
      <c r="N353" s="235" t="str">
        <f t="shared" si="33"/>
        <v/>
      </c>
      <c r="O353" s="236" t="str">
        <f>IF('Data Set up'!$G$40="JUNE",IF(OR($N353=7,$N353=8,$N353=9),1,IF(OR($N353=10,$N353=11,$N353=12),2,IF(OR($N353=1,$N353=2,$N353=3),3,IF(OR($N353=4,$N353=5,$N353=6),4,"")))),IF(OR($N353=9,$N353=10,$N353=11),1,IF(OR($N353=12,$N353=1,$N353=2),2,IF(OR($N353=3,$N353=4,$N353=5),3,IF(OR($N353=6,$N353=7,$N353=8),4,"")))))</f>
        <v/>
      </c>
      <c r="P353" s="261"/>
      <c r="Q353" s="305"/>
      <c r="R353" s="302"/>
      <c r="S353" s="264">
        <f t="shared" si="34"/>
        <v>0</v>
      </c>
      <c r="T353" s="302"/>
      <c r="U353" s="302"/>
      <c r="V353" s="302"/>
      <c r="W353" s="302"/>
      <c r="X353" s="302"/>
      <c r="Y353" s="302"/>
      <c r="Z353" s="302"/>
      <c r="AA353" s="302"/>
      <c r="AB353" s="303"/>
      <c r="AC353" s="304"/>
      <c r="AD353" s="305"/>
      <c r="AE353" s="302"/>
      <c r="AF353" s="302"/>
      <c r="AG353" s="302"/>
      <c r="AH353" s="302"/>
      <c r="AI353" s="303"/>
      <c r="AJ353" s="303"/>
      <c r="AK353" s="302"/>
      <c r="AL353" s="314"/>
      <c r="AM353" s="305"/>
      <c r="AN353" s="302"/>
      <c r="AO353" s="302"/>
      <c r="AP353" s="302"/>
      <c r="AQ353" s="302"/>
      <c r="AR353" s="302"/>
      <c r="AS353" s="302"/>
      <c r="AT353" s="302"/>
      <c r="AU353" s="304"/>
      <c r="AV353" s="306"/>
      <c r="AW353" s="303"/>
      <c r="AX353" s="303"/>
      <c r="AY353" s="303"/>
      <c r="AZ353" s="303"/>
      <c r="BA353" s="303"/>
      <c r="BB353" s="303"/>
      <c r="BC353" s="303"/>
      <c r="BD353" s="304"/>
      <c r="BE353" s="305"/>
      <c r="BF353" s="302"/>
      <c r="BG353" s="307"/>
      <c r="BH353" s="308"/>
      <c r="BI353" s="302"/>
      <c r="BJ353" s="307"/>
      <c r="BK353" s="308"/>
      <c r="BL353" s="302"/>
      <c r="BM353" s="303"/>
      <c r="BN353" s="315"/>
      <c r="BO353" s="250">
        <f t="shared" si="35"/>
        <v>0</v>
      </c>
    </row>
    <row r="354" spans="1:67" ht="25.5" customHeight="1" x14ac:dyDescent="0.2">
      <c r="A354" s="142">
        <f t="shared" si="36"/>
        <v>339</v>
      </c>
      <c r="B354" s="251"/>
      <c r="C354" s="252"/>
      <c r="D354" s="253"/>
      <c r="E354" s="254"/>
      <c r="F354" s="278"/>
      <c r="G354" s="256"/>
      <c r="H354" s="257"/>
      <c r="I354" s="231" t="str">
        <f t="shared" si="31"/>
        <v/>
      </c>
      <c r="J354" s="258">
        <f t="shared" si="32"/>
        <v>0</v>
      </c>
      <c r="K354" s="313"/>
      <c r="L354" s="300"/>
      <c r="M354" s="300"/>
      <c r="N354" s="235" t="str">
        <f t="shared" si="33"/>
        <v/>
      </c>
      <c r="O354" s="236" t="str">
        <f>IF('Data Set up'!$G$40="JUNE",IF(OR($N354=7,$N354=8,$N354=9),1,IF(OR($N354=10,$N354=11,$N354=12),2,IF(OR($N354=1,$N354=2,$N354=3),3,IF(OR($N354=4,$N354=5,$N354=6),4,"")))),IF(OR($N354=9,$N354=10,$N354=11),1,IF(OR($N354=12,$N354=1,$N354=2),2,IF(OR($N354=3,$N354=4,$N354=5),3,IF(OR($N354=6,$N354=7,$N354=8),4,"")))))</f>
        <v/>
      </c>
      <c r="P354" s="261"/>
      <c r="Q354" s="305"/>
      <c r="R354" s="302"/>
      <c r="S354" s="264">
        <f t="shared" si="34"/>
        <v>0</v>
      </c>
      <c r="T354" s="302"/>
      <c r="U354" s="302"/>
      <c r="V354" s="302"/>
      <c r="W354" s="302"/>
      <c r="X354" s="302"/>
      <c r="Y354" s="302"/>
      <c r="Z354" s="302"/>
      <c r="AA354" s="302"/>
      <c r="AB354" s="303"/>
      <c r="AC354" s="304"/>
      <c r="AD354" s="305"/>
      <c r="AE354" s="302"/>
      <c r="AF354" s="302"/>
      <c r="AG354" s="302"/>
      <c r="AH354" s="302"/>
      <c r="AI354" s="303"/>
      <c r="AJ354" s="303"/>
      <c r="AK354" s="302"/>
      <c r="AL354" s="314"/>
      <c r="AM354" s="305"/>
      <c r="AN354" s="302"/>
      <c r="AO354" s="302"/>
      <c r="AP354" s="302"/>
      <c r="AQ354" s="302"/>
      <c r="AR354" s="302"/>
      <c r="AS354" s="302"/>
      <c r="AT354" s="302"/>
      <c r="AU354" s="304"/>
      <c r="AV354" s="306"/>
      <c r="AW354" s="303"/>
      <c r="AX354" s="303"/>
      <c r="AY354" s="303"/>
      <c r="AZ354" s="303"/>
      <c r="BA354" s="303"/>
      <c r="BB354" s="303"/>
      <c r="BC354" s="303"/>
      <c r="BD354" s="304"/>
      <c r="BE354" s="305"/>
      <c r="BF354" s="302"/>
      <c r="BG354" s="307"/>
      <c r="BH354" s="308"/>
      <c r="BI354" s="302"/>
      <c r="BJ354" s="307"/>
      <c r="BK354" s="308"/>
      <c r="BL354" s="302"/>
      <c r="BM354" s="303"/>
      <c r="BN354" s="315"/>
      <c r="BO354" s="250">
        <f t="shared" si="35"/>
        <v>0</v>
      </c>
    </row>
    <row r="355" spans="1:67" ht="25.5" customHeight="1" x14ac:dyDescent="0.2">
      <c r="A355" s="142">
        <f t="shared" si="36"/>
        <v>340</v>
      </c>
      <c r="B355" s="251"/>
      <c r="C355" s="252"/>
      <c r="D355" s="253"/>
      <c r="E355" s="254"/>
      <c r="F355" s="278"/>
      <c r="G355" s="256"/>
      <c r="H355" s="257"/>
      <c r="I355" s="231" t="str">
        <f t="shared" si="31"/>
        <v/>
      </c>
      <c r="J355" s="258">
        <f t="shared" si="32"/>
        <v>0</v>
      </c>
      <c r="K355" s="313"/>
      <c r="L355" s="300"/>
      <c r="M355" s="300"/>
      <c r="N355" s="235" t="str">
        <f t="shared" si="33"/>
        <v/>
      </c>
      <c r="O355" s="236" t="str">
        <f>IF('Data Set up'!$G$40="JUNE",IF(OR($N355=7,$N355=8,$N355=9),1,IF(OR($N355=10,$N355=11,$N355=12),2,IF(OR($N355=1,$N355=2,$N355=3),3,IF(OR($N355=4,$N355=5,$N355=6),4,"")))),IF(OR($N355=9,$N355=10,$N355=11),1,IF(OR($N355=12,$N355=1,$N355=2),2,IF(OR($N355=3,$N355=4,$N355=5),3,IF(OR($N355=6,$N355=7,$N355=8),4,"")))))</f>
        <v/>
      </c>
      <c r="P355" s="261"/>
      <c r="Q355" s="305"/>
      <c r="R355" s="302"/>
      <c r="S355" s="264">
        <f t="shared" si="34"/>
        <v>0</v>
      </c>
      <c r="T355" s="302"/>
      <c r="U355" s="302"/>
      <c r="V355" s="302"/>
      <c r="W355" s="302"/>
      <c r="X355" s="302"/>
      <c r="Y355" s="302"/>
      <c r="Z355" s="302"/>
      <c r="AA355" s="302"/>
      <c r="AB355" s="303"/>
      <c r="AC355" s="304"/>
      <c r="AD355" s="305"/>
      <c r="AE355" s="302"/>
      <c r="AF355" s="302"/>
      <c r="AG355" s="302"/>
      <c r="AH355" s="302"/>
      <c r="AI355" s="303"/>
      <c r="AJ355" s="303"/>
      <c r="AK355" s="302"/>
      <c r="AL355" s="314"/>
      <c r="AM355" s="305"/>
      <c r="AN355" s="302"/>
      <c r="AO355" s="302"/>
      <c r="AP355" s="302"/>
      <c r="AQ355" s="302"/>
      <c r="AR355" s="302"/>
      <c r="AS355" s="302"/>
      <c r="AT355" s="302"/>
      <c r="AU355" s="304"/>
      <c r="AV355" s="306"/>
      <c r="AW355" s="303"/>
      <c r="AX355" s="303"/>
      <c r="AY355" s="303"/>
      <c r="AZ355" s="303"/>
      <c r="BA355" s="303"/>
      <c r="BB355" s="303"/>
      <c r="BC355" s="303"/>
      <c r="BD355" s="304"/>
      <c r="BE355" s="305"/>
      <c r="BF355" s="302"/>
      <c r="BG355" s="307"/>
      <c r="BH355" s="308"/>
      <c r="BI355" s="302"/>
      <c r="BJ355" s="307"/>
      <c r="BK355" s="308"/>
      <c r="BL355" s="302"/>
      <c r="BM355" s="303"/>
      <c r="BN355" s="315"/>
      <c r="BO355" s="250">
        <f t="shared" si="35"/>
        <v>0</v>
      </c>
    </row>
    <row r="356" spans="1:67" ht="25.5" customHeight="1" x14ac:dyDescent="0.2">
      <c r="A356" s="142">
        <f t="shared" si="36"/>
        <v>341</v>
      </c>
      <c r="B356" s="251"/>
      <c r="C356" s="252"/>
      <c r="D356" s="253"/>
      <c r="E356" s="254"/>
      <c r="F356" s="278"/>
      <c r="G356" s="256"/>
      <c r="H356" s="257"/>
      <c r="I356" s="231" t="str">
        <f t="shared" si="31"/>
        <v/>
      </c>
      <c r="J356" s="258">
        <f t="shared" si="32"/>
        <v>0</v>
      </c>
      <c r="K356" s="313"/>
      <c r="L356" s="300"/>
      <c r="M356" s="300"/>
      <c r="N356" s="235" t="str">
        <f t="shared" si="33"/>
        <v/>
      </c>
      <c r="O356" s="236" t="str">
        <f>IF('Data Set up'!$G$40="JUNE",IF(OR($N356=7,$N356=8,$N356=9),1,IF(OR($N356=10,$N356=11,$N356=12),2,IF(OR($N356=1,$N356=2,$N356=3),3,IF(OR($N356=4,$N356=5,$N356=6),4,"")))),IF(OR($N356=9,$N356=10,$N356=11),1,IF(OR($N356=12,$N356=1,$N356=2),2,IF(OR($N356=3,$N356=4,$N356=5),3,IF(OR($N356=6,$N356=7,$N356=8),4,"")))))</f>
        <v/>
      </c>
      <c r="P356" s="261"/>
      <c r="Q356" s="305"/>
      <c r="R356" s="302"/>
      <c r="S356" s="264">
        <f t="shared" si="34"/>
        <v>0</v>
      </c>
      <c r="T356" s="302"/>
      <c r="U356" s="302"/>
      <c r="V356" s="302"/>
      <c r="W356" s="302"/>
      <c r="X356" s="302"/>
      <c r="Y356" s="302"/>
      <c r="Z356" s="302"/>
      <c r="AA356" s="302"/>
      <c r="AB356" s="303"/>
      <c r="AC356" s="304"/>
      <c r="AD356" s="305"/>
      <c r="AE356" s="302"/>
      <c r="AF356" s="302"/>
      <c r="AG356" s="302"/>
      <c r="AH356" s="302"/>
      <c r="AI356" s="303"/>
      <c r="AJ356" s="303"/>
      <c r="AK356" s="302"/>
      <c r="AL356" s="314"/>
      <c r="AM356" s="305"/>
      <c r="AN356" s="302"/>
      <c r="AO356" s="302"/>
      <c r="AP356" s="302"/>
      <c r="AQ356" s="302"/>
      <c r="AR356" s="302"/>
      <c r="AS356" s="302"/>
      <c r="AT356" s="302"/>
      <c r="AU356" s="304"/>
      <c r="AV356" s="306"/>
      <c r="AW356" s="303"/>
      <c r="AX356" s="303"/>
      <c r="AY356" s="303"/>
      <c r="AZ356" s="303"/>
      <c r="BA356" s="303"/>
      <c r="BB356" s="303"/>
      <c r="BC356" s="303"/>
      <c r="BD356" s="304"/>
      <c r="BE356" s="305"/>
      <c r="BF356" s="302"/>
      <c r="BG356" s="307"/>
      <c r="BH356" s="308"/>
      <c r="BI356" s="302"/>
      <c r="BJ356" s="307"/>
      <c r="BK356" s="308"/>
      <c r="BL356" s="302"/>
      <c r="BM356" s="303"/>
      <c r="BN356" s="315"/>
      <c r="BO356" s="250">
        <f t="shared" si="35"/>
        <v>0</v>
      </c>
    </row>
    <row r="357" spans="1:67" ht="25.5" customHeight="1" x14ac:dyDescent="0.2">
      <c r="A357" s="142">
        <f t="shared" si="36"/>
        <v>342</v>
      </c>
      <c r="B357" s="251"/>
      <c r="C357" s="252"/>
      <c r="D357" s="253"/>
      <c r="E357" s="254"/>
      <c r="F357" s="278"/>
      <c r="G357" s="256"/>
      <c r="H357" s="257"/>
      <c r="I357" s="231" t="str">
        <f t="shared" si="31"/>
        <v/>
      </c>
      <c r="J357" s="258">
        <f t="shared" si="32"/>
        <v>0</v>
      </c>
      <c r="K357" s="313"/>
      <c r="L357" s="300"/>
      <c r="M357" s="300"/>
      <c r="N357" s="235" t="str">
        <f t="shared" si="33"/>
        <v/>
      </c>
      <c r="O357" s="236" t="str">
        <f>IF('Data Set up'!$G$40="JUNE",IF(OR($N357=7,$N357=8,$N357=9),1,IF(OR($N357=10,$N357=11,$N357=12),2,IF(OR($N357=1,$N357=2,$N357=3),3,IF(OR($N357=4,$N357=5,$N357=6),4,"")))),IF(OR($N357=9,$N357=10,$N357=11),1,IF(OR($N357=12,$N357=1,$N357=2),2,IF(OR($N357=3,$N357=4,$N357=5),3,IF(OR($N357=6,$N357=7,$N357=8),4,"")))))</f>
        <v/>
      </c>
      <c r="P357" s="261"/>
      <c r="Q357" s="305"/>
      <c r="R357" s="302"/>
      <c r="S357" s="264">
        <f t="shared" si="34"/>
        <v>0</v>
      </c>
      <c r="T357" s="302"/>
      <c r="U357" s="302"/>
      <c r="V357" s="302"/>
      <c r="W357" s="302"/>
      <c r="X357" s="302"/>
      <c r="Y357" s="302"/>
      <c r="Z357" s="302"/>
      <c r="AA357" s="302"/>
      <c r="AB357" s="303"/>
      <c r="AC357" s="304"/>
      <c r="AD357" s="305"/>
      <c r="AE357" s="302"/>
      <c r="AF357" s="302"/>
      <c r="AG357" s="302"/>
      <c r="AH357" s="302"/>
      <c r="AI357" s="303"/>
      <c r="AJ357" s="303"/>
      <c r="AK357" s="302"/>
      <c r="AL357" s="314"/>
      <c r="AM357" s="305"/>
      <c r="AN357" s="302"/>
      <c r="AO357" s="302"/>
      <c r="AP357" s="302"/>
      <c r="AQ357" s="302"/>
      <c r="AR357" s="302"/>
      <c r="AS357" s="302"/>
      <c r="AT357" s="302"/>
      <c r="AU357" s="304"/>
      <c r="AV357" s="306"/>
      <c r="AW357" s="303"/>
      <c r="AX357" s="303"/>
      <c r="AY357" s="303"/>
      <c r="AZ357" s="303"/>
      <c r="BA357" s="303"/>
      <c r="BB357" s="303"/>
      <c r="BC357" s="303"/>
      <c r="BD357" s="304"/>
      <c r="BE357" s="305"/>
      <c r="BF357" s="302"/>
      <c r="BG357" s="307"/>
      <c r="BH357" s="308"/>
      <c r="BI357" s="302"/>
      <c r="BJ357" s="307"/>
      <c r="BK357" s="308"/>
      <c r="BL357" s="302"/>
      <c r="BM357" s="303"/>
      <c r="BN357" s="315"/>
      <c r="BO357" s="250">
        <f t="shared" si="35"/>
        <v>0</v>
      </c>
    </row>
    <row r="358" spans="1:67" ht="25.5" customHeight="1" x14ac:dyDescent="0.2">
      <c r="A358" s="142">
        <f t="shared" si="36"/>
        <v>343</v>
      </c>
      <c r="B358" s="251"/>
      <c r="C358" s="252"/>
      <c r="D358" s="253"/>
      <c r="E358" s="254"/>
      <c r="F358" s="278"/>
      <c r="G358" s="256"/>
      <c r="H358" s="257"/>
      <c r="I358" s="231" t="str">
        <f t="shared" si="31"/>
        <v/>
      </c>
      <c r="J358" s="258">
        <f t="shared" si="32"/>
        <v>0</v>
      </c>
      <c r="K358" s="313"/>
      <c r="L358" s="300"/>
      <c r="M358" s="300"/>
      <c r="N358" s="235" t="str">
        <f t="shared" si="33"/>
        <v/>
      </c>
      <c r="O358" s="236" t="str">
        <f>IF('Data Set up'!$G$40="JUNE",IF(OR($N358=7,$N358=8,$N358=9),1,IF(OR($N358=10,$N358=11,$N358=12),2,IF(OR($N358=1,$N358=2,$N358=3),3,IF(OR($N358=4,$N358=5,$N358=6),4,"")))),IF(OR($N358=9,$N358=10,$N358=11),1,IF(OR($N358=12,$N358=1,$N358=2),2,IF(OR($N358=3,$N358=4,$N358=5),3,IF(OR($N358=6,$N358=7,$N358=8),4,"")))))</f>
        <v/>
      </c>
      <c r="P358" s="261"/>
      <c r="Q358" s="305"/>
      <c r="R358" s="302"/>
      <c r="S358" s="264">
        <f t="shared" si="34"/>
        <v>0</v>
      </c>
      <c r="T358" s="302"/>
      <c r="U358" s="302"/>
      <c r="V358" s="302"/>
      <c r="W358" s="302"/>
      <c r="X358" s="302"/>
      <c r="Y358" s="302"/>
      <c r="Z358" s="302"/>
      <c r="AA358" s="302"/>
      <c r="AB358" s="303"/>
      <c r="AC358" s="304"/>
      <c r="AD358" s="305"/>
      <c r="AE358" s="302"/>
      <c r="AF358" s="302"/>
      <c r="AG358" s="302"/>
      <c r="AH358" s="302"/>
      <c r="AI358" s="303"/>
      <c r="AJ358" s="303"/>
      <c r="AK358" s="302"/>
      <c r="AL358" s="314"/>
      <c r="AM358" s="305"/>
      <c r="AN358" s="302"/>
      <c r="AO358" s="302"/>
      <c r="AP358" s="302"/>
      <c r="AQ358" s="302"/>
      <c r="AR358" s="302"/>
      <c r="AS358" s="302"/>
      <c r="AT358" s="302"/>
      <c r="AU358" s="304"/>
      <c r="AV358" s="306"/>
      <c r="AW358" s="303"/>
      <c r="AX358" s="303"/>
      <c r="AY358" s="303"/>
      <c r="AZ358" s="303"/>
      <c r="BA358" s="303"/>
      <c r="BB358" s="303"/>
      <c r="BC358" s="303"/>
      <c r="BD358" s="304"/>
      <c r="BE358" s="305"/>
      <c r="BF358" s="302"/>
      <c r="BG358" s="307"/>
      <c r="BH358" s="308"/>
      <c r="BI358" s="302"/>
      <c r="BJ358" s="307"/>
      <c r="BK358" s="308"/>
      <c r="BL358" s="302"/>
      <c r="BM358" s="303"/>
      <c r="BN358" s="315"/>
      <c r="BO358" s="250">
        <f t="shared" si="35"/>
        <v>0</v>
      </c>
    </row>
    <row r="359" spans="1:67" ht="25.5" customHeight="1" x14ac:dyDescent="0.2">
      <c r="A359" s="142">
        <f t="shared" si="36"/>
        <v>344</v>
      </c>
      <c r="B359" s="251"/>
      <c r="C359" s="252"/>
      <c r="D359" s="253"/>
      <c r="E359" s="254"/>
      <c r="F359" s="278"/>
      <c r="G359" s="256"/>
      <c r="H359" s="257"/>
      <c r="I359" s="231" t="str">
        <f t="shared" si="31"/>
        <v/>
      </c>
      <c r="J359" s="258">
        <f t="shared" si="32"/>
        <v>0</v>
      </c>
      <c r="K359" s="313"/>
      <c r="L359" s="300"/>
      <c r="M359" s="300"/>
      <c r="N359" s="235" t="str">
        <f t="shared" si="33"/>
        <v/>
      </c>
      <c r="O359" s="236" t="str">
        <f>IF('Data Set up'!$G$40="JUNE",IF(OR($N359=7,$N359=8,$N359=9),1,IF(OR($N359=10,$N359=11,$N359=12),2,IF(OR($N359=1,$N359=2,$N359=3),3,IF(OR($N359=4,$N359=5,$N359=6),4,"")))),IF(OR($N359=9,$N359=10,$N359=11),1,IF(OR($N359=12,$N359=1,$N359=2),2,IF(OR($N359=3,$N359=4,$N359=5),3,IF(OR($N359=6,$N359=7,$N359=8),4,"")))))</f>
        <v/>
      </c>
      <c r="P359" s="261"/>
      <c r="Q359" s="305"/>
      <c r="R359" s="302"/>
      <c r="S359" s="264">
        <f t="shared" si="34"/>
        <v>0</v>
      </c>
      <c r="T359" s="302"/>
      <c r="U359" s="302"/>
      <c r="V359" s="302"/>
      <c r="W359" s="302"/>
      <c r="X359" s="302"/>
      <c r="Y359" s="302"/>
      <c r="Z359" s="302"/>
      <c r="AA359" s="302"/>
      <c r="AB359" s="303"/>
      <c r="AC359" s="304"/>
      <c r="AD359" s="305"/>
      <c r="AE359" s="302"/>
      <c r="AF359" s="302"/>
      <c r="AG359" s="302"/>
      <c r="AH359" s="302"/>
      <c r="AI359" s="303"/>
      <c r="AJ359" s="303"/>
      <c r="AK359" s="302"/>
      <c r="AL359" s="314"/>
      <c r="AM359" s="305"/>
      <c r="AN359" s="302"/>
      <c r="AO359" s="302"/>
      <c r="AP359" s="302"/>
      <c r="AQ359" s="302"/>
      <c r="AR359" s="302"/>
      <c r="AS359" s="302"/>
      <c r="AT359" s="302"/>
      <c r="AU359" s="304"/>
      <c r="AV359" s="306"/>
      <c r="AW359" s="303"/>
      <c r="AX359" s="303"/>
      <c r="AY359" s="303"/>
      <c r="AZ359" s="303"/>
      <c r="BA359" s="303"/>
      <c r="BB359" s="303"/>
      <c r="BC359" s="303"/>
      <c r="BD359" s="304"/>
      <c r="BE359" s="305"/>
      <c r="BF359" s="302"/>
      <c r="BG359" s="307"/>
      <c r="BH359" s="308"/>
      <c r="BI359" s="302"/>
      <c r="BJ359" s="307"/>
      <c r="BK359" s="308"/>
      <c r="BL359" s="302"/>
      <c r="BM359" s="303"/>
      <c r="BN359" s="315"/>
      <c r="BO359" s="250">
        <f t="shared" si="35"/>
        <v>0</v>
      </c>
    </row>
    <row r="360" spans="1:67" ht="25.5" customHeight="1" x14ac:dyDescent="0.2">
      <c r="A360" s="142">
        <f t="shared" si="36"/>
        <v>345</v>
      </c>
      <c r="B360" s="251"/>
      <c r="C360" s="252"/>
      <c r="D360" s="253"/>
      <c r="E360" s="254"/>
      <c r="F360" s="278"/>
      <c r="G360" s="256"/>
      <c r="H360" s="257"/>
      <c r="I360" s="231" t="str">
        <f t="shared" si="31"/>
        <v/>
      </c>
      <c r="J360" s="258">
        <f t="shared" si="32"/>
        <v>0</v>
      </c>
      <c r="K360" s="313"/>
      <c r="L360" s="300"/>
      <c r="M360" s="300"/>
      <c r="N360" s="235" t="str">
        <f t="shared" si="33"/>
        <v/>
      </c>
      <c r="O360" s="236" t="str">
        <f>IF('Data Set up'!$G$40="JUNE",IF(OR($N360=7,$N360=8,$N360=9),1,IF(OR($N360=10,$N360=11,$N360=12),2,IF(OR($N360=1,$N360=2,$N360=3),3,IF(OR($N360=4,$N360=5,$N360=6),4,"")))),IF(OR($N360=9,$N360=10,$N360=11),1,IF(OR($N360=12,$N360=1,$N360=2),2,IF(OR($N360=3,$N360=4,$N360=5),3,IF(OR($N360=6,$N360=7,$N360=8),4,"")))))</f>
        <v/>
      </c>
      <c r="P360" s="261"/>
      <c r="Q360" s="305"/>
      <c r="R360" s="302"/>
      <c r="S360" s="264">
        <f t="shared" si="34"/>
        <v>0</v>
      </c>
      <c r="T360" s="302"/>
      <c r="U360" s="302"/>
      <c r="V360" s="302"/>
      <c r="W360" s="302"/>
      <c r="X360" s="302"/>
      <c r="Y360" s="302"/>
      <c r="Z360" s="302"/>
      <c r="AA360" s="302"/>
      <c r="AB360" s="303"/>
      <c r="AC360" s="304"/>
      <c r="AD360" s="305"/>
      <c r="AE360" s="302"/>
      <c r="AF360" s="302"/>
      <c r="AG360" s="302"/>
      <c r="AH360" s="302"/>
      <c r="AI360" s="303"/>
      <c r="AJ360" s="303"/>
      <c r="AK360" s="302"/>
      <c r="AL360" s="314"/>
      <c r="AM360" s="305"/>
      <c r="AN360" s="302"/>
      <c r="AO360" s="302"/>
      <c r="AP360" s="302"/>
      <c r="AQ360" s="302"/>
      <c r="AR360" s="302"/>
      <c r="AS360" s="302"/>
      <c r="AT360" s="302"/>
      <c r="AU360" s="304"/>
      <c r="AV360" s="306"/>
      <c r="AW360" s="303"/>
      <c r="AX360" s="303"/>
      <c r="AY360" s="303"/>
      <c r="AZ360" s="303"/>
      <c r="BA360" s="303"/>
      <c r="BB360" s="303"/>
      <c r="BC360" s="303"/>
      <c r="BD360" s="304"/>
      <c r="BE360" s="305"/>
      <c r="BF360" s="302"/>
      <c r="BG360" s="307"/>
      <c r="BH360" s="308"/>
      <c r="BI360" s="302"/>
      <c r="BJ360" s="307"/>
      <c r="BK360" s="308"/>
      <c r="BL360" s="302"/>
      <c r="BM360" s="303"/>
      <c r="BN360" s="315"/>
      <c r="BO360" s="250">
        <f t="shared" si="35"/>
        <v>0</v>
      </c>
    </row>
    <row r="361" spans="1:67" ht="25.5" customHeight="1" x14ac:dyDescent="0.2">
      <c r="A361" s="142">
        <f t="shared" si="36"/>
        <v>346</v>
      </c>
      <c r="B361" s="251"/>
      <c r="C361" s="252"/>
      <c r="D361" s="253"/>
      <c r="E361" s="254"/>
      <c r="F361" s="278"/>
      <c r="G361" s="256"/>
      <c r="H361" s="257"/>
      <c r="I361" s="231" t="str">
        <f t="shared" si="31"/>
        <v/>
      </c>
      <c r="J361" s="258">
        <f t="shared" si="32"/>
        <v>0</v>
      </c>
      <c r="K361" s="313"/>
      <c r="L361" s="300"/>
      <c r="M361" s="300"/>
      <c r="N361" s="235" t="str">
        <f t="shared" si="33"/>
        <v/>
      </c>
      <c r="O361" s="236" t="str">
        <f>IF('Data Set up'!$G$40="JUNE",IF(OR($N361=7,$N361=8,$N361=9),1,IF(OR($N361=10,$N361=11,$N361=12),2,IF(OR($N361=1,$N361=2,$N361=3),3,IF(OR($N361=4,$N361=5,$N361=6),4,"")))),IF(OR($N361=9,$N361=10,$N361=11),1,IF(OR($N361=12,$N361=1,$N361=2),2,IF(OR($N361=3,$N361=4,$N361=5),3,IF(OR($N361=6,$N361=7,$N361=8),4,"")))))</f>
        <v/>
      </c>
      <c r="P361" s="261"/>
      <c r="Q361" s="305"/>
      <c r="R361" s="302"/>
      <c r="S361" s="264">
        <f t="shared" si="34"/>
        <v>0</v>
      </c>
      <c r="T361" s="302"/>
      <c r="U361" s="302"/>
      <c r="V361" s="302"/>
      <c r="W361" s="302"/>
      <c r="X361" s="302"/>
      <c r="Y361" s="302"/>
      <c r="Z361" s="302"/>
      <c r="AA361" s="302"/>
      <c r="AB361" s="303"/>
      <c r="AC361" s="304"/>
      <c r="AD361" s="305"/>
      <c r="AE361" s="302"/>
      <c r="AF361" s="302"/>
      <c r="AG361" s="302"/>
      <c r="AH361" s="302"/>
      <c r="AI361" s="303"/>
      <c r="AJ361" s="303"/>
      <c r="AK361" s="302"/>
      <c r="AL361" s="314"/>
      <c r="AM361" s="305"/>
      <c r="AN361" s="302"/>
      <c r="AO361" s="302"/>
      <c r="AP361" s="302"/>
      <c r="AQ361" s="302"/>
      <c r="AR361" s="302"/>
      <c r="AS361" s="302"/>
      <c r="AT361" s="302"/>
      <c r="AU361" s="304"/>
      <c r="AV361" s="306"/>
      <c r="AW361" s="303"/>
      <c r="AX361" s="303"/>
      <c r="AY361" s="303"/>
      <c r="AZ361" s="303"/>
      <c r="BA361" s="303"/>
      <c r="BB361" s="303"/>
      <c r="BC361" s="303"/>
      <c r="BD361" s="304"/>
      <c r="BE361" s="305"/>
      <c r="BF361" s="302"/>
      <c r="BG361" s="307"/>
      <c r="BH361" s="308"/>
      <c r="BI361" s="302"/>
      <c r="BJ361" s="307"/>
      <c r="BK361" s="308"/>
      <c r="BL361" s="302"/>
      <c r="BM361" s="303"/>
      <c r="BN361" s="315"/>
      <c r="BO361" s="250">
        <f t="shared" si="35"/>
        <v>0</v>
      </c>
    </row>
    <row r="362" spans="1:67" ht="25.5" customHeight="1" x14ac:dyDescent="0.2">
      <c r="A362" s="142">
        <f t="shared" si="36"/>
        <v>347</v>
      </c>
      <c r="B362" s="251"/>
      <c r="C362" s="252"/>
      <c r="D362" s="253"/>
      <c r="E362" s="254"/>
      <c r="F362" s="278"/>
      <c r="G362" s="256"/>
      <c r="H362" s="257"/>
      <c r="I362" s="231" t="str">
        <f t="shared" si="31"/>
        <v/>
      </c>
      <c r="J362" s="258">
        <f t="shared" si="32"/>
        <v>0</v>
      </c>
      <c r="K362" s="313"/>
      <c r="L362" s="300"/>
      <c r="M362" s="300"/>
      <c r="N362" s="235" t="str">
        <f t="shared" si="33"/>
        <v/>
      </c>
      <c r="O362" s="236" t="str">
        <f>IF('Data Set up'!$G$40="JUNE",IF(OR($N362=7,$N362=8,$N362=9),1,IF(OR($N362=10,$N362=11,$N362=12),2,IF(OR($N362=1,$N362=2,$N362=3),3,IF(OR($N362=4,$N362=5,$N362=6),4,"")))),IF(OR($N362=9,$N362=10,$N362=11),1,IF(OR($N362=12,$N362=1,$N362=2),2,IF(OR($N362=3,$N362=4,$N362=5),3,IF(OR($N362=6,$N362=7,$N362=8),4,"")))))</f>
        <v/>
      </c>
      <c r="P362" s="261"/>
      <c r="Q362" s="305"/>
      <c r="R362" s="302"/>
      <c r="S362" s="264">
        <f t="shared" si="34"/>
        <v>0</v>
      </c>
      <c r="T362" s="302"/>
      <c r="U362" s="302"/>
      <c r="V362" s="302"/>
      <c r="W362" s="302"/>
      <c r="X362" s="302"/>
      <c r="Y362" s="302"/>
      <c r="Z362" s="302"/>
      <c r="AA362" s="302"/>
      <c r="AB362" s="303"/>
      <c r="AC362" s="304"/>
      <c r="AD362" s="305"/>
      <c r="AE362" s="302"/>
      <c r="AF362" s="302"/>
      <c r="AG362" s="302"/>
      <c r="AH362" s="302"/>
      <c r="AI362" s="303"/>
      <c r="AJ362" s="303"/>
      <c r="AK362" s="302"/>
      <c r="AL362" s="314"/>
      <c r="AM362" s="305"/>
      <c r="AN362" s="302"/>
      <c r="AO362" s="302"/>
      <c r="AP362" s="302"/>
      <c r="AQ362" s="302"/>
      <c r="AR362" s="302"/>
      <c r="AS362" s="302"/>
      <c r="AT362" s="302"/>
      <c r="AU362" s="304"/>
      <c r="AV362" s="306"/>
      <c r="AW362" s="303"/>
      <c r="AX362" s="303"/>
      <c r="AY362" s="303"/>
      <c r="AZ362" s="303"/>
      <c r="BA362" s="303"/>
      <c r="BB362" s="303"/>
      <c r="BC362" s="303"/>
      <c r="BD362" s="304"/>
      <c r="BE362" s="305"/>
      <c r="BF362" s="302"/>
      <c r="BG362" s="307"/>
      <c r="BH362" s="308"/>
      <c r="BI362" s="302"/>
      <c r="BJ362" s="307"/>
      <c r="BK362" s="308"/>
      <c r="BL362" s="302"/>
      <c r="BM362" s="303"/>
      <c r="BN362" s="315"/>
      <c r="BO362" s="250">
        <f t="shared" si="35"/>
        <v>0</v>
      </c>
    </row>
    <row r="363" spans="1:67" ht="25.5" customHeight="1" x14ac:dyDescent="0.2">
      <c r="A363" s="142">
        <f t="shared" si="36"/>
        <v>348</v>
      </c>
      <c r="B363" s="251"/>
      <c r="C363" s="252"/>
      <c r="D363" s="253"/>
      <c r="E363" s="254"/>
      <c r="F363" s="278"/>
      <c r="G363" s="256"/>
      <c r="H363" s="257"/>
      <c r="I363" s="231" t="str">
        <f t="shared" si="31"/>
        <v/>
      </c>
      <c r="J363" s="258">
        <f t="shared" si="32"/>
        <v>0</v>
      </c>
      <c r="K363" s="313"/>
      <c r="L363" s="300"/>
      <c r="M363" s="300"/>
      <c r="N363" s="235" t="str">
        <f t="shared" si="33"/>
        <v/>
      </c>
      <c r="O363" s="236" t="str">
        <f>IF('Data Set up'!$G$40="JUNE",IF(OR($N363=7,$N363=8,$N363=9),1,IF(OR($N363=10,$N363=11,$N363=12),2,IF(OR($N363=1,$N363=2,$N363=3),3,IF(OR($N363=4,$N363=5,$N363=6),4,"")))),IF(OR($N363=9,$N363=10,$N363=11),1,IF(OR($N363=12,$N363=1,$N363=2),2,IF(OR($N363=3,$N363=4,$N363=5),3,IF(OR($N363=6,$N363=7,$N363=8),4,"")))))</f>
        <v/>
      </c>
      <c r="P363" s="261"/>
      <c r="Q363" s="305"/>
      <c r="R363" s="302"/>
      <c r="S363" s="264">
        <f t="shared" si="34"/>
        <v>0</v>
      </c>
      <c r="T363" s="302"/>
      <c r="U363" s="302"/>
      <c r="V363" s="302"/>
      <c r="W363" s="302"/>
      <c r="X363" s="302"/>
      <c r="Y363" s="302"/>
      <c r="Z363" s="302"/>
      <c r="AA363" s="302"/>
      <c r="AB363" s="303"/>
      <c r="AC363" s="304"/>
      <c r="AD363" s="305"/>
      <c r="AE363" s="302"/>
      <c r="AF363" s="302"/>
      <c r="AG363" s="302"/>
      <c r="AH363" s="302"/>
      <c r="AI363" s="303"/>
      <c r="AJ363" s="303"/>
      <c r="AK363" s="302"/>
      <c r="AL363" s="314"/>
      <c r="AM363" s="305"/>
      <c r="AN363" s="302"/>
      <c r="AO363" s="302"/>
      <c r="AP363" s="302"/>
      <c r="AQ363" s="302"/>
      <c r="AR363" s="302"/>
      <c r="AS363" s="302"/>
      <c r="AT363" s="302"/>
      <c r="AU363" s="304"/>
      <c r="AV363" s="306"/>
      <c r="AW363" s="303"/>
      <c r="AX363" s="303"/>
      <c r="AY363" s="303"/>
      <c r="AZ363" s="303"/>
      <c r="BA363" s="303"/>
      <c r="BB363" s="303"/>
      <c r="BC363" s="303"/>
      <c r="BD363" s="304"/>
      <c r="BE363" s="305"/>
      <c r="BF363" s="302"/>
      <c r="BG363" s="307"/>
      <c r="BH363" s="308"/>
      <c r="BI363" s="302"/>
      <c r="BJ363" s="307"/>
      <c r="BK363" s="308"/>
      <c r="BL363" s="302"/>
      <c r="BM363" s="303"/>
      <c r="BN363" s="315"/>
      <c r="BO363" s="250">
        <f t="shared" si="35"/>
        <v>0</v>
      </c>
    </row>
    <row r="364" spans="1:67" ht="25.5" customHeight="1" x14ac:dyDescent="0.2">
      <c r="A364" s="142">
        <f t="shared" si="36"/>
        <v>349</v>
      </c>
      <c r="B364" s="251"/>
      <c r="C364" s="252"/>
      <c r="D364" s="253"/>
      <c r="E364" s="254"/>
      <c r="F364" s="278"/>
      <c r="G364" s="256"/>
      <c r="H364" s="257"/>
      <c r="I364" s="231" t="str">
        <f t="shared" si="31"/>
        <v/>
      </c>
      <c r="J364" s="258">
        <f t="shared" si="32"/>
        <v>0</v>
      </c>
      <c r="K364" s="313"/>
      <c r="L364" s="300"/>
      <c r="M364" s="300"/>
      <c r="N364" s="235" t="str">
        <f t="shared" si="33"/>
        <v/>
      </c>
      <c r="O364" s="236" t="str">
        <f>IF('Data Set up'!$G$40="JUNE",IF(OR($N364=7,$N364=8,$N364=9),1,IF(OR($N364=10,$N364=11,$N364=12),2,IF(OR($N364=1,$N364=2,$N364=3),3,IF(OR($N364=4,$N364=5,$N364=6),4,"")))),IF(OR($N364=9,$N364=10,$N364=11),1,IF(OR($N364=12,$N364=1,$N364=2),2,IF(OR($N364=3,$N364=4,$N364=5),3,IF(OR($N364=6,$N364=7,$N364=8),4,"")))))</f>
        <v/>
      </c>
      <c r="P364" s="261"/>
      <c r="Q364" s="305"/>
      <c r="R364" s="302"/>
      <c r="S364" s="264">
        <f t="shared" si="34"/>
        <v>0</v>
      </c>
      <c r="T364" s="302"/>
      <c r="U364" s="302"/>
      <c r="V364" s="302"/>
      <c r="W364" s="302"/>
      <c r="X364" s="302"/>
      <c r="Y364" s="302"/>
      <c r="Z364" s="302"/>
      <c r="AA364" s="302"/>
      <c r="AB364" s="303"/>
      <c r="AC364" s="304"/>
      <c r="AD364" s="305"/>
      <c r="AE364" s="302"/>
      <c r="AF364" s="302"/>
      <c r="AG364" s="302"/>
      <c r="AH364" s="302"/>
      <c r="AI364" s="303"/>
      <c r="AJ364" s="303"/>
      <c r="AK364" s="302"/>
      <c r="AL364" s="314"/>
      <c r="AM364" s="305"/>
      <c r="AN364" s="302"/>
      <c r="AO364" s="302"/>
      <c r="AP364" s="302"/>
      <c r="AQ364" s="302"/>
      <c r="AR364" s="302"/>
      <c r="AS364" s="302"/>
      <c r="AT364" s="302"/>
      <c r="AU364" s="304"/>
      <c r="AV364" s="306"/>
      <c r="AW364" s="303"/>
      <c r="AX364" s="303"/>
      <c r="AY364" s="303"/>
      <c r="AZ364" s="303"/>
      <c r="BA364" s="303"/>
      <c r="BB364" s="303"/>
      <c r="BC364" s="303"/>
      <c r="BD364" s="304"/>
      <c r="BE364" s="305"/>
      <c r="BF364" s="302"/>
      <c r="BG364" s="307"/>
      <c r="BH364" s="308"/>
      <c r="BI364" s="302"/>
      <c r="BJ364" s="307"/>
      <c r="BK364" s="308"/>
      <c r="BL364" s="302"/>
      <c r="BM364" s="303"/>
      <c r="BN364" s="315"/>
      <c r="BO364" s="250">
        <f t="shared" si="35"/>
        <v>0</v>
      </c>
    </row>
    <row r="365" spans="1:67" ht="25.5" customHeight="1" x14ac:dyDescent="0.2">
      <c r="A365" s="142">
        <f t="shared" si="36"/>
        <v>350</v>
      </c>
      <c r="B365" s="251"/>
      <c r="C365" s="252"/>
      <c r="D365" s="253"/>
      <c r="E365" s="254"/>
      <c r="F365" s="278"/>
      <c r="G365" s="256"/>
      <c r="H365" s="257"/>
      <c r="I365" s="231" t="str">
        <f t="shared" si="31"/>
        <v/>
      </c>
      <c r="J365" s="258">
        <f t="shared" si="32"/>
        <v>0</v>
      </c>
      <c r="K365" s="313"/>
      <c r="L365" s="300"/>
      <c r="M365" s="300"/>
      <c r="N365" s="235" t="str">
        <f t="shared" si="33"/>
        <v/>
      </c>
      <c r="O365" s="236" t="str">
        <f>IF('Data Set up'!$G$40="JUNE",IF(OR($N365=7,$N365=8,$N365=9),1,IF(OR($N365=10,$N365=11,$N365=12),2,IF(OR($N365=1,$N365=2,$N365=3),3,IF(OR($N365=4,$N365=5,$N365=6),4,"")))),IF(OR($N365=9,$N365=10,$N365=11),1,IF(OR($N365=12,$N365=1,$N365=2),2,IF(OR($N365=3,$N365=4,$N365=5),3,IF(OR($N365=6,$N365=7,$N365=8),4,"")))))</f>
        <v/>
      </c>
      <c r="P365" s="261"/>
      <c r="Q365" s="305"/>
      <c r="R365" s="302"/>
      <c r="S365" s="264">
        <f t="shared" si="34"/>
        <v>0</v>
      </c>
      <c r="T365" s="302"/>
      <c r="U365" s="302"/>
      <c r="V365" s="302"/>
      <c r="W365" s="302"/>
      <c r="X365" s="302"/>
      <c r="Y365" s="302"/>
      <c r="Z365" s="302"/>
      <c r="AA365" s="302"/>
      <c r="AB365" s="303"/>
      <c r="AC365" s="304"/>
      <c r="AD365" s="305"/>
      <c r="AE365" s="302"/>
      <c r="AF365" s="302"/>
      <c r="AG365" s="302"/>
      <c r="AH365" s="302"/>
      <c r="AI365" s="303"/>
      <c r="AJ365" s="303"/>
      <c r="AK365" s="302"/>
      <c r="AL365" s="314"/>
      <c r="AM365" s="305"/>
      <c r="AN365" s="302"/>
      <c r="AO365" s="302"/>
      <c r="AP365" s="302"/>
      <c r="AQ365" s="302"/>
      <c r="AR365" s="302"/>
      <c r="AS365" s="302"/>
      <c r="AT365" s="302"/>
      <c r="AU365" s="304"/>
      <c r="AV365" s="306"/>
      <c r="AW365" s="303"/>
      <c r="AX365" s="303"/>
      <c r="AY365" s="303"/>
      <c r="AZ365" s="303"/>
      <c r="BA365" s="303"/>
      <c r="BB365" s="303"/>
      <c r="BC365" s="303"/>
      <c r="BD365" s="304"/>
      <c r="BE365" s="305"/>
      <c r="BF365" s="302"/>
      <c r="BG365" s="307"/>
      <c r="BH365" s="308"/>
      <c r="BI365" s="302"/>
      <c r="BJ365" s="307"/>
      <c r="BK365" s="308"/>
      <c r="BL365" s="302"/>
      <c r="BM365" s="303"/>
      <c r="BN365" s="315"/>
      <c r="BO365" s="250">
        <f t="shared" si="35"/>
        <v>0</v>
      </c>
    </row>
    <row r="366" spans="1:67" ht="25.5" customHeight="1" x14ac:dyDescent="0.2">
      <c r="A366" s="142">
        <f t="shared" si="36"/>
        <v>351</v>
      </c>
      <c r="B366" s="251"/>
      <c r="C366" s="252"/>
      <c r="D366" s="253"/>
      <c r="E366" s="254"/>
      <c r="F366" s="278"/>
      <c r="G366" s="256"/>
      <c r="H366" s="257"/>
      <c r="I366" s="231" t="str">
        <f t="shared" si="31"/>
        <v/>
      </c>
      <c r="J366" s="258">
        <f t="shared" si="32"/>
        <v>0</v>
      </c>
      <c r="K366" s="313"/>
      <c r="L366" s="300"/>
      <c r="M366" s="300"/>
      <c r="N366" s="235" t="str">
        <f t="shared" si="33"/>
        <v/>
      </c>
      <c r="O366" s="236" t="str">
        <f>IF('Data Set up'!$G$40="JUNE",IF(OR($N366=7,$N366=8,$N366=9),1,IF(OR($N366=10,$N366=11,$N366=12),2,IF(OR($N366=1,$N366=2,$N366=3),3,IF(OR($N366=4,$N366=5,$N366=6),4,"")))),IF(OR($N366=9,$N366=10,$N366=11),1,IF(OR($N366=12,$N366=1,$N366=2),2,IF(OR($N366=3,$N366=4,$N366=5),3,IF(OR($N366=6,$N366=7,$N366=8),4,"")))))</f>
        <v/>
      </c>
      <c r="P366" s="261"/>
      <c r="Q366" s="305"/>
      <c r="R366" s="302"/>
      <c r="S366" s="264">
        <f t="shared" si="34"/>
        <v>0</v>
      </c>
      <c r="T366" s="302"/>
      <c r="U366" s="302"/>
      <c r="V366" s="302"/>
      <c r="W366" s="302"/>
      <c r="X366" s="302"/>
      <c r="Y366" s="302"/>
      <c r="Z366" s="302"/>
      <c r="AA366" s="302"/>
      <c r="AB366" s="303"/>
      <c r="AC366" s="304"/>
      <c r="AD366" s="305"/>
      <c r="AE366" s="302"/>
      <c r="AF366" s="302"/>
      <c r="AG366" s="302"/>
      <c r="AH366" s="302"/>
      <c r="AI366" s="303"/>
      <c r="AJ366" s="303"/>
      <c r="AK366" s="302"/>
      <c r="AL366" s="314"/>
      <c r="AM366" s="305"/>
      <c r="AN366" s="302"/>
      <c r="AO366" s="302"/>
      <c r="AP366" s="302"/>
      <c r="AQ366" s="302"/>
      <c r="AR366" s="302"/>
      <c r="AS366" s="302"/>
      <c r="AT366" s="302"/>
      <c r="AU366" s="304"/>
      <c r="AV366" s="306"/>
      <c r="AW366" s="303"/>
      <c r="AX366" s="303"/>
      <c r="AY366" s="303"/>
      <c r="AZ366" s="303"/>
      <c r="BA366" s="303"/>
      <c r="BB366" s="303"/>
      <c r="BC366" s="303"/>
      <c r="BD366" s="304"/>
      <c r="BE366" s="305"/>
      <c r="BF366" s="302"/>
      <c r="BG366" s="307"/>
      <c r="BH366" s="308"/>
      <c r="BI366" s="302"/>
      <c r="BJ366" s="307"/>
      <c r="BK366" s="308"/>
      <c r="BL366" s="302"/>
      <c r="BM366" s="303"/>
      <c r="BN366" s="315"/>
      <c r="BO366" s="250">
        <f t="shared" si="35"/>
        <v>0</v>
      </c>
    </row>
    <row r="367" spans="1:67" ht="25.5" customHeight="1" x14ac:dyDescent="0.2">
      <c r="A367" s="142">
        <f t="shared" si="36"/>
        <v>352</v>
      </c>
      <c r="B367" s="251"/>
      <c r="C367" s="252"/>
      <c r="D367" s="253"/>
      <c r="E367" s="254"/>
      <c r="F367" s="278"/>
      <c r="G367" s="256"/>
      <c r="H367" s="257"/>
      <c r="I367" s="231" t="str">
        <f t="shared" si="31"/>
        <v/>
      </c>
      <c r="J367" s="258">
        <f t="shared" si="32"/>
        <v>0</v>
      </c>
      <c r="K367" s="313"/>
      <c r="L367" s="300"/>
      <c r="M367" s="300"/>
      <c r="N367" s="235" t="str">
        <f t="shared" si="33"/>
        <v/>
      </c>
      <c r="O367" s="236" t="str">
        <f>IF('Data Set up'!$G$40="JUNE",IF(OR($N367=7,$N367=8,$N367=9),1,IF(OR($N367=10,$N367=11,$N367=12),2,IF(OR($N367=1,$N367=2,$N367=3),3,IF(OR($N367=4,$N367=5,$N367=6),4,"")))),IF(OR($N367=9,$N367=10,$N367=11),1,IF(OR($N367=12,$N367=1,$N367=2),2,IF(OR($N367=3,$N367=4,$N367=5),3,IF(OR($N367=6,$N367=7,$N367=8),4,"")))))</f>
        <v/>
      </c>
      <c r="P367" s="261"/>
      <c r="Q367" s="305"/>
      <c r="R367" s="302"/>
      <c r="S367" s="264">
        <f t="shared" si="34"/>
        <v>0</v>
      </c>
      <c r="T367" s="302"/>
      <c r="U367" s="302"/>
      <c r="V367" s="302"/>
      <c r="W367" s="302"/>
      <c r="X367" s="302"/>
      <c r="Y367" s="302"/>
      <c r="Z367" s="302"/>
      <c r="AA367" s="302"/>
      <c r="AB367" s="303"/>
      <c r="AC367" s="304"/>
      <c r="AD367" s="305"/>
      <c r="AE367" s="302"/>
      <c r="AF367" s="302"/>
      <c r="AG367" s="302"/>
      <c r="AH367" s="302"/>
      <c r="AI367" s="303"/>
      <c r="AJ367" s="303"/>
      <c r="AK367" s="302"/>
      <c r="AL367" s="314"/>
      <c r="AM367" s="305"/>
      <c r="AN367" s="302"/>
      <c r="AO367" s="302"/>
      <c r="AP367" s="302"/>
      <c r="AQ367" s="302"/>
      <c r="AR367" s="302"/>
      <c r="AS367" s="302"/>
      <c r="AT367" s="302"/>
      <c r="AU367" s="304"/>
      <c r="AV367" s="306"/>
      <c r="AW367" s="303"/>
      <c r="AX367" s="303"/>
      <c r="AY367" s="303"/>
      <c r="AZ367" s="303"/>
      <c r="BA367" s="303"/>
      <c r="BB367" s="303"/>
      <c r="BC367" s="303"/>
      <c r="BD367" s="304"/>
      <c r="BE367" s="305"/>
      <c r="BF367" s="302"/>
      <c r="BG367" s="307"/>
      <c r="BH367" s="308"/>
      <c r="BI367" s="302"/>
      <c r="BJ367" s="307"/>
      <c r="BK367" s="308"/>
      <c r="BL367" s="302"/>
      <c r="BM367" s="303"/>
      <c r="BN367" s="315"/>
      <c r="BO367" s="250">
        <f t="shared" si="35"/>
        <v>0</v>
      </c>
    </row>
    <row r="368" spans="1:67" ht="25.5" customHeight="1" x14ac:dyDescent="0.2">
      <c r="A368" s="142">
        <f t="shared" si="36"/>
        <v>353</v>
      </c>
      <c r="B368" s="251"/>
      <c r="C368" s="252"/>
      <c r="D368" s="253"/>
      <c r="E368" s="254"/>
      <c r="F368" s="278"/>
      <c r="G368" s="256"/>
      <c r="H368" s="257"/>
      <c r="I368" s="231" t="str">
        <f t="shared" si="31"/>
        <v/>
      </c>
      <c r="J368" s="258">
        <f t="shared" si="32"/>
        <v>0</v>
      </c>
      <c r="K368" s="313"/>
      <c r="L368" s="300"/>
      <c r="M368" s="300"/>
      <c r="N368" s="235" t="str">
        <f t="shared" si="33"/>
        <v/>
      </c>
      <c r="O368" s="236" t="str">
        <f>IF('Data Set up'!$G$40="JUNE",IF(OR($N368=7,$N368=8,$N368=9),1,IF(OR($N368=10,$N368=11,$N368=12),2,IF(OR($N368=1,$N368=2,$N368=3),3,IF(OR($N368=4,$N368=5,$N368=6),4,"")))),IF(OR($N368=9,$N368=10,$N368=11),1,IF(OR($N368=12,$N368=1,$N368=2),2,IF(OR($N368=3,$N368=4,$N368=5),3,IF(OR($N368=6,$N368=7,$N368=8),4,"")))))</f>
        <v/>
      </c>
      <c r="P368" s="261"/>
      <c r="Q368" s="305"/>
      <c r="R368" s="302"/>
      <c r="S368" s="264">
        <f t="shared" si="34"/>
        <v>0</v>
      </c>
      <c r="T368" s="302"/>
      <c r="U368" s="302"/>
      <c r="V368" s="302"/>
      <c r="W368" s="302"/>
      <c r="X368" s="302"/>
      <c r="Y368" s="302"/>
      <c r="Z368" s="302"/>
      <c r="AA368" s="302"/>
      <c r="AB368" s="303"/>
      <c r="AC368" s="304"/>
      <c r="AD368" s="305"/>
      <c r="AE368" s="302"/>
      <c r="AF368" s="302"/>
      <c r="AG368" s="302"/>
      <c r="AH368" s="302"/>
      <c r="AI368" s="303"/>
      <c r="AJ368" s="303"/>
      <c r="AK368" s="302"/>
      <c r="AL368" s="314"/>
      <c r="AM368" s="305"/>
      <c r="AN368" s="302"/>
      <c r="AO368" s="302"/>
      <c r="AP368" s="302"/>
      <c r="AQ368" s="302"/>
      <c r="AR368" s="302"/>
      <c r="AS368" s="302"/>
      <c r="AT368" s="302"/>
      <c r="AU368" s="304"/>
      <c r="AV368" s="306"/>
      <c r="AW368" s="303"/>
      <c r="AX368" s="303"/>
      <c r="AY368" s="303"/>
      <c r="AZ368" s="303"/>
      <c r="BA368" s="303"/>
      <c r="BB368" s="303"/>
      <c r="BC368" s="303"/>
      <c r="BD368" s="304"/>
      <c r="BE368" s="305"/>
      <c r="BF368" s="302"/>
      <c r="BG368" s="307"/>
      <c r="BH368" s="308"/>
      <c r="BI368" s="302"/>
      <c r="BJ368" s="307"/>
      <c r="BK368" s="308"/>
      <c r="BL368" s="302"/>
      <c r="BM368" s="303"/>
      <c r="BN368" s="315"/>
      <c r="BO368" s="250">
        <f t="shared" si="35"/>
        <v>0</v>
      </c>
    </row>
    <row r="369" spans="1:67" ht="25.5" customHeight="1" x14ac:dyDescent="0.2">
      <c r="A369" s="142">
        <f t="shared" si="36"/>
        <v>354</v>
      </c>
      <c r="B369" s="251"/>
      <c r="C369" s="252"/>
      <c r="D369" s="253"/>
      <c r="E369" s="254"/>
      <c r="F369" s="278"/>
      <c r="G369" s="256"/>
      <c r="H369" s="257"/>
      <c r="I369" s="231" t="str">
        <f t="shared" si="31"/>
        <v/>
      </c>
      <c r="J369" s="258">
        <f t="shared" si="32"/>
        <v>0</v>
      </c>
      <c r="K369" s="313"/>
      <c r="L369" s="300"/>
      <c r="M369" s="300"/>
      <c r="N369" s="235" t="str">
        <f t="shared" si="33"/>
        <v/>
      </c>
      <c r="O369" s="236" t="str">
        <f>IF('Data Set up'!$G$40="JUNE",IF(OR($N369=7,$N369=8,$N369=9),1,IF(OR($N369=10,$N369=11,$N369=12),2,IF(OR($N369=1,$N369=2,$N369=3),3,IF(OR($N369=4,$N369=5,$N369=6),4,"")))),IF(OR($N369=9,$N369=10,$N369=11),1,IF(OR($N369=12,$N369=1,$N369=2),2,IF(OR($N369=3,$N369=4,$N369=5),3,IF(OR($N369=6,$N369=7,$N369=8),4,"")))))</f>
        <v/>
      </c>
      <c r="P369" s="261"/>
      <c r="Q369" s="305"/>
      <c r="R369" s="302"/>
      <c r="S369" s="264">
        <f t="shared" si="34"/>
        <v>0</v>
      </c>
      <c r="T369" s="302"/>
      <c r="U369" s="302"/>
      <c r="V369" s="302"/>
      <c r="W369" s="302"/>
      <c r="X369" s="302"/>
      <c r="Y369" s="302"/>
      <c r="Z369" s="302"/>
      <c r="AA369" s="302"/>
      <c r="AB369" s="303"/>
      <c r="AC369" s="304"/>
      <c r="AD369" s="305"/>
      <c r="AE369" s="302"/>
      <c r="AF369" s="302"/>
      <c r="AG369" s="302"/>
      <c r="AH369" s="302"/>
      <c r="AI369" s="303"/>
      <c r="AJ369" s="303"/>
      <c r="AK369" s="302"/>
      <c r="AL369" s="314"/>
      <c r="AM369" s="305"/>
      <c r="AN369" s="302"/>
      <c r="AO369" s="302"/>
      <c r="AP369" s="302"/>
      <c r="AQ369" s="302"/>
      <c r="AR369" s="302"/>
      <c r="AS369" s="302"/>
      <c r="AT369" s="302"/>
      <c r="AU369" s="304"/>
      <c r="AV369" s="306"/>
      <c r="AW369" s="303"/>
      <c r="AX369" s="303"/>
      <c r="AY369" s="303"/>
      <c r="AZ369" s="303"/>
      <c r="BA369" s="303"/>
      <c r="BB369" s="303"/>
      <c r="BC369" s="303"/>
      <c r="BD369" s="304"/>
      <c r="BE369" s="305"/>
      <c r="BF369" s="302"/>
      <c r="BG369" s="307"/>
      <c r="BH369" s="308"/>
      <c r="BI369" s="302"/>
      <c r="BJ369" s="307"/>
      <c r="BK369" s="308"/>
      <c r="BL369" s="302"/>
      <c r="BM369" s="303"/>
      <c r="BN369" s="315"/>
      <c r="BO369" s="250">
        <f t="shared" si="35"/>
        <v>0</v>
      </c>
    </row>
    <row r="370" spans="1:67" ht="25.5" customHeight="1" x14ac:dyDescent="0.2">
      <c r="A370" s="142">
        <f t="shared" si="36"/>
        <v>355</v>
      </c>
      <c r="B370" s="251"/>
      <c r="C370" s="252"/>
      <c r="D370" s="253"/>
      <c r="E370" s="254"/>
      <c r="F370" s="278"/>
      <c r="G370" s="256"/>
      <c r="H370" s="257"/>
      <c r="I370" s="231" t="str">
        <f t="shared" si="31"/>
        <v/>
      </c>
      <c r="J370" s="258">
        <f t="shared" si="32"/>
        <v>0</v>
      </c>
      <c r="K370" s="313"/>
      <c r="L370" s="300"/>
      <c r="M370" s="300"/>
      <c r="N370" s="235" t="str">
        <f t="shared" si="33"/>
        <v/>
      </c>
      <c r="O370" s="236" t="str">
        <f>IF('Data Set up'!$G$40="JUNE",IF(OR($N370=7,$N370=8,$N370=9),1,IF(OR($N370=10,$N370=11,$N370=12),2,IF(OR($N370=1,$N370=2,$N370=3),3,IF(OR($N370=4,$N370=5,$N370=6),4,"")))),IF(OR($N370=9,$N370=10,$N370=11),1,IF(OR($N370=12,$N370=1,$N370=2),2,IF(OR($N370=3,$N370=4,$N370=5),3,IF(OR($N370=6,$N370=7,$N370=8),4,"")))))</f>
        <v/>
      </c>
      <c r="P370" s="261"/>
      <c r="Q370" s="305"/>
      <c r="R370" s="302"/>
      <c r="S370" s="264">
        <f t="shared" si="34"/>
        <v>0</v>
      </c>
      <c r="T370" s="302"/>
      <c r="U370" s="302"/>
      <c r="V370" s="302"/>
      <c r="W370" s="302"/>
      <c r="X370" s="302"/>
      <c r="Y370" s="302"/>
      <c r="Z370" s="302"/>
      <c r="AA370" s="302"/>
      <c r="AB370" s="303"/>
      <c r="AC370" s="304"/>
      <c r="AD370" s="305"/>
      <c r="AE370" s="302"/>
      <c r="AF370" s="302"/>
      <c r="AG370" s="302"/>
      <c r="AH370" s="302"/>
      <c r="AI370" s="303"/>
      <c r="AJ370" s="303"/>
      <c r="AK370" s="302"/>
      <c r="AL370" s="314"/>
      <c r="AM370" s="305"/>
      <c r="AN370" s="302"/>
      <c r="AO370" s="302"/>
      <c r="AP370" s="302"/>
      <c r="AQ370" s="302"/>
      <c r="AR370" s="302"/>
      <c r="AS370" s="302"/>
      <c r="AT370" s="302"/>
      <c r="AU370" s="304"/>
      <c r="AV370" s="306"/>
      <c r="AW370" s="303"/>
      <c r="AX370" s="303"/>
      <c r="AY370" s="303"/>
      <c r="AZ370" s="303"/>
      <c r="BA370" s="303"/>
      <c r="BB370" s="303"/>
      <c r="BC370" s="303"/>
      <c r="BD370" s="304"/>
      <c r="BE370" s="305"/>
      <c r="BF370" s="302"/>
      <c r="BG370" s="307"/>
      <c r="BH370" s="308"/>
      <c r="BI370" s="302"/>
      <c r="BJ370" s="307"/>
      <c r="BK370" s="308"/>
      <c r="BL370" s="302"/>
      <c r="BM370" s="303"/>
      <c r="BN370" s="315"/>
      <c r="BO370" s="250">
        <f t="shared" si="35"/>
        <v>0</v>
      </c>
    </row>
    <row r="371" spans="1:67" ht="25.5" customHeight="1" x14ac:dyDescent="0.2">
      <c r="A371" s="142">
        <f t="shared" si="36"/>
        <v>356</v>
      </c>
      <c r="B371" s="251"/>
      <c r="C371" s="252"/>
      <c r="D371" s="253"/>
      <c r="E371" s="254"/>
      <c r="F371" s="278"/>
      <c r="G371" s="256"/>
      <c r="H371" s="257"/>
      <c r="I371" s="231" t="str">
        <f t="shared" si="31"/>
        <v/>
      </c>
      <c r="J371" s="258">
        <f t="shared" si="32"/>
        <v>0</v>
      </c>
      <c r="K371" s="313"/>
      <c r="L371" s="300"/>
      <c r="M371" s="300"/>
      <c r="N371" s="235" t="str">
        <f t="shared" si="33"/>
        <v/>
      </c>
      <c r="O371" s="236" t="str">
        <f>IF('Data Set up'!$G$40="JUNE",IF(OR($N371=7,$N371=8,$N371=9),1,IF(OR($N371=10,$N371=11,$N371=12),2,IF(OR($N371=1,$N371=2,$N371=3),3,IF(OR($N371=4,$N371=5,$N371=6),4,"")))),IF(OR($N371=9,$N371=10,$N371=11),1,IF(OR($N371=12,$N371=1,$N371=2),2,IF(OR($N371=3,$N371=4,$N371=5),3,IF(OR($N371=6,$N371=7,$N371=8),4,"")))))</f>
        <v/>
      </c>
      <c r="P371" s="261"/>
      <c r="Q371" s="305"/>
      <c r="R371" s="302"/>
      <c r="S371" s="264">
        <f t="shared" si="34"/>
        <v>0</v>
      </c>
      <c r="T371" s="302"/>
      <c r="U371" s="302"/>
      <c r="V371" s="302"/>
      <c r="W371" s="302"/>
      <c r="X371" s="302"/>
      <c r="Y371" s="302"/>
      <c r="Z371" s="302"/>
      <c r="AA371" s="302"/>
      <c r="AB371" s="303"/>
      <c r="AC371" s="304"/>
      <c r="AD371" s="305"/>
      <c r="AE371" s="302"/>
      <c r="AF371" s="302"/>
      <c r="AG371" s="302"/>
      <c r="AH371" s="302"/>
      <c r="AI371" s="303"/>
      <c r="AJ371" s="303"/>
      <c r="AK371" s="302"/>
      <c r="AL371" s="314"/>
      <c r="AM371" s="305"/>
      <c r="AN371" s="302"/>
      <c r="AO371" s="302"/>
      <c r="AP371" s="302"/>
      <c r="AQ371" s="302"/>
      <c r="AR371" s="302"/>
      <c r="AS371" s="302"/>
      <c r="AT371" s="302"/>
      <c r="AU371" s="304"/>
      <c r="AV371" s="306"/>
      <c r="AW371" s="303"/>
      <c r="AX371" s="303"/>
      <c r="AY371" s="303"/>
      <c r="AZ371" s="303"/>
      <c r="BA371" s="303"/>
      <c r="BB371" s="303"/>
      <c r="BC371" s="303"/>
      <c r="BD371" s="304"/>
      <c r="BE371" s="305"/>
      <c r="BF371" s="302"/>
      <c r="BG371" s="307"/>
      <c r="BH371" s="308"/>
      <c r="BI371" s="302"/>
      <c r="BJ371" s="307"/>
      <c r="BK371" s="308"/>
      <c r="BL371" s="302"/>
      <c r="BM371" s="303"/>
      <c r="BN371" s="315"/>
      <c r="BO371" s="250">
        <f t="shared" si="35"/>
        <v>0</v>
      </c>
    </row>
    <row r="372" spans="1:67" ht="25.5" customHeight="1" x14ac:dyDescent="0.2">
      <c r="A372" s="142">
        <f t="shared" si="36"/>
        <v>357</v>
      </c>
      <c r="B372" s="251"/>
      <c r="C372" s="252"/>
      <c r="D372" s="253"/>
      <c r="E372" s="254"/>
      <c r="F372" s="278"/>
      <c r="G372" s="256"/>
      <c r="H372" s="257"/>
      <c r="I372" s="231" t="str">
        <f t="shared" si="31"/>
        <v/>
      </c>
      <c r="J372" s="258">
        <f t="shared" si="32"/>
        <v>0</v>
      </c>
      <c r="K372" s="313"/>
      <c r="L372" s="300"/>
      <c r="M372" s="300"/>
      <c r="N372" s="235" t="str">
        <f t="shared" si="33"/>
        <v/>
      </c>
      <c r="O372" s="236" t="str">
        <f>IF('Data Set up'!$G$40="JUNE",IF(OR($N372=7,$N372=8,$N372=9),1,IF(OR($N372=10,$N372=11,$N372=12),2,IF(OR($N372=1,$N372=2,$N372=3),3,IF(OR($N372=4,$N372=5,$N372=6),4,"")))),IF(OR($N372=9,$N372=10,$N372=11),1,IF(OR($N372=12,$N372=1,$N372=2),2,IF(OR($N372=3,$N372=4,$N372=5),3,IF(OR($N372=6,$N372=7,$N372=8),4,"")))))</f>
        <v/>
      </c>
      <c r="P372" s="261"/>
      <c r="Q372" s="305"/>
      <c r="R372" s="302"/>
      <c r="S372" s="264">
        <f t="shared" si="34"/>
        <v>0</v>
      </c>
      <c r="T372" s="302"/>
      <c r="U372" s="302"/>
      <c r="V372" s="302"/>
      <c r="W372" s="302"/>
      <c r="X372" s="302"/>
      <c r="Y372" s="302"/>
      <c r="Z372" s="302"/>
      <c r="AA372" s="302"/>
      <c r="AB372" s="303"/>
      <c r="AC372" s="304"/>
      <c r="AD372" s="305"/>
      <c r="AE372" s="302"/>
      <c r="AF372" s="302"/>
      <c r="AG372" s="302"/>
      <c r="AH372" s="302"/>
      <c r="AI372" s="303"/>
      <c r="AJ372" s="303"/>
      <c r="AK372" s="302"/>
      <c r="AL372" s="314"/>
      <c r="AM372" s="305"/>
      <c r="AN372" s="302"/>
      <c r="AO372" s="302"/>
      <c r="AP372" s="302"/>
      <c r="AQ372" s="302"/>
      <c r="AR372" s="302"/>
      <c r="AS372" s="302"/>
      <c r="AT372" s="302"/>
      <c r="AU372" s="304"/>
      <c r="AV372" s="306"/>
      <c r="AW372" s="303"/>
      <c r="AX372" s="303"/>
      <c r="AY372" s="303"/>
      <c r="AZ372" s="303"/>
      <c r="BA372" s="303"/>
      <c r="BB372" s="303"/>
      <c r="BC372" s="303"/>
      <c r="BD372" s="304"/>
      <c r="BE372" s="305"/>
      <c r="BF372" s="302"/>
      <c r="BG372" s="307"/>
      <c r="BH372" s="308"/>
      <c r="BI372" s="302"/>
      <c r="BJ372" s="307"/>
      <c r="BK372" s="308"/>
      <c r="BL372" s="302"/>
      <c r="BM372" s="303"/>
      <c r="BN372" s="315"/>
      <c r="BO372" s="250">
        <f t="shared" si="35"/>
        <v>0</v>
      </c>
    </row>
    <row r="373" spans="1:67" ht="25.5" customHeight="1" x14ac:dyDescent="0.2">
      <c r="A373" s="142">
        <f t="shared" si="36"/>
        <v>358</v>
      </c>
      <c r="B373" s="251"/>
      <c r="C373" s="252"/>
      <c r="D373" s="253"/>
      <c r="E373" s="254"/>
      <c r="F373" s="278"/>
      <c r="G373" s="256"/>
      <c r="H373" s="257"/>
      <c r="I373" s="231" t="str">
        <f t="shared" si="31"/>
        <v/>
      </c>
      <c r="J373" s="258">
        <f t="shared" si="32"/>
        <v>0</v>
      </c>
      <c r="K373" s="313"/>
      <c r="L373" s="300"/>
      <c r="M373" s="300"/>
      <c r="N373" s="235" t="str">
        <f t="shared" si="33"/>
        <v/>
      </c>
      <c r="O373" s="236" t="str">
        <f>IF('Data Set up'!$G$40="JUNE",IF(OR($N373=7,$N373=8,$N373=9),1,IF(OR($N373=10,$N373=11,$N373=12),2,IF(OR($N373=1,$N373=2,$N373=3),3,IF(OR($N373=4,$N373=5,$N373=6),4,"")))),IF(OR($N373=9,$N373=10,$N373=11),1,IF(OR($N373=12,$N373=1,$N373=2),2,IF(OR($N373=3,$N373=4,$N373=5),3,IF(OR($N373=6,$N373=7,$N373=8),4,"")))))</f>
        <v/>
      </c>
      <c r="P373" s="261"/>
      <c r="Q373" s="305"/>
      <c r="R373" s="302"/>
      <c r="S373" s="264">
        <f t="shared" si="34"/>
        <v>0</v>
      </c>
      <c r="T373" s="302"/>
      <c r="U373" s="302"/>
      <c r="V373" s="302"/>
      <c r="W373" s="302"/>
      <c r="X373" s="302"/>
      <c r="Y373" s="302"/>
      <c r="Z373" s="302"/>
      <c r="AA373" s="302"/>
      <c r="AB373" s="303"/>
      <c r="AC373" s="304"/>
      <c r="AD373" s="305"/>
      <c r="AE373" s="302"/>
      <c r="AF373" s="302"/>
      <c r="AG373" s="302"/>
      <c r="AH373" s="302"/>
      <c r="AI373" s="303"/>
      <c r="AJ373" s="303"/>
      <c r="AK373" s="302"/>
      <c r="AL373" s="314"/>
      <c r="AM373" s="305"/>
      <c r="AN373" s="302"/>
      <c r="AO373" s="302"/>
      <c r="AP373" s="302"/>
      <c r="AQ373" s="302"/>
      <c r="AR373" s="302"/>
      <c r="AS373" s="302"/>
      <c r="AT373" s="302"/>
      <c r="AU373" s="304"/>
      <c r="AV373" s="306"/>
      <c r="AW373" s="303"/>
      <c r="AX373" s="303"/>
      <c r="AY373" s="303"/>
      <c r="AZ373" s="303"/>
      <c r="BA373" s="303"/>
      <c r="BB373" s="303"/>
      <c r="BC373" s="303"/>
      <c r="BD373" s="304"/>
      <c r="BE373" s="305"/>
      <c r="BF373" s="302"/>
      <c r="BG373" s="307"/>
      <c r="BH373" s="308"/>
      <c r="BI373" s="302"/>
      <c r="BJ373" s="307"/>
      <c r="BK373" s="308"/>
      <c r="BL373" s="302"/>
      <c r="BM373" s="303"/>
      <c r="BN373" s="315"/>
      <c r="BO373" s="250">
        <f t="shared" si="35"/>
        <v>0</v>
      </c>
    </row>
    <row r="374" spans="1:67" ht="25.5" customHeight="1" x14ac:dyDescent="0.2">
      <c r="A374" s="142">
        <f t="shared" si="36"/>
        <v>359</v>
      </c>
      <c r="B374" s="251"/>
      <c r="C374" s="252"/>
      <c r="D374" s="253"/>
      <c r="E374" s="254"/>
      <c r="F374" s="278"/>
      <c r="G374" s="256"/>
      <c r="H374" s="257"/>
      <c r="I374" s="231" t="str">
        <f t="shared" si="31"/>
        <v/>
      </c>
      <c r="J374" s="258">
        <f t="shared" si="32"/>
        <v>0</v>
      </c>
      <c r="K374" s="313"/>
      <c r="L374" s="300"/>
      <c r="M374" s="300"/>
      <c r="N374" s="235" t="str">
        <f t="shared" si="33"/>
        <v/>
      </c>
      <c r="O374" s="236" t="str">
        <f>IF('Data Set up'!$G$40="JUNE",IF(OR($N374=7,$N374=8,$N374=9),1,IF(OR($N374=10,$N374=11,$N374=12),2,IF(OR($N374=1,$N374=2,$N374=3),3,IF(OR($N374=4,$N374=5,$N374=6),4,"")))),IF(OR($N374=9,$N374=10,$N374=11),1,IF(OR($N374=12,$N374=1,$N374=2),2,IF(OR($N374=3,$N374=4,$N374=5),3,IF(OR($N374=6,$N374=7,$N374=8),4,"")))))</f>
        <v/>
      </c>
      <c r="P374" s="261"/>
      <c r="Q374" s="305"/>
      <c r="R374" s="302"/>
      <c r="S374" s="264">
        <f t="shared" si="34"/>
        <v>0</v>
      </c>
      <c r="T374" s="302"/>
      <c r="U374" s="302"/>
      <c r="V374" s="302"/>
      <c r="W374" s="302"/>
      <c r="X374" s="302"/>
      <c r="Y374" s="302"/>
      <c r="Z374" s="302"/>
      <c r="AA374" s="302"/>
      <c r="AB374" s="303"/>
      <c r="AC374" s="304"/>
      <c r="AD374" s="305"/>
      <c r="AE374" s="302"/>
      <c r="AF374" s="302"/>
      <c r="AG374" s="302"/>
      <c r="AH374" s="302"/>
      <c r="AI374" s="303"/>
      <c r="AJ374" s="303"/>
      <c r="AK374" s="302"/>
      <c r="AL374" s="314"/>
      <c r="AM374" s="305"/>
      <c r="AN374" s="302"/>
      <c r="AO374" s="302"/>
      <c r="AP374" s="302"/>
      <c r="AQ374" s="302"/>
      <c r="AR374" s="302"/>
      <c r="AS374" s="302"/>
      <c r="AT374" s="302"/>
      <c r="AU374" s="304"/>
      <c r="AV374" s="306"/>
      <c r="AW374" s="303"/>
      <c r="AX374" s="303"/>
      <c r="AY374" s="303"/>
      <c r="AZ374" s="303"/>
      <c r="BA374" s="303"/>
      <c r="BB374" s="303"/>
      <c r="BC374" s="303"/>
      <c r="BD374" s="304"/>
      <c r="BE374" s="305"/>
      <c r="BF374" s="302"/>
      <c r="BG374" s="307"/>
      <c r="BH374" s="308"/>
      <c r="BI374" s="302"/>
      <c r="BJ374" s="307"/>
      <c r="BK374" s="308"/>
      <c r="BL374" s="302"/>
      <c r="BM374" s="303"/>
      <c r="BN374" s="315"/>
      <c r="BO374" s="250">
        <f t="shared" si="35"/>
        <v>0</v>
      </c>
    </row>
    <row r="375" spans="1:67" ht="25.5" customHeight="1" x14ac:dyDescent="0.2">
      <c r="A375" s="142">
        <f t="shared" si="36"/>
        <v>360</v>
      </c>
      <c r="B375" s="251"/>
      <c r="C375" s="252"/>
      <c r="D375" s="253"/>
      <c r="E375" s="254"/>
      <c r="F375" s="278"/>
      <c r="G375" s="256"/>
      <c r="H375" s="257"/>
      <c r="I375" s="231" t="str">
        <f t="shared" si="31"/>
        <v/>
      </c>
      <c r="J375" s="258">
        <f t="shared" si="32"/>
        <v>0</v>
      </c>
      <c r="K375" s="313"/>
      <c r="L375" s="300"/>
      <c r="M375" s="300"/>
      <c r="N375" s="235" t="str">
        <f t="shared" si="33"/>
        <v/>
      </c>
      <c r="O375" s="236" t="str">
        <f>IF('Data Set up'!$G$40="JUNE",IF(OR($N375=7,$N375=8,$N375=9),1,IF(OR($N375=10,$N375=11,$N375=12),2,IF(OR($N375=1,$N375=2,$N375=3),3,IF(OR($N375=4,$N375=5,$N375=6),4,"")))),IF(OR($N375=9,$N375=10,$N375=11),1,IF(OR($N375=12,$N375=1,$N375=2),2,IF(OR($N375=3,$N375=4,$N375=5),3,IF(OR($N375=6,$N375=7,$N375=8),4,"")))))</f>
        <v/>
      </c>
      <c r="P375" s="261"/>
      <c r="Q375" s="305"/>
      <c r="R375" s="302"/>
      <c r="S375" s="264">
        <f t="shared" si="34"/>
        <v>0</v>
      </c>
      <c r="T375" s="302"/>
      <c r="U375" s="302"/>
      <c r="V375" s="302"/>
      <c r="W375" s="302"/>
      <c r="X375" s="302"/>
      <c r="Y375" s="302"/>
      <c r="Z375" s="302"/>
      <c r="AA375" s="302"/>
      <c r="AB375" s="303"/>
      <c r="AC375" s="304"/>
      <c r="AD375" s="305"/>
      <c r="AE375" s="302"/>
      <c r="AF375" s="302"/>
      <c r="AG375" s="302"/>
      <c r="AH375" s="302"/>
      <c r="AI375" s="303"/>
      <c r="AJ375" s="303"/>
      <c r="AK375" s="302"/>
      <c r="AL375" s="314"/>
      <c r="AM375" s="305"/>
      <c r="AN375" s="302"/>
      <c r="AO375" s="302"/>
      <c r="AP375" s="302"/>
      <c r="AQ375" s="302"/>
      <c r="AR375" s="302"/>
      <c r="AS375" s="302"/>
      <c r="AT375" s="302"/>
      <c r="AU375" s="304"/>
      <c r="AV375" s="306"/>
      <c r="AW375" s="303"/>
      <c r="AX375" s="303"/>
      <c r="AY375" s="303"/>
      <c r="AZ375" s="303"/>
      <c r="BA375" s="303"/>
      <c r="BB375" s="303"/>
      <c r="BC375" s="303"/>
      <c r="BD375" s="304"/>
      <c r="BE375" s="305"/>
      <c r="BF375" s="302"/>
      <c r="BG375" s="307"/>
      <c r="BH375" s="308"/>
      <c r="BI375" s="302"/>
      <c r="BJ375" s="307"/>
      <c r="BK375" s="308"/>
      <c r="BL375" s="302"/>
      <c r="BM375" s="303"/>
      <c r="BN375" s="315"/>
      <c r="BO375" s="250">
        <f t="shared" si="35"/>
        <v>0</v>
      </c>
    </row>
    <row r="376" spans="1:67" ht="25.5" customHeight="1" x14ac:dyDescent="0.2">
      <c r="A376" s="142">
        <f t="shared" si="36"/>
        <v>361</v>
      </c>
      <c r="B376" s="251"/>
      <c r="C376" s="252"/>
      <c r="D376" s="253"/>
      <c r="E376" s="254"/>
      <c r="F376" s="278"/>
      <c r="G376" s="256"/>
      <c r="H376" s="257"/>
      <c r="I376" s="231" t="str">
        <f t="shared" si="31"/>
        <v/>
      </c>
      <c r="J376" s="258">
        <f t="shared" si="32"/>
        <v>0</v>
      </c>
      <c r="K376" s="313"/>
      <c r="L376" s="300"/>
      <c r="M376" s="300"/>
      <c r="N376" s="235" t="str">
        <f t="shared" si="33"/>
        <v/>
      </c>
      <c r="O376" s="236" t="str">
        <f>IF('Data Set up'!$G$40="JUNE",IF(OR($N376=7,$N376=8,$N376=9),1,IF(OR($N376=10,$N376=11,$N376=12),2,IF(OR($N376=1,$N376=2,$N376=3),3,IF(OR($N376=4,$N376=5,$N376=6),4,"")))),IF(OR($N376=9,$N376=10,$N376=11),1,IF(OR($N376=12,$N376=1,$N376=2),2,IF(OR($N376=3,$N376=4,$N376=5),3,IF(OR($N376=6,$N376=7,$N376=8),4,"")))))</f>
        <v/>
      </c>
      <c r="P376" s="261"/>
      <c r="Q376" s="305"/>
      <c r="R376" s="302"/>
      <c r="S376" s="264">
        <f t="shared" si="34"/>
        <v>0</v>
      </c>
      <c r="T376" s="302"/>
      <c r="U376" s="302"/>
      <c r="V376" s="302"/>
      <c r="W376" s="302"/>
      <c r="X376" s="302"/>
      <c r="Y376" s="302"/>
      <c r="Z376" s="302"/>
      <c r="AA376" s="302"/>
      <c r="AB376" s="303"/>
      <c r="AC376" s="304"/>
      <c r="AD376" s="305"/>
      <c r="AE376" s="302"/>
      <c r="AF376" s="302"/>
      <c r="AG376" s="302"/>
      <c r="AH376" s="302"/>
      <c r="AI376" s="303"/>
      <c r="AJ376" s="303"/>
      <c r="AK376" s="302"/>
      <c r="AL376" s="314"/>
      <c r="AM376" s="305"/>
      <c r="AN376" s="302"/>
      <c r="AO376" s="302"/>
      <c r="AP376" s="302"/>
      <c r="AQ376" s="302"/>
      <c r="AR376" s="302"/>
      <c r="AS376" s="302"/>
      <c r="AT376" s="302"/>
      <c r="AU376" s="304"/>
      <c r="AV376" s="306"/>
      <c r="AW376" s="303"/>
      <c r="AX376" s="303"/>
      <c r="AY376" s="303"/>
      <c r="AZ376" s="303"/>
      <c r="BA376" s="303"/>
      <c r="BB376" s="303"/>
      <c r="BC376" s="303"/>
      <c r="BD376" s="304"/>
      <c r="BE376" s="305"/>
      <c r="BF376" s="302"/>
      <c r="BG376" s="307"/>
      <c r="BH376" s="308"/>
      <c r="BI376" s="302"/>
      <c r="BJ376" s="307"/>
      <c r="BK376" s="308"/>
      <c r="BL376" s="302"/>
      <c r="BM376" s="303"/>
      <c r="BN376" s="315"/>
      <c r="BO376" s="250">
        <f t="shared" si="35"/>
        <v>0</v>
      </c>
    </row>
    <row r="377" spans="1:67" ht="25.5" customHeight="1" x14ac:dyDescent="0.2">
      <c r="A377" s="142">
        <f t="shared" si="36"/>
        <v>362</v>
      </c>
      <c r="B377" s="251"/>
      <c r="C377" s="252"/>
      <c r="D377" s="253"/>
      <c r="E377" s="254"/>
      <c r="F377" s="278"/>
      <c r="G377" s="256"/>
      <c r="H377" s="257"/>
      <c r="I377" s="231" t="str">
        <f t="shared" si="31"/>
        <v/>
      </c>
      <c r="J377" s="258">
        <f t="shared" si="32"/>
        <v>0</v>
      </c>
      <c r="K377" s="313"/>
      <c r="L377" s="300"/>
      <c r="M377" s="300"/>
      <c r="N377" s="235" t="str">
        <f t="shared" si="33"/>
        <v/>
      </c>
      <c r="O377" s="236" t="str">
        <f>IF('Data Set up'!$G$40="JUNE",IF(OR($N377=7,$N377=8,$N377=9),1,IF(OR($N377=10,$N377=11,$N377=12),2,IF(OR($N377=1,$N377=2,$N377=3),3,IF(OR($N377=4,$N377=5,$N377=6),4,"")))),IF(OR($N377=9,$N377=10,$N377=11),1,IF(OR($N377=12,$N377=1,$N377=2),2,IF(OR($N377=3,$N377=4,$N377=5),3,IF(OR($N377=6,$N377=7,$N377=8),4,"")))))</f>
        <v/>
      </c>
      <c r="P377" s="261"/>
      <c r="Q377" s="305"/>
      <c r="R377" s="302"/>
      <c r="S377" s="264">
        <f t="shared" si="34"/>
        <v>0</v>
      </c>
      <c r="T377" s="302"/>
      <c r="U377" s="302"/>
      <c r="V377" s="302"/>
      <c r="W377" s="302"/>
      <c r="X377" s="302"/>
      <c r="Y377" s="302"/>
      <c r="Z377" s="302"/>
      <c r="AA377" s="302"/>
      <c r="AB377" s="303"/>
      <c r="AC377" s="304"/>
      <c r="AD377" s="305"/>
      <c r="AE377" s="302"/>
      <c r="AF377" s="302"/>
      <c r="AG377" s="302"/>
      <c r="AH377" s="302"/>
      <c r="AI377" s="303"/>
      <c r="AJ377" s="303"/>
      <c r="AK377" s="302"/>
      <c r="AL377" s="314"/>
      <c r="AM377" s="305"/>
      <c r="AN377" s="302"/>
      <c r="AO377" s="302"/>
      <c r="AP377" s="302"/>
      <c r="AQ377" s="302"/>
      <c r="AR377" s="302"/>
      <c r="AS377" s="302"/>
      <c r="AT377" s="302"/>
      <c r="AU377" s="304"/>
      <c r="AV377" s="306"/>
      <c r="AW377" s="303"/>
      <c r="AX377" s="303"/>
      <c r="AY377" s="303"/>
      <c r="AZ377" s="303"/>
      <c r="BA377" s="303"/>
      <c r="BB377" s="303"/>
      <c r="BC377" s="303"/>
      <c r="BD377" s="304"/>
      <c r="BE377" s="305"/>
      <c r="BF377" s="302"/>
      <c r="BG377" s="307"/>
      <c r="BH377" s="308"/>
      <c r="BI377" s="302"/>
      <c r="BJ377" s="307"/>
      <c r="BK377" s="308"/>
      <c r="BL377" s="302"/>
      <c r="BM377" s="303"/>
      <c r="BN377" s="315"/>
      <c r="BO377" s="250">
        <f t="shared" si="35"/>
        <v>0</v>
      </c>
    </row>
    <row r="378" spans="1:67" ht="25.5" customHeight="1" x14ac:dyDescent="0.2">
      <c r="A378" s="142">
        <f t="shared" si="36"/>
        <v>363</v>
      </c>
      <c r="B378" s="251"/>
      <c r="C378" s="252"/>
      <c r="D378" s="253"/>
      <c r="E378" s="254"/>
      <c r="F378" s="278"/>
      <c r="G378" s="256"/>
      <c r="H378" s="257"/>
      <c r="I378" s="231" t="str">
        <f t="shared" si="31"/>
        <v/>
      </c>
      <c r="J378" s="258">
        <f t="shared" si="32"/>
        <v>0</v>
      </c>
      <c r="K378" s="313"/>
      <c r="L378" s="300"/>
      <c r="M378" s="300"/>
      <c r="N378" s="235" t="str">
        <f t="shared" si="33"/>
        <v/>
      </c>
      <c r="O378" s="236" t="str">
        <f>IF('Data Set up'!$G$40="JUNE",IF(OR($N378=7,$N378=8,$N378=9),1,IF(OR($N378=10,$N378=11,$N378=12),2,IF(OR($N378=1,$N378=2,$N378=3),3,IF(OR($N378=4,$N378=5,$N378=6),4,"")))),IF(OR($N378=9,$N378=10,$N378=11),1,IF(OR($N378=12,$N378=1,$N378=2),2,IF(OR($N378=3,$N378=4,$N378=5),3,IF(OR($N378=6,$N378=7,$N378=8),4,"")))))</f>
        <v/>
      </c>
      <c r="P378" s="261"/>
      <c r="Q378" s="305"/>
      <c r="R378" s="302"/>
      <c r="S378" s="264">
        <f t="shared" si="34"/>
        <v>0</v>
      </c>
      <c r="T378" s="302"/>
      <c r="U378" s="302"/>
      <c r="V378" s="302"/>
      <c r="W378" s="302"/>
      <c r="X378" s="302"/>
      <c r="Y378" s="302"/>
      <c r="Z378" s="302"/>
      <c r="AA378" s="302"/>
      <c r="AB378" s="303"/>
      <c r="AC378" s="304"/>
      <c r="AD378" s="305"/>
      <c r="AE378" s="302"/>
      <c r="AF378" s="302"/>
      <c r="AG378" s="302"/>
      <c r="AH378" s="302"/>
      <c r="AI378" s="303"/>
      <c r="AJ378" s="303"/>
      <c r="AK378" s="302"/>
      <c r="AL378" s="314"/>
      <c r="AM378" s="305"/>
      <c r="AN378" s="302"/>
      <c r="AO378" s="302"/>
      <c r="AP378" s="302"/>
      <c r="AQ378" s="302"/>
      <c r="AR378" s="302"/>
      <c r="AS378" s="302"/>
      <c r="AT378" s="302"/>
      <c r="AU378" s="304"/>
      <c r="AV378" s="306"/>
      <c r="AW378" s="303"/>
      <c r="AX378" s="303"/>
      <c r="AY378" s="303"/>
      <c r="AZ378" s="303"/>
      <c r="BA378" s="303"/>
      <c r="BB378" s="303"/>
      <c r="BC378" s="303"/>
      <c r="BD378" s="304"/>
      <c r="BE378" s="305"/>
      <c r="BF378" s="302"/>
      <c r="BG378" s="307"/>
      <c r="BH378" s="308"/>
      <c r="BI378" s="302"/>
      <c r="BJ378" s="307"/>
      <c r="BK378" s="308"/>
      <c r="BL378" s="302"/>
      <c r="BM378" s="303"/>
      <c r="BN378" s="315"/>
      <c r="BO378" s="250">
        <f t="shared" si="35"/>
        <v>0</v>
      </c>
    </row>
    <row r="379" spans="1:67" ht="25.5" customHeight="1" x14ac:dyDescent="0.2">
      <c r="A379" s="142">
        <f t="shared" si="36"/>
        <v>364</v>
      </c>
      <c r="B379" s="251"/>
      <c r="C379" s="252"/>
      <c r="D379" s="253"/>
      <c r="E379" s="254"/>
      <c r="F379" s="278"/>
      <c r="G379" s="256"/>
      <c r="H379" s="257"/>
      <c r="I379" s="231" t="str">
        <f t="shared" si="31"/>
        <v/>
      </c>
      <c r="J379" s="258">
        <f t="shared" si="32"/>
        <v>0</v>
      </c>
      <c r="K379" s="313"/>
      <c r="L379" s="300"/>
      <c r="M379" s="300"/>
      <c r="N379" s="235" t="str">
        <f t="shared" si="33"/>
        <v/>
      </c>
      <c r="O379" s="236" t="str">
        <f>IF('Data Set up'!$G$40="JUNE",IF(OR($N379=7,$N379=8,$N379=9),1,IF(OR($N379=10,$N379=11,$N379=12),2,IF(OR($N379=1,$N379=2,$N379=3),3,IF(OR($N379=4,$N379=5,$N379=6),4,"")))),IF(OR($N379=9,$N379=10,$N379=11),1,IF(OR($N379=12,$N379=1,$N379=2),2,IF(OR($N379=3,$N379=4,$N379=5),3,IF(OR($N379=6,$N379=7,$N379=8),4,"")))))</f>
        <v/>
      </c>
      <c r="P379" s="261"/>
      <c r="Q379" s="305"/>
      <c r="R379" s="302"/>
      <c r="S379" s="264">
        <f t="shared" si="34"/>
        <v>0</v>
      </c>
      <c r="T379" s="302"/>
      <c r="U379" s="302"/>
      <c r="V379" s="302"/>
      <c r="W379" s="302"/>
      <c r="X379" s="302"/>
      <c r="Y379" s="302"/>
      <c r="Z379" s="302"/>
      <c r="AA379" s="302"/>
      <c r="AB379" s="303"/>
      <c r="AC379" s="304"/>
      <c r="AD379" s="305"/>
      <c r="AE379" s="302"/>
      <c r="AF379" s="302"/>
      <c r="AG379" s="302"/>
      <c r="AH379" s="302"/>
      <c r="AI379" s="303"/>
      <c r="AJ379" s="303"/>
      <c r="AK379" s="302"/>
      <c r="AL379" s="314"/>
      <c r="AM379" s="305"/>
      <c r="AN379" s="302"/>
      <c r="AO379" s="302"/>
      <c r="AP379" s="302"/>
      <c r="AQ379" s="302"/>
      <c r="AR379" s="302"/>
      <c r="AS379" s="302"/>
      <c r="AT379" s="302"/>
      <c r="AU379" s="304"/>
      <c r="AV379" s="306"/>
      <c r="AW379" s="303"/>
      <c r="AX379" s="303"/>
      <c r="AY379" s="303"/>
      <c r="AZ379" s="303"/>
      <c r="BA379" s="303"/>
      <c r="BB379" s="303"/>
      <c r="BC379" s="303"/>
      <c r="BD379" s="304"/>
      <c r="BE379" s="305"/>
      <c r="BF379" s="302"/>
      <c r="BG379" s="307"/>
      <c r="BH379" s="308"/>
      <c r="BI379" s="302"/>
      <c r="BJ379" s="307"/>
      <c r="BK379" s="308"/>
      <c r="BL379" s="302"/>
      <c r="BM379" s="303"/>
      <c r="BN379" s="315"/>
      <c r="BO379" s="250">
        <f t="shared" si="35"/>
        <v>0</v>
      </c>
    </row>
    <row r="380" spans="1:67" ht="25.5" customHeight="1" x14ac:dyDescent="0.2">
      <c r="A380" s="142">
        <f t="shared" si="36"/>
        <v>365</v>
      </c>
      <c r="B380" s="251"/>
      <c r="C380" s="252"/>
      <c r="D380" s="253"/>
      <c r="E380" s="254"/>
      <c r="F380" s="278"/>
      <c r="G380" s="256"/>
      <c r="H380" s="257"/>
      <c r="I380" s="231" t="str">
        <f t="shared" si="31"/>
        <v/>
      </c>
      <c r="J380" s="258">
        <f t="shared" si="32"/>
        <v>0</v>
      </c>
      <c r="K380" s="313"/>
      <c r="L380" s="300"/>
      <c r="M380" s="300"/>
      <c r="N380" s="235" t="str">
        <f t="shared" si="33"/>
        <v/>
      </c>
      <c r="O380" s="236" t="str">
        <f>IF('Data Set up'!$G$40="JUNE",IF(OR($N380=7,$N380=8,$N380=9),1,IF(OR($N380=10,$N380=11,$N380=12),2,IF(OR($N380=1,$N380=2,$N380=3),3,IF(OR($N380=4,$N380=5,$N380=6),4,"")))),IF(OR($N380=9,$N380=10,$N380=11),1,IF(OR($N380=12,$N380=1,$N380=2),2,IF(OR($N380=3,$N380=4,$N380=5),3,IF(OR($N380=6,$N380=7,$N380=8),4,"")))))</f>
        <v/>
      </c>
      <c r="P380" s="261"/>
      <c r="Q380" s="305"/>
      <c r="R380" s="302"/>
      <c r="S380" s="264">
        <f t="shared" si="34"/>
        <v>0</v>
      </c>
      <c r="T380" s="302"/>
      <c r="U380" s="302"/>
      <c r="V380" s="302"/>
      <c r="W380" s="302"/>
      <c r="X380" s="302"/>
      <c r="Y380" s="302"/>
      <c r="Z380" s="302"/>
      <c r="AA380" s="302"/>
      <c r="AB380" s="303"/>
      <c r="AC380" s="304"/>
      <c r="AD380" s="305"/>
      <c r="AE380" s="302"/>
      <c r="AF380" s="302"/>
      <c r="AG380" s="302"/>
      <c r="AH380" s="302"/>
      <c r="AI380" s="303"/>
      <c r="AJ380" s="303"/>
      <c r="AK380" s="302"/>
      <c r="AL380" s="314"/>
      <c r="AM380" s="305"/>
      <c r="AN380" s="302"/>
      <c r="AO380" s="302"/>
      <c r="AP380" s="302"/>
      <c r="AQ380" s="302"/>
      <c r="AR380" s="302"/>
      <c r="AS380" s="302"/>
      <c r="AT380" s="302"/>
      <c r="AU380" s="304"/>
      <c r="AV380" s="306"/>
      <c r="AW380" s="303"/>
      <c r="AX380" s="303"/>
      <c r="AY380" s="303"/>
      <c r="AZ380" s="303"/>
      <c r="BA380" s="303"/>
      <c r="BB380" s="303"/>
      <c r="BC380" s="303"/>
      <c r="BD380" s="304"/>
      <c r="BE380" s="305"/>
      <c r="BF380" s="302"/>
      <c r="BG380" s="307"/>
      <c r="BH380" s="308"/>
      <c r="BI380" s="302"/>
      <c r="BJ380" s="307"/>
      <c r="BK380" s="308"/>
      <c r="BL380" s="302"/>
      <c r="BM380" s="303"/>
      <c r="BN380" s="315"/>
      <c r="BO380" s="250">
        <f t="shared" si="35"/>
        <v>0</v>
      </c>
    </row>
    <row r="381" spans="1:67" ht="25.5" customHeight="1" x14ac:dyDescent="0.2">
      <c r="A381" s="142">
        <f t="shared" si="36"/>
        <v>366</v>
      </c>
      <c r="B381" s="251"/>
      <c r="C381" s="252"/>
      <c r="D381" s="253"/>
      <c r="E381" s="254"/>
      <c r="F381" s="278"/>
      <c r="G381" s="256"/>
      <c r="H381" s="257"/>
      <c r="I381" s="231" t="str">
        <f t="shared" si="31"/>
        <v/>
      </c>
      <c r="J381" s="258">
        <f t="shared" si="32"/>
        <v>0</v>
      </c>
      <c r="K381" s="313"/>
      <c r="L381" s="300"/>
      <c r="M381" s="300"/>
      <c r="N381" s="235" t="str">
        <f t="shared" si="33"/>
        <v/>
      </c>
      <c r="O381" s="236" t="str">
        <f>IF('Data Set up'!$G$40="JUNE",IF(OR($N381=7,$N381=8,$N381=9),1,IF(OR($N381=10,$N381=11,$N381=12),2,IF(OR($N381=1,$N381=2,$N381=3),3,IF(OR($N381=4,$N381=5,$N381=6),4,"")))),IF(OR($N381=9,$N381=10,$N381=11),1,IF(OR($N381=12,$N381=1,$N381=2),2,IF(OR($N381=3,$N381=4,$N381=5),3,IF(OR($N381=6,$N381=7,$N381=8),4,"")))))</f>
        <v/>
      </c>
      <c r="P381" s="261"/>
      <c r="Q381" s="305"/>
      <c r="R381" s="302"/>
      <c r="S381" s="264">
        <f t="shared" si="34"/>
        <v>0</v>
      </c>
      <c r="T381" s="302"/>
      <c r="U381" s="302"/>
      <c r="V381" s="302"/>
      <c r="W381" s="302"/>
      <c r="X381" s="302"/>
      <c r="Y381" s="302"/>
      <c r="Z381" s="302"/>
      <c r="AA381" s="302"/>
      <c r="AB381" s="303"/>
      <c r="AC381" s="304"/>
      <c r="AD381" s="305"/>
      <c r="AE381" s="302"/>
      <c r="AF381" s="302"/>
      <c r="AG381" s="302"/>
      <c r="AH381" s="302"/>
      <c r="AI381" s="303"/>
      <c r="AJ381" s="303"/>
      <c r="AK381" s="302"/>
      <c r="AL381" s="314"/>
      <c r="AM381" s="305"/>
      <c r="AN381" s="302"/>
      <c r="AO381" s="302"/>
      <c r="AP381" s="302"/>
      <c r="AQ381" s="302"/>
      <c r="AR381" s="302"/>
      <c r="AS381" s="302"/>
      <c r="AT381" s="302"/>
      <c r="AU381" s="304"/>
      <c r="AV381" s="306"/>
      <c r="AW381" s="303"/>
      <c r="AX381" s="303"/>
      <c r="AY381" s="303"/>
      <c r="AZ381" s="303"/>
      <c r="BA381" s="303"/>
      <c r="BB381" s="303"/>
      <c r="BC381" s="303"/>
      <c r="BD381" s="304"/>
      <c r="BE381" s="305"/>
      <c r="BF381" s="302"/>
      <c r="BG381" s="307"/>
      <c r="BH381" s="308"/>
      <c r="BI381" s="302"/>
      <c r="BJ381" s="307"/>
      <c r="BK381" s="308"/>
      <c r="BL381" s="302"/>
      <c r="BM381" s="303"/>
      <c r="BN381" s="315"/>
      <c r="BO381" s="250">
        <f t="shared" si="35"/>
        <v>0</v>
      </c>
    </row>
    <row r="382" spans="1:67" ht="25.5" customHeight="1" x14ac:dyDescent="0.2">
      <c r="A382" s="142">
        <f t="shared" si="36"/>
        <v>367</v>
      </c>
      <c r="B382" s="251"/>
      <c r="C382" s="252"/>
      <c r="D382" s="253"/>
      <c r="E382" s="254"/>
      <c r="F382" s="278"/>
      <c r="G382" s="256"/>
      <c r="H382" s="257"/>
      <c r="I382" s="231" t="str">
        <f t="shared" si="31"/>
        <v/>
      </c>
      <c r="J382" s="258">
        <f t="shared" si="32"/>
        <v>0</v>
      </c>
      <c r="K382" s="313"/>
      <c r="L382" s="300"/>
      <c r="M382" s="300"/>
      <c r="N382" s="235" t="str">
        <f t="shared" si="33"/>
        <v/>
      </c>
      <c r="O382" s="236" t="str">
        <f>IF('Data Set up'!$G$40="JUNE",IF(OR($N382=7,$N382=8,$N382=9),1,IF(OR($N382=10,$N382=11,$N382=12),2,IF(OR($N382=1,$N382=2,$N382=3),3,IF(OR($N382=4,$N382=5,$N382=6),4,"")))),IF(OR($N382=9,$N382=10,$N382=11),1,IF(OR($N382=12,$N382=1,$N382=2),2,IF(OR($N382=3,$N382=4,$N382=5),3,IF(OR($N382=6,$N382=7,$N382=8),4,"")))))</f>
        <v/>
      </c>
      <c r="P382" s="261"/>
      <c r="Q382" s="305"/>
      <c r="R382" s="302"/>
      <c r="S382" s="264">
        <f t="shared" si="34"/>
        <v>0</v>
      </c>
      <c r="T382" s="302"/>
      <c r="U382" s="302"/>
      <c r="V382" s="302"/>
      <c r="W382" s="302"/>
      <c r="X382" s="302"/>
      <c r="Y382" s="302"/>
      <c r="Z382" s="302"/>
      <c r="AA382" s="302"/>
      <c r="AB382" s="303"/>
      <c r="AC382" s="304"/>
      <c r="AD382" s="305"/>
      <c r="AE382" s="302"/>
      <c r="AF382" s="302"/>
      <c r="AG382" s="302"/>
      <c r="AH382" s="302"/>
      <c r="AI382" s="303"/>
      <c r="AJ382" s="303"/>
      <c r="AK382" s="302"/>
      <c r="AL382" s="314"/>
      <c r="AM382" s="305"/>
      <c r="AN382" s="302"/>
      <c r="AO382" s="302"/>
      <c r="AP382" s="302"/>
      <c r="AQ382" s="302"/>
      <c r="AR382" s="302"/>
      <c r="AS382" s="302"/>
      <c r="AT382" s="302"/>
      <c r="AU382" s="304"/>
      <c r="AV382" s="306"/>
      <c r="AW382" s="303"/>
      <c r="AX382" s="303"/>
      <c r="AY382" s="303"/>
      <c r="AZ382" s="303"/>
      <c r="BA382" s="303"/>
      <c r="BB382" s="303"/>
      <c r="BC382" s="303"/>
      <c r="BD382" s="304"/>
      <c r="BE382" s="305"/>
      <c r="BF382" s="302"/>
      <c r="BG382" s="307"/>
      <c r="BH382" s="308"/>
      <c r="BI382" s="302"/>
      <c r="BJ382" s="307"/>
      <c r="BK382" s="308"/>
      <c r="BL382" s="302"/>
      <c r="BM382" s="303"/>
      <c r="BN382" s="315"/>
      <c r="BO382" s="250">
        <f t="shared" si="35"/>
        <v>0</v>
      </c>
    </row>
    <row r="383" spans="1:67" ht="25.5" customHeight="1" x14ac:dyDescent="0.2">
      <c r="A383" s="142">
        <f t="shared" si="36"/>
        <v>368</v>
      </c>
      <c r="B383" s="251"/>
      <c r="C383" s="252"/>
      <c r="D383" s="253"/>
      <c r="E383" s="254"/>
      <c r="F383" s="278"/>
      <c r="G383" s="256"/>
      <c r="H383" s="257"/>
      <c r="I383" s="231" t="str">
        <f t="shared" si="31"/>
        <v/>
      </c>
      <c r="J383" s="258">
        <f t="shared" si="32"/>
        <v>0</v>
      </c>
      <c r="K383" s="313"/>
      <c r="L383" s="300"/>
      <c r="M383" s="300"/>
      <c r="N383" s="235" t="str">
        <f t="shared" si="33"/>
        <v/>
      </c>
      <c r="O383" s="236" t="str">
        <f>IF('Data Set up'!$G$40="JUNE",IF(OR($N383=7,$N383=8,$N383=9),1,IF(OR($N383=10,$N383=11,$N383=12),2,IF(OR($N383=1,$N383=2,$N383=3),3,IF(OR($N383=4,$N383=5,$N383=6),4,"")))),IF(OR($N383=9,$N383=10,$N383=11),1,IF(OR($N383=12,$N383=1,$N383=2),2,IF(OR($N383=3,$N383=4,$N383=5),3,IF(OR($N383=6,$N383=7,$N383=8),4,"")))))</f>
        <v/>
      </c>
      <c r="P383" s="261"/>
      <c r="Q383" s="305"/>
      <c r="R383" s="302"/>
      <c r="S383" s="264">
        <f t="shared" si="34"/>
        <v>0</v>
      </c>
      <c r="T383" s="302"/>
      <c r="U383" s="302"/>
      <c r="V383" s="302"/>
      <c r="W383" s="302"/>
      <c r="X383" s="302"/>
      <c r="Y383" s="302"/>
      <c r="Z383" s="302"/>
      <c r="AA383" s="302"/>
      <c r="AB383" s="303"/>
      <c r="AC383" s="304"/>
      <c r="AD383" s="305"/>
      <c r="AE383" s="302"/>
      <c r="AF383" s="302"/>
      <c r="AG383" s="302"/>
      <c r="AH383" s="302"/>
      <c r="AI383" s="303"/>
      <c r="AJ383" s="303"/>
      <c r="AK383" s="302"/>
      <c r="AL383" s="314"/>
      <c r="AM383" s="305"/>
      <c r="AN383" s="302"/>
      <c r="AO383" s="302"/>
      <c r="AP383" s="302"/>
      <c r="AQ383" s="302"/>
      <c r="AR383" s="302"/>
      <c r="AS383" s="302"/>
      <c r="AT383" s="302"/>
      <c r="AU383" s="304"/>
      <c r="AV383" s="306"/>
      <c r="AW383" s="303"/>
      <c r="AX383" s="303"/>
      <c r="AY383" s="303"/>
      <c r="AZ383" s="303"/>
      <c r="BA383" s="303"/>
      <c r="BB383" s="303"/>
      <c r="BC383" s="303"/>
      <c r="BD383" s="304"/>
      <c r="BE383" s="305"/>
      <c r="BF383" s="302"/>
      <c r="BG383" s="307"/>
      <c r="BH383" s="308"/>
      <c r="BI383" s="302"/>
      <c r="BJ383" s="307"/>
      <c r="BK383" s="308"/>
      <c r="BL383" s="302"/>
      <c r="BM383" s="303"/>
      <c r="BN383" s="315"/>
      <c r="BO383" s="250">
        <f t="shared" si="35"/>
        <v>0</v>
      </c>
    </row>
    <row r="384" spans="1:67" ht="25.5" customHeight="1" x14ac:dyDescent="0.2">
      <c r="A384" s="142">
        <f t="shared" si="36"/>
        <v>369</v>
      </c>
      <c r="B384" s="251"/>
      <c r="C384" s="252"/>
      <c r="D384" s="253"/>
      <c r="E384" s="254"/>
      <c r="F384" s="278"/>
      <c r="G384" s="256"/>
      <c r="H384" s="257"/>
      <c r="I384" s="231" t="str">
        <f t="shared" si="31"/>
        <v/>
      </c>
      <c r="J384" s="258">
        <f t="shared" si="32"/>
        <v>0</v>
      </c>
      <c r="K384" s="313"/>
      <c r="L384" s="300"/>
      <c r="M384" s="300"/>
      <c r="N384" s="235" t="str">
        <f t="shared" si="33"/>
        <v/>
      </c>
      <c r="O384" s="236" t="str">
        <f>IF('Data Set up'!$G$40="JUNE",IF(OR($N384=7,$N384=8,$N384=9),1,IF(OR($N384=10,$N384=11,$N384=12),2,IF(OR($N384=1,$N384=2,$N384=3),3,IF(OR($N384=4,$N384=5,$N384=6),4,"")))),IF(OR($N384=9,$N384=10,$N384=11),1,IF(OR($N384=12,$N384=1,$N384=2),2,IF(OR($N384=3,$N384=4,$N384=5),3,IF(OR($N384=6,$N384=7,$N384=8),4,"")))))</f>
        <v/>
      </c>
      <c r="P384" s="261"/>
      <c r="Q384" s="305"/>
      <c r="R384" s="302"/>
      <c r="S384" s="264">
        <f t="shared" si="34"/>
        <v>0</v>
      </c>
      <c r="T384" s="302"/>
      <c r="U384" s="302"/>
      <c r="V384" s="302"/>
      <c r="W384" s="302"/>
      <c r="X384" s="302"/>
      <c r="Y384" s="302"/>
      <c r="Z384" s="302"/>
      <c r="AA384" s="302"/>
      <c r="AB384" s="303"/>
      <c r="AC384" s="304"/>
      <c r="AD384" s="305"/>
      <c r="AE384" s="302"/>
      <c r="AF384" s="302"/>
      <c r="AG384" s="302"/>
      <c r="AH384" s="302"/>
      <c r="AI384" s="303"/>
      <c r="AJ384" s="303"/>
      <c r="AK384" s="302"/>
      <c r="AL384" s="314"/>
      <c r="AM384" s="305"/>
      <c r="AN384" s="302"/>
      <c r="AO384" s="302"/>
      <c r="AP384" s="302"/>
      <c r="AQ384" s="302"/>
      <c r="AR384" s="302"/>
      <c r="AS384" s="302"/>
      <c r="AT384" s="302"/>
      <c r="AU384" s="304"/>
      <c r="AV384" s="306"/>
      <c r="AW384" s="303"/>
      <c r="AX384" s="303"/>
      <c r="AY384" s="303"/>
      <c r="AZ384" s="303"/>
      <c r="BA384" s="303"/>
      <c r="BB384" s="303"/>
      <c r="BC384" s="303"/>
      <c r="BD384" s="304"/>
      <c r="BE384" s="305"/>
      <c r="BF384" s="302"/>
      <c r="BG384" s="307"/>
      <c r="BH384" s="308"/>
      <c r="BI384" s="302"/>
      <c r="BJ384" s="307"/>
      <c r="BK384" s="308"/>
      <c r="BL384" s="302"/>
      <c r="BM384" s="303"/>
      <c r="BN384" s="315"/>
      <c r="BO384" s="250">
        <f t="shared" si="35"/>
        <v>0</v>
      </c>
    </row>
    <row r="385" spans="1:67" ht="25.5" customHeight="1" x14ac:dyDescent="0.2">
      <c r="A385" s="142">
        <f t="shared" si="36"/>
        <v>370</v>
      </c>
      <c r="B385" s="251"/>
      <c r="C385" s="252"/>
      <c r="D385" s="253"/>
      <c r="E385" s="254"/>
      <c r="F385" s="278"/>
      <c r="G385" s="256"/>
      <c r="H385" s="257"/>
      <c r="I385" s="231" t="str">
        <f t="shared" si="31"/>
        <v/>
      </c>
      <c r="J385" s="258">
        <f t="shared" si="32"/>
        <v>0</v>
      </c>
      <c r="K385" s="313"/>
      <c r="L385" s="300"/>
      <c r="M385" s="300"/>
      <c r="N385" s="235" t="str">
        <f t="shared" si="33"/>
        <v/>
      </c>
      <c r="O385" s="236" t="str">
        <f>IF('Data Set up'!$G$40="JUNE",IF(OR($N385=7,$N385=8,$N385=9),1,IF(OR($N385=10,$N385=11,$N385=12),2,IF(OR($N385=1,$N385=2,$N385=3),3,IF(OR($N385=4,$N385=5,$N385=6),4,"")))),IF(OR($N385=9,$N385=10,$N385=11),1,IF(OR($N385=12,$N385=1,$N385=2),2,IF(OR($N385=3,$N385=4,$N385=5),3,IF(OR($N385=6,$N385=7,$N385=8),4,"")))))</f>
        <v/>
      </c>
      <c r="P385" s="261"/>
      <c r="Q385" s="305"/>
      <c r="R385" s="302"/>
      <c r="S385" s="264">
        <f t="shared" si="34"/>
        <v>0</v>
      </c>
      <c r="T385" s="302"/>
      <c r="U385" s="302"/>
      <c r="V385" s="302"/>
      <c r="W385" s="302"/>
      <c r="X385" s="302"/>
      <c r="Y385" s="302"/>
      <c r="Z385" s="302"/>
      <c r="AA385" s="302"/>
      <c r="AB385" s="303"/>
      <c r="AC385" s="304"/>
      <c r="AD385" s="305"/>
      <c r="AE385" s="302"/>
      <c r="AF385" s="302"/>
      <c r="AG385" s="302"/>
      <c r="AH385" s="302"/>
      <c r="AI385" s="303"/>
      <c r="AJ385" s="303"/>
      <c r="AK385" s="302"/>
      <c r="AL385" s="314"/>
      <c r="AM385" s="305"/>
      <c r="AN385" s="302"/>
      <c r="AO385" s="302"/>
      <c r="AP385" s="302"/>
      <c r="AQ385" s="302"/>
      <c r="AR385" s="302"/>
      <c r="AS385" s="302"/>
      <c r="AT385" s="302"/>
      <c r="AU385" s="304"/>
      <c r="AV385" s="306"/>
      <c r="AW385" s="303"/>
      <c r="AX385" s="303"/>
      <c r="AY385" s="303"/>
      <c r="AZ385" s="303"/>
      <c r="BA385" s="303"/>
      <c r="BB385" s="303"/>
      <c r="BC385" s="303"/>
      <c r="BD385" s="304"/>
      <c r="BE385" s="305"/>
      <c r="BF385" s="302"/>
      <c r="BG385" s="307"/>
      <c r="BH385" s="308"/>
      <c r="BI385" s="302"/>
      <c r="BJ385" s="307"/>
      <c r="BK385" s="308"/>
      <c r="BL385" s="302"/>
      <c r="BM385" s="303"/>
      <c r="BN385" s="315"/>
      <c r="BO385" s="250">
        <f t="shared" si="35"/>
        <v>0</v>
      </c>
    </row>
    <row r="386" spans="1:67" ht="25.5" customHeight="1" x14ac:dyDescent="0.2">
      <c r="A386" s="142">
        <f t="shared" si="36"/>
        <v>371</v>
      </c>
      <c r="B386" s="251"/>
      <c r="C386" s="252"/>
      <c r="D386" s="253"/>
      <c r="E386" s="254"/>
      <c r="F386" s="278"/>
      <c r="G386" s="256"/>
      <c r="H386" s="257"/>
      <c r="I386" s="231" t="str">
        <f t="shared" si="31"/>
        <v/>
      </c>
      <c r="J386" s="258">
        <f t="shared" si="32"/>
        <v>0</v>
      </c>
      <c r="K386" s="313"/>
      <c r="L386" s="300"/>
      <c r="M386" s="300"/>
      <c r="N386" s="235" t="str">
        <f t="shared" si="33"/>
        <v/>
      </c>
      <c r="O386" s="236" t="str">
        <f>IF('Data Set up'!$G$40="JUNE",IF(OR($N386=7,$N386=8,$N386=9),1,IF(OR($N386=10,$N386=11,$N386=12),2,IF(OR($N386=1,$N386=2,$N386=3),3,IF(OR($N386=4,$N386=5,$N386=6),4,"")))),IF(OR($N386=9,$N386=10,$N386=11),1,IF(OR($N386=12,$N386=1,$N386=2),2,IF(OR($N386=3,$N386=4,$N386=5),3,IF(OR($N386=6,$N386=7,$N386=8),4,"")))))</f>
        <v/>
      </c>
      <c r="P386" s="261"/>
      <c r="Q386" s="305"/>
      <c r="R386" s="302"/>
      <c r="S386" s="264">
        <f t="shared" si="34"/>
        <v>0</v>
      </c>
      <c r="T386" s="302"/>
      <c r="U386" s="302"/>
      <c r="V386" s="302"/>
      <c r="W386" s="302"/>
      <c r="X386" s="302"/>
      <c r="Y386" s="302"/>
      <c r="Z386" s="302"/>
      <c r="AA386" s="302"/>
      <c r="AB386" s="303"/>
      <c r="AC386" s="304"/>
      <c r="AD386" s="305"/>
      <c r="AE386" s="302"/>
      <c r="AF386" s="302"/>
      <c r="AG386" s="302"/>
      <c r="AH386" s="302"/>
      <c r="AI386" s="303"/>
      <c r="AJ386" s="303"/>
      <c r="AK386" s="302"/>
      <c r="AL386" s="314"/>
      <c r="AM386" s="305"/>
      <c r="AN386" s="302"/>
      <c r="AO386" s="302"/>
      <c r="AP386" s="302"/>
      <c r="AQ386" s="302"/>
      <c r="AR386" s="302"/>
      <c r="AS386" s="302"/>
      <c r="AT386" s="302"/>
      <c r="AU386" s="304"/>
      <c r="AV386" s="306"/>
      <c r="AW386" s="303"/>
      <c r="AX386" s="303"/>
      <c r="AY386" s="303"/>
      <c r="AZ386" s="303"/>
      <c r="BA386" s="303"/>
      <c r="BB386" s="303"/>
      <c r="BC386" s="303"/>
      <c r="BD386" s="304"/>
      <c r="BE386" s="305"/>
      <c r="BF386" s="302"/>
      <c r="BG386" s="307"/>
      <c r="BH386" s="308"/>
      <c r="BI386" s="302"/>
      <c r="BJ386" s="307"/>
      <c r="BK386" s="308"/>
      <c r="BL386" s="302"/>
      <c r="BM386" s="303"/>
      <c r="BN386" s="315"/>
      <c r="BO386" s="250">
        <f t="shared" si="35"/>
        <v>0</v>
      </c>
    </row>
    <row r="387" spans="1:67" ht="25.5" customHeight="1" x14ac:dyDescent="0.2">
      <c r="A387" s="142">
        <f t="shared" si="36"/>
        <v>372</v>
      </c>
      <c r="B387" s="251"/>
      <c r="C387" s="252"/>
      <c r="D387" s="253"/>
      <c r="E387" s="254"/>
      <c r="F387" s="278"/>
      <c r="G387" s="256"/>
      <c r="H387" s="257"/>
      <c r="I387" s="231" t="str">
        <f t="shared" si="31"/>
        <v/>
      </c>
      <c r="J387" s="258">
        <f t="shared" si="32"/>
        <v>0</v>
      </c>
      <c r="K387" s="313"/>
      <c r="L387" s="300"/>
      <c r="M387" s="300"/>
      <c r="N387" s="235" t="str">
        <f t="shared" si="33"/>
        <v/>
      </c>
      <c r="O387" s="236" t="str">
        <f>IF('Data Set up'!$G$40="JUNE",IF(OR($N387=7,$N387=8,$N387=9),1,IF(OR($N387=10,$N387=11,$N387=12),2,IF(OR($N387=1,$N387=2,$N387=3),3,IF(OR($N387=4,$N387=5,$N387=6),4,"")))),IF(OR($N387=9,$N387=10,$N387=11),1,IF(OR($N387=12,$N387=1,$N387=2),2,IF(OR($N387=3,$N387=4,$N387=5),3,IF(OR($N387=6,$N387=7,$N387=8),4,"")))))</f>
        <v/>
      </c>
      <c r="P387" s="261"/>
      <c r="Q387" s="305"/>
      <c r="R387" s="302"/>
      <c r="S387" s="264">
        <f t="shared" si="34"/>
        <v>0</v>
      </c>
      <c r="T387" s="302"/>
      <c r="U387" s="302"/>
      <c r="V387" s="302"/>
      <c r="W387" s="302"/>
      <c r="X387" s="302"/>
      <c r="Y387" s="302"/>
      <c r="Z387" s="302"/>
      <c r="AA387" s="302"/>
      <c r="AB387" s="303"/>
      <c r="AC387" s="304"/>
      <c r="AD387" s="305"/>
      <c r="AE387" s="302"/>
      <c r="AF387" s="302"/>
      <c r="AG387" s="302"/>
      <c r="AH387" s="302"/>
      <c r="AI387" s="303"/>
      <c r="AJ387" s="303"/>
      <c r="AK387" s="302"/>
      <c r="AL387" s="314"/>
      <c r="AM387" s="305"/>
      <c r="AN387" s="302"/>
      <c r="AO387" s="302"/>
      <c r="AP387" s="302"/>
      <c r="AQ387" s="302"/>
      <c r="AR387" s="302"/>
      <c r="AS387" s="302"/>
      <c r="AT387" s="302"/>
      <c r="AU387" s="304"/>
      <c r="AV387" s="306"/>
      <c r="AW387" s="303"/>
      <c r="AX387" s="303"/>
      <c r="AY387" s="303"/>
      <c r="AZ387" s="303"/>
      <c r="BA387" s="303"/>
      <c r="BB387" s="303"/>
      <c r="BC387" s="303"/>
      <c r="BD387" s="304"/>
      <c r="BE387" s="305"/>
      <c r="BF387" s="302"/>
      <c r="BG387" s="307"/>
      <c r="BH387" s="308"/>
      <c r="BI387" s="302"/>
      <c r="BJ387" s="307"/>
      <c r="BK387" s="308"/>
      <c r="BL387" s="302"/>
      <c r="BM387" s="303"/>
      <c r="BN387" s="315"/>
      <c r="BO387" s="250">
        <f t="shared" si="35"/>
        <v>0</v>
      </c>
    </row>
    <row r="388" spans="1:67" ht="25.5" customHeight="1" x14ac:dyDescent="0.2">
      <c r="A388" s="142">
        <f t="shared" si="36"/>
        <v>373</v>
      </c>
      <c r="B388" s="251"/>
      <c r="C388" s="252"/>
      <c r="D388" s="253"/>
      <c r="E388" s="254"/>
      <c r="F388" s="278"/>
      <c r="G388" s="256"/>
      <c r="H388" s="257"/>
      <c r="I388" s="231" t="str">
        <f t="shared" si="31"/>
        <v/>
      </c>
      <c r="J388" s="258">
        <f t="shared" si="32"/>
        <v>0</v>
      </c>
      <c r="K388" s="313"/>
      <c r="L388" s="300"/>
      <c r="M388" s="300"/>
      <c r="N388" s="235" t="str">
        <f t="shared" si="33"/>
        <v/>
      </c>
      <c r="O388" s="236" t="str">
        <f>IF('Data Set up'!$G$40="JUNE",IF(OR($N388=7,$N388=8,$N388=9),1,IF(OR($N388=10,$N388=11,$N388=12),2,IF(OR($N388=1,$N388=2,$N388=3),3,IF(OR($N388=4,$N388=5,$N388=6),4,"")))),IF(OR($N388=9,$N388=10,$N388=11),1,IF(OR($N388=12,$N388=1,$N388=2),2,IF(OR($N388=3,$N388=4,$N388=5),3,IF(OR($N388=6,$N388=7,$N388=8),4,"")))))</f>
        <v/>
      </c>
      <c r="P388" s="261"/>
      <c r="Q388" s="305"/>
      <c r="R388" s="302"/>
      <c r="S388" s="264">
        <f t="shared" si="34"/>
        <v>0</v>
      </c>
      <c r="T388" s="302"/>
      <c r="U388" s="302"/>
      <c r="V388" s="302"/>
      <c r="W388" s="302"/>
      <c r="X388" s="302"/>
      <c r="Y388" s="302"/>
      <c r="Z388" s="302"/>
      <c r="AA388" s="302"/>
      <c r="AB388" s="303"/>
      <c r="AC388" s="304"/>
      <c r="AD388" s="305"/>
      <c r="AE388" s="302"/>
      <c r="AF388" s="302"/>
      <c r="AG388" s="302"/>
      <c r="AH388" s="302"/>
      <c r="AI388" s="303"/>
      <c r="AJ388" s="303"/>
      <c r="AK388" s="302"/>
      <c r="AL388" s="314"/>
      <c r="AM388" s="305"/>
      <c r="AN388" s="302"/>
      <c r="AO388" s="302"/>
      <c r="AP388" s="302"/>
      <c r="AQ388" s="302"/>
      <c r="AR388" s="302"/>
      <c r="AS388" s="302"/>
      <c r="AT388" s="302"/>
      <c r="AU388" s="304"/>
      <c r="AV388" s="306"/>
      <c r="AW388" s="303"/>
      <c r="AX388" s="303"/>
      <c r="AY388" s="303"/>
      <c r="AZ388" s="303"/>
      <c r="BA388" s="303"/>
      <c r="BB388" s="303"/>
      <c r="BC388" s="303"/>
      <c r="BD388" s="304"/>
      <c r="BE388" s="305"/>
      <c r="BF388" s="302"/>
      <c r="BG388" s="307"/>
      <c r="BH388" s="308"/>
      <c r="BI388" s="302"/>
      <c r="BJ388" s="307"/>
      <c r="BK388" s="308"/>
      <c r="BL388" s="302"/>
      <c r="BM388" s="303"/>
      <c r="BN388" s="315"/>
      <c r="BO388" s="250">
        <f t="shared" si="35"/>
        <v>0</v>
      </c>
    </row>
    <row r="389" spans="1:67" ht="25.5" customHeight="1" x14ac:dyDescent="0.2">
      <c r="A389" s="142">
        <f t="shared" si="36"/>
        <v>374</v>
      </c>
      <c r="B389" s="251"/>
      <c r="C389" s="252"/>
      <c r="D389" s="253"/>
      <c r="E389" s="254"/>
      <c r="F389" s="278"/>
      <c r="G389" s="256"/>
      <c r="H389" s="257"/>
      <c r="I389" s="231" t="str">
        <f t="shared" si="31"/>
        <v/>
      </c>
      <c r="J389" s="258">
        <f t="shared" si="32"/>
        <v>0</v>
      </c>
      <c r="K389" s="313"/>
      <c r="L389" s="300"/>
      <c r="M389" s="300"/>
      <c r="N389" s="235" t="str">
        <f t="shared" si="33"/>
        <v/>
      </c>
      <c r="O389" s="236" t="str">
        <f>IF('Data Set up'!$G$40="JUNE",IF(OR($N389=7,$N389=8,$N389=9),1,IF(OR($N389=10,$N389=11,$N389=12),2,IF(OR($N389=1,$N389=2,$N389=3),3,IF(OR($N389=4,$N389=5,$N389=6),4,"")))),IF(OR($N389=9,$N389=10,$N389=11),1,IF(OR($N389=12,$N389=1,$N389=2),2,IF(OR($N389=3,$N389=4,$N389=5),3,IF(OR($N389=6,$N389=7,$N389=8),4,"")))))</f>
        <v/>
      </c>
      <c r="P389" s="261"/>
      <c r="Q389" s="305"/>
      <c r="R389" s="302"/>
      <c r="S389" s="264">
        <f t="shared" si="34"/>
        <v>0</v>
      </c>
      <c r="T389" s="302"/>
      <c r="U389" s="302"/>
      <c r="V389" s="302"/>
      <c r="W389" s="302"/>
      <c r="X389" s="302"/>
      <c r="Y389" s="302"/>
      <c r="Z389" s="302"/>
      <c r="AA389" s="302"/>
      <c r="AB389" s="303"/>
      <c r="AC389" s="304"/>
      <c r="AD389" s="305"/>
      <c r="AE389" s="302"/>
      <c r="AF389" s="302"/>
      <c r="AG389" s="302"/>
      <c r="AH389" s="302"/>
      <c r="AI389" s="303"/>
      <c r="AJ389" s="303"/>
      <c r="AK389" s="302"/>
      <c r="AL389" s="314"/>
      <c r="AM389" s="305"/>
      <c r="AN389" s="302"/>
      <c r="AO389" s="302"/>
      <c r="AP389" s="302"/>
      <c r="AQ389" s="302"/>
      <c r="AR389" s="302"/>
      <c r="AS389" s="302"/>
      <c r="AT389" s="302"/>
      <c r="AU389" s="304"/>
      <c r="AV389" s="306"/>
      <c r="AW389" s="303"/>
      <c r="AX389" s="303"/>
      <c r="AY389" s="303"/>
      <c r="AZ389" s="303"/>
      <c r="BA389" s="303"/>
      <c r="BB389" s="303"/>
      <c r="BC389" s="303"/>
      <c r="BD389" s="304"/>
      <c r="BE389" s="305"/>
      <c r="BF389" s="302"/>
      <c r="BG389" s="307"/>
      <c r="BH389" s="308"/>
      <c r="BI389" s="302"/>
      <c r="BJ389" s="307"/>
      <c r="BK389" s="308"/>
      <c r="BL389" s="302"/>
      <c r="BM389" s="303"/>
      <c r="BN389" s="315"/>
      <c r="BO389" s="250">
        <f t="shared" si="35"/>
        <v>0</v>
      </c>
    </row>
    <row r="390" spans="1:67" ht="25.5" customHeight="1" x14ac:dyDescent="0.2">
      <c r="A390" s="142">
        <f t="shared" si="36"/>
        <v>375</v>
      </c>
      <c r="B390" s="251"/>
      <c r="C390" s="252"/>
      <c r="D390" s="253"/>
      <c r="E390" s="254"/>
      <c r="F390" s="278"/>
      <c r="G390" s="256"/>
      <c r="H390" s="257"/>
      <c r="I390" s="231" t="str">
        <f t="shared" si="31"/>
        <v/>
      </c>
      <c r="J390" s="258">
        <f t="shared" si="32"/>
        <v>0</v>
      </c>
      <c r="K390" s="313"/>
      <c r="L390" s="300"/>
      <c r="M390" s="300"/>
      <c r="N390" s="235" t="str">
        <f t="shared" si="33"/>
        <v/>
      </c>
      <c r="O390" s="236" t="str">
        <f>IF('Data Set up'!$G$40="JUNE",IF(OR($N390=7,$N390=8,$N390=9),1,IF(OR($N390=10,$N390=11,$N390=12),2,IF(OR($N390=1,$N390=2,$N390=3),3,IF(OR($N390=4,$N390=5,$N390=6),4,"")))),IF(OR($N390=9,$N390=10,$N390=11),1,IF(OR($N390=12,$N390=1,$N390=2),2,IF(OR($N390=3,$N390=4,$N390=5),3,IF(OR($N390=6,$N390=7,$N390=8),4,"")))))</f>
        <v/>
      </c>
      <c r="P390" s="261"/>
      <c r="Q390" s="305"/>
      <c r="R390" s="302"/>
      <c r="S390" s="264">
        <f t="shared" si="34"/>
        <v>0</v>
      </c>
      <c r="T390" s="302"/>
      <c r="U390" s="302"/>
      <c r="V390" s="302"/>
      <c r="W390" s="302"/>
      <c r="X390" s="302"/>
      <c r="Y390" s="302"/>
      <c r="Z390" s="302"/>
      <c r="AA390" s="302"/>
      <c r="AB390" s="303"/>
      <c r="AC390" s="304"/>
      <c r="AD390" s="305"/>
      <c r="AE390" s="302"/>
      <c r="AF390" s="302"/>
      <c r="AG390" s="302"/>
      <c r="AH390" s="302"/>
      <c r="AI390" s="303"/>
      <c r="AJ390" s="303"/>
      <c r="AK390" s="302"/>
      <c r="AL390" s="314"/>
      <c r="AM390" s="305"/>
      <c r="AN390" s="302"/>
      <c r="AO390" s="302"/>
      <c r="AP390" s="302"/>
      <c r="AQ390" s="302"/>
      <c r="AR390" s="302"/>
      <c r="AS390" s="302"/>
      <c r="AT390" s="302"/>
      <c r="AU390" s="304"/>
      <c r="AV390" s="306"/>
      <c r="AW390" s="303"/>
      <c r="AX390" s="303"/>
      <c r="AY390" s="303"/>
      <c r="AZ390" s="303"/>
      <c r="BA390" s="303"/>
      <c r="BB390" s="303"/>
      <c r="BC390" s="303"/>
      <c r="BD390" s="304"/>
      <c r="BE390" s="305"/>
      <c r="BF390" s="302"/>
      <c r="BG390" s="307"/>
      <c r="BH390" s="308"/>
      <c r="BI390" s="302"/>
      <c r="BJ390" s="307"/>
      <c r="BK390" s="308"/>
      <c r="BL390" s="302"/>
      <c r="BM390" s="303"/>
      <c r="BN390" s="315"/>
      <c r="BO390" s="250">
        <f t="shared" si="35"/>
        <v>0</v>
      </c>
    </row>
    <row r="391" spans="1:67" ht="25.5" customHeight="1" x14ac:dyDescent="0.2">
      <c r="A391" s="142">
        <f t="shared" si="36"/>
        <v>376</v>
      </c>
      <c r="B391" s="251"/>
      <c r="C391" s="252"/>
      <c r="D391" s="253"/>
      <c r="E391" s="254"/>
      <c r="F391" s="278"/>
      <c r="G391" s="256"/>
      <c r="H391" s="257"/>
      <c r="I391" s="231" t="str">
        <f t="shared" si="31"/>
        <v/>
      </c>
      <c r="J391" s="258">
        <f t="shared" si="32"/>
        <v>0</v>
      </c>
      <c r="K391" s="313"/>
      <c r="L391" s="300"/>
      <c r="M391" s="300"/>
      <c r="N391" s="235" t="str">
        <f t="shared" si="33"/>
        <v/>
      </c>
      <c r="O391" s="236" t="str">
        <f>IF('Data Set up'!$G$40="JUNE",IF(OR($N391=7,$N391=8,$N391=9),1,IF(OR($N391=10,$N391=11,$N391=12),2,IF(OR($N391=1,$N391=2,$N391=3),3,IF(OR($N391=4,$N391=5,$N391=6),4,"")))),IF(OR($N391=9,$N391=10,$N391=11),1,IF(OR($N391=12,$N391=1,$N391=2),2,IF(OR($N391=3,$N391=4,$N391=5),3,IF(OR($N391=6,$N391=7,$N391=8),4,"")))))</f>
        <v/>
      </c>
      <c r="P391" s="261"/>
      <c r="Q391" s="305"/>
      <c r="R391" s="302"/>
      <c r="S391" s="264">
        <f t="shared" si="34"/>
        <v>0</v>
      </c>
      <c r="T391" s="302"/>
      <c r="U391" s="302"/>
      <c r="V391" s="302"/>
      <c r="W391" s="302"/>
      <c r="X391" s="302"/>
      <c r="Y391" s="302"/>
      <c r="Z391" s="302"/>
      <c r="AA391" s="302"/>
      <c r="AB391" s="303"/>
      <c r="AC391" s="304"/>
      <c r="AD391" s="305"/>
      <c r="AE391" s="302"/>
      <c r="AF391" s="302"/>
      <c r="AG391" s="302"/>
      <c r="AH391" s="302"/>
      <c r="AI391" s="303"/>
      <c r="AJ391" s="303"/>
      <c r="AK391" s="302"/>
      <c r="AL391" s="314"/>
      <c r="AM391" s="305"/>
      <c r="AN391" s="302"/>
      <c r="AO391" s="302"/>
      <c r="AP391" s="302"/>
      <c r="AQ391" s="302"/>
      <c r="AR391" s="302"/>
      <c r="AS391" s="302"/>
      <c r="AT391" s="302"/>
      <c r="AU391" s="304"/>
      <c r="AV391" s="306"/>
      <c r="AW391" s="303"/>
      <c r="AX391" s="303"/>
      <c r="AY391" s="303"/>
      <c r="AZ391" s="303"/>
      <c r="BA391" s="303"/>
      <c r="BB391" s="303"/>
      <c r="BC391" s="303"/>
      <c r="BD391" s="304"/>
      <c r="BE391" s="305"/>
      <c r="BF391" s="302"/>
      <c r="BG391" s="307"/>
      <c r="BH391" s="308"/>
      <c r="BI391" s="302"/>
      <c r="BJ391" s="307"/>
      <c r="BK391" s="308"/>
      <c r="BL391" s="302"/>
      <c r="BM391" s="303"/>
      <c r="BN391" s="315"/>
      <c r="BO391" s="250">
        <f t="shared" si="35"/>
        <v>0</v>
      </c>
    </row>
    <row r="392" spans="1:67" ht="25.5" customHeight="1" x14ac:dyDescent="0.2">
      <c r="A392" s="142">
        <f t="shared" si="36"/>
        <v>377</v>
      </c>
      <c r="B392" s="251"/>
      <c r="C392" s="252"/>
      <c r="D392" s="253"/>
      <c r="E392" s="254"/>
      <c r="F392" s="278"/>
      <c r="G392" s="256"/>
      <c r="H392" s="257"/>
      <c r="I392" s="231" t="str">
        <f t="shared" si="31"/>
        <v/>
      </c>
      <c r="J392" s="258">
        <f t="shared" si="32"/>
        <v>0</v>
      </c>
      <c r="K392" s="313"/>
      <c r="L392" s="300"/>
      <c r="M392" s="300"/>
      <c r="N392" s="235" t="str">
        <f t="shared" si="33"/>
        <v/>
      </c>
      <c r="O392" s="236" t="str">
        <f>IF('Data Set up'!$G$40="JUNE",IF(OR($N392=7,$N392=8,$N392=9),1,IF(OR($N392=10,$N392=11,$N392=12),2,IF(OR($N392=1,$N392=2,$N392=3),3,IF(OR($N392=4,$N392=5,$N392=6),4,"")))),IF(OR($N392=9,$N392=10,$N392=11),1,IF(OR($N392=12,$N392=1,$N392=2),2,IF(OR($N392=3,$N392=4,$N392=5),3,IF(OR($N392=6,$N392=7,$N392=8),4,"")))))</f>
        <v/>
      </c>
      <c r="P392" s="261"/>
      <c r="Q392" s="305"/>
      <c r="R392" s="302"/>
      <c r="S392" s="264">
        <f t="shared" si="34"/>
        <v>0</v>
      </c>
      <c r="T392" s="302"/>
      <c r="U392" s="302"/>
      <c r="V392" s="302"/>
      <c r="W392" s="302"/>
      <c r="X392" s="302"/>
      <c r="Y392" s="302"/>
      <c r="Z392" s="302"/>
      <c r="AA392" s="302"/>
      <c r="AB392" s="303"/>
      <c r="AC392" s="304"/>
      <c r="AD392" s="305"/>
      <c r="AE392" s="302"/>
      <c r="AF392" s="302"/>
      <c r="AG392" s="302"/>
      <c r="AH392" s="302"/>
      <c r="AI392" s="303"/>
      <c r="AJ392" s="303"/>
      <c r="AK392" s="302"/>
      <c r="AL392" s="314"/>
      <c r="AM392" s="305"/>
      <c r="AN392" s="302"/>
      <c r="AO392" s="302"/>
      <c r="AP392" s="302"/>
      <c r="AQ392" s="302"/>
      <c r="AR392" s="302"/>
      <c r="AS392" s="302"/>
      <c r="AT392" s="302"/>
      <c r="AU392" s="304"/>
      <c r="AV392" s="306"/>
      <c r="AW392" s="303"/>
      <c r="AX392" s="303"/>
      <c r="AY392" s="303"/>
      <c r="AZ392" s="303"/>
      <c r="BA392" s="303"/>
      <c r="BB392" s="303"/>
      <c r="BC392" s="303"/>
      <c r="BD392" s="304"/>
      <c r="BE392" s="305"/>
      <c r="BF392" s="302"/>
      <c r="BG392" s="307"/>
      <c r="BH392" s="308"/>
      <c r="BI392" s="302"/>
      <c r="BJ392" s="307"/>
      <c r="BK392" s="308"/>
      <c r="BL392" s="302"/>
      <c r="BM392" s="303"/>
      <c r="BN392" s="315"/>
      <c r="BO392" s="250">
        <f t="shared" si="35"/>
        <v>0</v>
      </c>
    </row>
    <row r="393" spans="1:67" ht="25.5" customHeight="1" x14ac:dyDescent="0.2">
      <c r="A393" s="142">
        <f t="shared" si="36"/>
        <v>378</v>
      </c>
      <c r="B393" s="251"/>
      <c r="C393" s="252"/>
      <c r="D393" s="253"/>
      <c r="E393" s="254"/>
      <c r="F393" s="278"/>
      <c r="G393" s="256"/>
      <c r="H393" s="257"/>
      <c r="I393" s="231" t="str">
        <f t="shared" si="31"/>
        <v/>
      </c>
      <c r="J393" s="258">
        <f t="shared" si="32"/>
        <v>0</v>
      </c>
      <c r="K393" s="313"/>
      <c r="L393" s="300"/>
      <c r="M393" s="300"/>
      <c r="N393" s="235" t="str">
        <f t="shared" si="33"/>
        <v/>
      </c>
      <c r="O393" s="236" t="str">
        <f>IF('Data Set up'!$G$40="JUNE",IF(OR($N393=7,$N393=8,$N393=9),1,IF(OR($N393=10,$N393=11,$N393=12),2,IF(OR($N393=1,$N393=2,$N393=3),3,IF(OR($N393=4,$N393=5,$N393=6),4,"")))),IF(OR($N393=9,$N393=10,$N393=11),1,IF(OR($N393=12,$N393=1,$N393=2),2,IF(OR($N393=3,$N393=4,$N393=5),3,IF(OR($N393=6,$N393=7,$N393=8),4,"")))))</f>
        <v/>
      </c>
      <c r="P393" s="261"/>
      <c r="Q393" s="305"/>
      <c r="R393" s="302"/>
      <c r="S393" s="264">
        <f t="shared" si="34"/>
        <v>0</v>
      </c>
      <c r="T393" s="302"/>
      <c r="U393" s="302"/>
      <c r="V393" s="302"/>
      <c r="W393" s="302"/>
      <c r="X393" s="302"/>
      <c r="Y393" s="302"/>
      <c r="Z393" s="302"/>
      <c r="AA393" s="302"/>
      <c r="AB393" s="303"/>
      <c r="AC393" s="304"/>
      <c r="AD393" s="305"/>
      <c r="AE393" s="302"/>
      <c r="AF393" s="302"/>
      <c r="AG393" s="302"/>
      <c r="AH393" s="302"/>
      <c r="AI393" s="303"/>
      <c r="AJ393" s="303"/>
      <c r="AK393" s="302"/>
      <c r="AL393" s="314"/>
      <c r="AM393" s="305"/>
      <c r="AN393" s="302"/>
      <c r="AO393" s="302"/>
      <c r="AP393" s="302"/>
      <c r="AQ393" s="302"/>
      <c r="AR393" s="302"/>
      <c r="AS393" s="302"/>
      <c r="AT393" s="302"/>
      <c r="AU393" s="304"/>
      <c r="AV393" s="306"/>
      <c r="AW393" s="303"/>
      <c r="AX393" s="303"/>
      <c r="AY393" s="303"/>
      <c r="AZ393" s="303"/>
      <c r="BA393" s="303"/>
      <c r="BB393" s="303"/>
      <c r="BC393" s="303"/>
      <c r="BD393" s="304"/>
      <c r="BE393" s="305"/>
      <c r="BF393" s="302"/>
      <c r="BG393" s="307"/>
      <c r="BH393" s="308"/>
      <c r="BI393" s="302"/>
      <c r="BJ393" s="307"/>
      <c r="BK393" s="308"/>
      <c r="BL393" s="302"/>
      <c r="BM393" s="303"/>
      <c r="BN393" s="315"/>
      <c r="BO393" s="250">
        <f t="shared" si="35"/>
        <v>0</v>
      </c>
    </row>
    <row r="394" spans="1:67" ht="25.5" customHeight="1" x14ac:dyDescent="0.2">
      <c r="A394" s="142">
        <f t="shared" si="36"/>
        <v>379</v>
      </c>
      <c r="B394" s="251"/>
      <c r="C394" s="252"/>
      <c r="D394" s="253"/>
      <c r="E394" s="254"/>
      <c r="F394" s="278"/>
      <c r="G394" s="256"/>
      <c r="H394" s="257"/>
      <c r="I394" s="231" t="str">
        <f t="shared" si="31"/>
        <v/>
      </c>
      <c r="J394" s="258">
        <f t="shared" si="32"/>
        <v>0</v>
      </c>
      <c r="K394" s="313"/>
      <c r="L394" s="300"/>
      <c r="M394" s="300"/>
      <c r="N394" s="235" t="str">
        <f t="shared" si="33"/>
        <v/>
      </c>
      <c r="O394" s="236" t="str">
        <f>IF('Data Set up'!$G$40="JUNE",IF(OR($N394=7,$N394=8,$N394=9),1,IF(OR($N394=10,$N394=11,$N394=12),2,IF(OR($N394=1,$N394=2,$N394=3),3,IF(OR($N394=4,$N394=5,$N394=6),4,"")))),IF(OR($N394=9,$N394=10,$N394=11),1,IF(OR($N394=12,$N394=1,$N394=2),2,IF(OR($N394=3,$N394=4,$N394=5),3,IF(OR($N394=6,$N394=7,$N394=8),4,"")))))</f>
        <v/>
      </c>
      <c r="P394" s="261"/>
      <c r="Q394" s="305"/>
      <c r="R394" s="302"/>
      <c r="S394" s="264">
        <f t="shared" si="34"/>
        <v>0</v>
      </c>
      <c r="T394" s="302"/>
      <c r="U394" s="302"/>
      <c r="V394" s="302"/>
      <c r="W394" s="302"/>
      <c r="X394" s="302"/>
      <c r="Y394" s="302"/>
      <c r="Z394" s="302"/>
      <c r="AA394" s="302"/>
      <c r="AB394" s="303"/>
      <c r="AC394" s="304"/>
      <c r="AD394" s="305"/>
      <c r="AE394" s="302"/>
      <c r="AF394" s="302"/>
      <c r="AG394" s="302"/>
      <c r="AH394" s="302"/>
      <c r="AI394" s="303"/>
      <c r="AJ394" s="303"/>
      <c r="AK394" s="302"/>
      <c r="AL394" s="314"/>
      <c r="AM394" s="305"/>
      <c r="AN394" s="302"/>
      <c r="AO394" s="302"/>
      <c r="AP394" s="302"/>
      <c r="AQ394" s="302"/>
      <c r="AR394" s="302"/>
      <c r="AS394" s="302"/>
      <c r="AT394" s="302"/>
      <c r="AU394" s="304"/>
      <c r="AV394" s="306"/>
      <c r="AW394" s="303"/>
      <c r="AX394" s="303"/>
      <c r="AY394" s="303"/>
      <c r="AZ394" s="303"/>
      <c r="BA394" s="303"/>
      <c r="BB394" s="303"/>
      <c r="BC394" s="303"/>
      <c r="BD394" s="304"/>
      <c r="BE394" s="305"/>
      <c r="BF394" s="302"/>
      <c r="BG394" s="307"/>
      <c r="BH394" s="308"/>
      <c r="BI394" s="302"/>
      <c r="BJ394" s="307"/>
      <c r="BK394" s="308"/>
      <c r="BL394" s="302"/>
      <c r="BM394" s="303"/>
      <c r="BN394" s="315"/>
      <c r="BO394" s="250">
        <f t="shared" si="35"/>
        <v>0</v>
      </c>
    </row>
    <row r="395" spans="1:67" ht="25.5" customHeight="1" x14ac:dyDescent="0.2">
      <c r="A395" s="142">
        <f t="shared" si="36"/>
        <v>380</v>
      </c>
      <c r="B395" s="251"/>
      <c r="C395" s="252"/>
      <c r="D395" s="253"/>
      <c r="E395" s="254"/>
      <c r="F395" s="278"/>
      <c r="G395" s="256"/>
      <c r="H395" s="257"/>
      <c r="I395" s="231" t="str">
        <f t="shared" si="31"/>
        <v/>
      </c>
      <c r="J395" s="258">
        <f t="shared" si="32"/>
        <v>0</v>
      </c>
      <c r="K395" s="313"/>
      <c r="L395" s="300"/>
      <c r="M395" s="300"/>
      <c r="N395" s="235" t="str">
        <f t="shared" si="33"/>
        <v/>
      </c>
      <c r="O395" s="236" t="str">
        <f>IF('Data Set up'!$G$40="JUNE",IF(OR($N395=7,$N395=8,$N395=9),1,IF(OR($N395=10,$N395=11,$N395=12),2,IF(OR($N395=1,$N395=2,$N395=3),3,IF(OR($N395=4,$N395=5,$N395=6),4,"")))),IF(OR($N395=9,$N395=10,$N395=11),1,IF(OR($N395=12,$N395=1,$N395=2),2,IF(OR($N395=3,$N395=4,$N395=5),3,IF(OR($N395=6,$N395=7,$N395=8),4,"")))))</f>
        <v/>
      </c>
      <c r="P395" s="261"/>
      <c r="Q395" s="305"/>
      <c r="R395" s="302"/>
      <c r="S395" s="264">
        <f t="shared" si="34"/>
        <v>0</v>
      </c>
      <c r="T395" s="302"/>
      <c r="U395" s="302"/>
      <c r="V395" s="302"/>
      <c r="W395" s="302"/>
      <c r="X395" s="302"/>
      <c r="Y395" s="302"/>
      <c r="Z395" s="302"/>
      <c r="AA395" s="302"/>
      <c r="AB395" s="303"/>
      <c r="AC395" s="304"/>
      <c r="AD395" s="305"/>
      <c r="AE395" s="302"/>
      <c r="AF395" s="302"/>
      <c r="AG395" s="302"/>
      <c r="AH395" s="302"/>
      <c r="AI395" s="303"/>
      <c r="AJ395" s="303"/>
      <c r="AK395" s="302"/>
      <c r="AL395" s="314"/>
      <c r="AM395" s="305"/>
      <c r="AN395" s="302"/>
      <c r="AO395" s="302"/>
      <c r="AP395" s="302"/>
      <c r="AQ395" s="302"/>
      <c r="AR395" s="302"/>
      <c r="AS395" s="302"/>
      <c r="AT395" s="302"/>
      <c r="AU395" s="304"/>
      <c r="AV395" s="306"/>
      <c r="AW395" s="303"/>
      <c r="AX395" s="303"/>
      <c r="AY395" s="303"/>
      <c r="AZ395" s="303"/>
      <c r="BA395" s="303"/>
      <c r="BB395" s="303"/>
      <c r="BC395" s="303"/>
      <c r="BD395" s="304"/>
      <c r="BE395" s="305"/>
      <c r="BF395" s="302"/>
      <c r="BG395" s="307"/>
      <c r="BH395" s="308"/>
      <c r="BI395" s="302"/>
      <c r="BJ395" s="307"/>
      <c r="BK395" s="308"/>
      <c r="BL395" s="302"/>
      <c r="BM395" s="303"/>
      <c r="BN395" s="315"/>
      <c r="BO395" s="250">
        <f t="shared" si="35"/>
        <v>0</v>
      </c>
    </row>
    <row r="396" spans="1:67" ht="25.5" customHeight="1" x14ac:dyDescent="0.2">
      <c r="A396" s="142">
        <f t="shared" si="36"/>
        <v>381</v>
      </c>
      <c r="B396" s="251"/>
      <c r="C396" s="252"/>
      <c r="D396" s="253"/>
      <c r="E396" s="254"/>
      <c r="F396" s="278"/>
      <c r="G396" s="256"/>
      <c r="H396" s="257"/>
      <c r="I396" s="231" t="str">
        <f t="shared" si="31"/>
        <v/>
      </c>
      <c r="J396" s="258">
        <f t="shared" si="32"/>
        <v>0</v>
      </c>
      <c r="K396" s="313"/>
      <c r="L396" s="300"/>
      <c r="M396" s="300"/>
      <c r="N396" s="235" t="str">
        <f t="shared" si="33"/>
        <v/>
      </c>
      <c r="O396" s="236" t="str">
        <f>IF('Data Set up'!$G$40="JUNE",IF(OR($N396=7,$N396=8,$N396=9),1,IF(OR($N396=10,$N396=11,$N396=12),2,IF(OR($N396=1,$N396=2,$N396=3),3,IF(OR($N396=4,$N396=5,$N396=6),4,"")))),IF(OR($N396=9,$N396=10,$N396=11),1,IF(OR($N396=12,$N396=1,$N396=2),2,IF(OR($N396=3,$N396=4,$N396=5),3,IF(OR($N396=6,$N396=7,$N396=8),4,"")))))</f>
        <v/>
      </c>
      <c r="P396" s="261"/>
      <c r="Q396" s="305"/>
      <c r="R396" s="302"/>
      <c r="S396" s="264">
        <f t="shared" si="34"/>
        <v>0</v>
      </c>
      <c r="T396" s="302"/>
      <c r="U396" s="302"/>
      <c r="V396" s="302"/>
      <c r="W396" s="302"/>
      <c r="X396" s="302"/>
      <c r="Y396" s="302"/>
      <c r="Z396" s="302"/>
      <c r="AA396" s="302"/>
      <c r="AB396" s="303"/>
      <c r="AC396" s="304"/>
      <c r="AD396" s="305"/>
      <c r="AE396" s="302"/>
      <c r="AF396" s="302"/>
      <c r="AG396" s="302"/>
      <c r="AH396" s="302"/>
      <c r="AI396" s="303"/>
      <c r="AJ396" s="303"/>
      <c r="AK396" s="302"/>
      <c r="AL396" s="314"/>
      <c r="AM396" s="305"/>
      <c r="AN396" s="302"/>
      <c r="AO396" s="302"/>
      <c r="AP396" s="302"/>
      <c r="AQ396" s="302"/>
      <c r="AR396" s="302"/>
      <c r="AS396" s="302"/>
      <c r="AT396" s="302"/>
      <c r="AU396" s="304"/>
      <c r="AV396" s="306"/>
      <c r="AW396" s="303"/>
      <c r="AX396" s="303"/>
      <c r="AY396" s="303"/>
      <c r="AZ396" s="303"/>
      <c r="BA396" s="303"/>
      <c r="BB396" s="303"/>
      <c r="BC396" s="303"/>
      <c r="BD396" s="304"/>
      <c r="BE396" s="305"/>
      <c r="BF396" s="302"/>
      <c r="BG396" s="307"/>
      <c r="BH396" s="308"/>
      <c r="BI396" s="302"/>
      <c r="BJ396" s="307"/>
      <c r="BK396" s="308"/>
      <c r="BL396" s="302"/>
      <c r="BM396" s="303"/>
      <c r="BN396" s="315"/>
      <c r="BO396" s="250">
        <f t="shared" si="35"/>
        <v>0</v>
      </c>
    </row>
    <row r="397" spans="1:67" ht="25.5" customHeight="1" x14ac:dyDescent="0.2">
      <c r="A397" s="142">
        <f t="shared" si="36"/>
        <v>382</v>
      </c>
      <c r="B397" s="251"/>
      <c r="C397" s="252"/>
      <c r="D397" s="253"/>
      <c r="E397" s="254"/>
      <c r="F397" s="278"/>
      <c r="G397" s="256"/>
      <c r="H397" s="257"/>
      <c r="I397" s="231" t="str">
        <f t="shared" si="31"/>
        <v/>
      </c>
      <c r="J397" s="258">
        <f t="shared" si="32"/>
        <v>0</v>
      </c>
      <c r="K397" s="313"/>
      <c r="L397" s="300"/>
      <c r="M397" s="300"/>
      <c r="N397" s="235" t="str">
        <f t="shared" si="33"/>
        <v/>
      </c>
      <c r="O397" s="236" t="str">
        <f>IF('Data Set up'!$G$40="JUNE",IF(OR($N397=7,$N397=8,$N397=9),1,IF(OR($N397=10,$N397=11,$N397=12),2,IF(OR($N397=1,$N397=2,$N397=3),3,IF(OR($N397=4,$N397=5,$N397=6),4,"")))),IF(OR($N397=9,$N397=10,$N397=11),1,IF(OR($N397=12,$N397=1,$N397=2),2,IF(OR($N397=3,$N397=4,$N397=5),3,IF(OR($N397=6,$N397=7,$N397=8),4,"")))))</f>
        <v/>
      </c>
      <c r="P397" s="261"/>
      <c r="Q397" s="305"/>
      <c r="R397" s="302"/>
      <c r="S397" s="264">
        <f t="shared" si="34"/>
        <v>0</v>
      </c>
      <c r="T397" s="302"/>
      <c r="U397" s="302"/>
      <c r="V397" s="302"/>
      <c r="W397" s="302"/>
      <c r="X397" s="302"/>
      <c r="Y397" s="302"/>
      <c r="Z397" s="302"/>
      <c r="AA397" s="302"/>
      <c r="AB397" s="303"/>
      <c r="AC397" s="304"/>
      <c r="AD397" s="305"/>
      <c r="AE397" s="302"/>
      <c r="AF397" s="302"/>
      <c r="AG397" s="302"/>
      <c r="AH397" s="302"/>
      <c r="AI397" s="303"/>
      <c r="AJ397" s="303"/>
      <c r="AK397" s="302"/>
      <c r="AL397" s="314"/>
      <c r="AM397" s="305"/>
      <c r="AN397" s="302"/>
      <c r="AO397" s="302"/>
      <c r="AP397" s="302"/>
      <c r="AQ397" s="302"/>
      <c r="AR397" s="302"/>
      <c r="AS397" s="302"/>
      <c r="AT397" s="302"/>
      <c r="AU397" s="304"/>
      <c r="AV397" s="306"/>
      <c r="AW397" s="303"/>
      <c r="AX397" s="303"/>
      <c r="AY397" s="303"/>
      <c r="AZ397" s="303"/>
      <c r="BA397" s="303"/>
      <c r="BB397" s="303"/>
      <c r="BC397" s="303"/>
      <c r="BD397" s="304"/>
      <c r="BE397" s="305"/>
      <c r="BF397" s="302"/>
      <c r="BG397" s="307"/>
      <c r="BH397" s="308"/>
      <c r="BI397" s="302"/>
      <c r="BJ397" s="307"/>
      <c r="BK397" s="308"/>
      <c r="BL397" s="302"/>
      <c r="BM397" s="303"/>
      <c r="BN397" s="315"/>
      <c r="BO397" s="250">
        <f t="shared" si="35"/>
        <v>0</v>
      </c>
    </row>
    <row r="398" spans="1:67" ht="25.5" customHeight="1" x14ac:dyDescent="0.2">
      <c r="A398" s="142">
        <f t="shared" si="36"/>
        <v>383</v>
      </c>
      <c r="B398" s="251"/>
      <c r="C398" s="252"/>
      <c r="D398" s="253"/>
      <c r="E398" s="254"/>
      <c r="F398" s="278"/>
      <c r="G398" s="256"/>
      <c r="H398" s="257"/>
      <c r="I398" s="231" t="str">
        <f t="shared" si="31"/>
        <v/>
      </c>
      <c r="J398" s="258">
        <f t="shared" si="32"/>
        <v>0</v>
      </c>
      <c r="K398" s="313"/>
      <c r="L398" s="300"/>
      <c r="M398" s="300"/>
      <c r="N398" s="235" t="str">
        <f t="shared" si="33"/>
        <v/>
      </c>
      <c r="O398" s="236" t="str">
        <f>IF('Data Set up'!$G$40="JUNE",IF(OR($N398=7,$N398=8,$N398=9),1,IF(OR($N398=10,$N398=11,$N398=12),2,IF(OR($N398=1,$N398=2,$N398=3),3,IF(OR($N398=4,$N398=5,$N398=6),4,"")))),IF(OR($N398=9,$N398=10,$N398=11),1,IF(OR($N398=12,$N398=1,$N398=2),2,IF(OR($N398=3,$N398=4,$N398=5),3,IF(OR($N398=6,$N398=7,$N398=8),4,"")))))</f>
        <v/>
      </c>
      <c r="P398" s="261"/>
      <c r="Q398" s="305"/>
      <c r="R398" s="302"/>
      <c r="S398" s="264">
        <f t="shared" si="34"/>
        <v>0</v>
      </c>
      <c r="T398" s="302"/>
      <c r="U398" s="302"/>
      <c r="V398" s="302"/>
      <c r="W398" s="302"/>
      <c r="X398" s="302"/>
      <c r="Y398" s="302"/>
      <c r="Z398" s="302"/>
      <c r="AA398" s="302"/>
      <c r="AB398" s="303"/>
      <c r="AC398" s="304"/>
      <c r="AD398" s="305"/>
      <c r="AE398" s="302"/>
      <c r="AF398" s="302"/>
      <c r="AG398" s="302"/>
      <c r="AH398" s="302"/>
      <c r="AI398" s="303"/>
      <c r="AJ398" s="303"/>
      <c r="AK398" s="302"/>
      <c r="AL398" s="314"/>
      <c r="AM398" s="305"/>
      <c r="AN398" s="302"/>
      <c r="AO398" s="302"/>
      <c r="AP398" s="302"/>
      <c r="AQ398" s="302"/>
      <c r="AR398" s="302"/>
      <c r="AS398" s="302"/>
      <c r="AT398" s="302"/>
      <c r="AU398" s="304"/>
      <c r="AV398" s="306"/>
      <c r="AW398" s="303"/>
      <c r="AX398" s="303"/>
      <c r="AY398" s="303"/>
      <c r="AZ398" s="303"/>
      <c r="BA398" s="303"/>
      <c r="BB398" s="303"/>
      <c r="BC398" s="303"/>
      <c r="BD398" s="304"/>
      <c r="BE398" s="305"/>
      <c r="BF398" s="302"/>
      <c r="BG398" s="307"/>
      <c r="BH398" s="308"/>
      <c r="BI398" s="302"/>
      <c r="BJ398" s="307"/>
      <c r="BK398" s="308"/>
      <c r="BL398" s="302"/>
      <c r="BM398" s="303"/>
      <c r="BN398" s="315"/>
      <c r="BO398" s="250">
        <f t="shared" si="35"/>
        <v>0</v>
      </c>
    </row>
    <row r="399" spans="1:67" ht="25.5" customHeight="1" x14ac:dyDescent="0.2">
      <c r="A399" s="142">
        <f t="shared" si="36"/>
        <v>384</v>
      </c>
      <c r="B399" s="251"/>
      <c r="C399" s="252"/>
      <c r="D399" s="253"/>
      <c r="E399" s="254"/>
      <c r="F399" s="278"/>
      <c r="G399" s="256"/>
      <c r="H399" s="257"/>
      <c r="I399" s="231" t="str">
        <f t="shared" si="31"/>
        <v/>
      </c>
      <c r="J399" s="258">
        <f t="shared" si="32"/>
        <v>0</v>
      </c>
      <c r="K399" s="313"/>
      <c r="L399" s="300"/>
      <c r="M399" s="300"/>
      <c r="N399" s="235" t="str">
        <f t="shared" si="33"/>
        <v/>
      </c>
      <c r="O399" s="236" t="str">
        <f>IF('Data Set up'!$G$40="JUNE",IF(OR($N399=7,$N399=8,$N399=9),1,IF(OR($N399=10,$N399=11,$N399=12),2,IF(OR($N399=1,$N399=2,$N399=3),3,IF(OR($N399=4,$N399=5,$N399=6),4,"")))),IF(OR($N399=9,$N399=10,$N399=11),1,IF(OR($N399=12,$N399=1,$N399=2),2,IF(OR($N399=3,$N399=4,$N399=5),3,IF(OR($N399=6,$N399=7,$N399=8),4,"")))))</f>
        <v/>
      </c>
      <c r="P399" s="261"/>
      <c r="Q399" s="305"/>
      <c r="R399" s="302"/>
      <c r="S399" s="264">
        <f t="shared" si="34"/>
        <v>0</v>
      </c>
      <c r="T399" s="302"/>
      <c r="U399" s="302"/>
      <c r="V399" s="302"/>
      <c r="W399" s="302"/>
      <c r="X399" s="302"/>
      <c r="Y399" s="302"/>
      <c r="Z399" s="302"/>
      <c r="AA399" s="302"/>
      <c r="AB399" s="303"/>
      <c r="AC399" s="304"/>
      <c r="AD399" s="305"/>
      <c r="AE399" s="302"/>
      <c r="AF399" s="302"/>
      <c r="AG399" s="302"/>
      <c r="AH399" s="302"/>
      <c r="AI399" s="303"/>
      <c r="AJ399" s="303"/>
      <c r="AK399" s="302"/>
      <c r="AL399" s="314"/>
      <c r="AM399" s="305"/>
      <c r="AN399" s="302"/>
      <c r="AO399" s="302"/>
      <c r="AP399" s="302"/>
      <c r="AQ399" s="302"/>
      <c r="AR399" s="302"/>
      <c r="AS399" s="302"/>
      <c r="AT399" s="302"/>
      <c r="AU399" s="304"/>
      <c r="AV399" s="306"/>
      <c r="AW399" s="303"/>
      <c r="AX399" s="303"/>
      <c r="AY399" s="303"/>
      <c r="AZ399" s="303"/>
      <c r="BA399" s="303"/>
      <c r="BB399" s="303"/>
      <c r="BC399" s="303"/>
      <c r="BD399" s="304"/>
      <c r="BE399" s="305"/>
      <c r="BF399" s="302"/>
      <c r="BG399" s="307"/>
      <c r="BH399" s="308"/>
      <c r="BI399" s="302"/>
      <c r="BJ399" s="307"/>
      <c r="BK399" s="308"/>
      <c r="BL399" s="302"/>
      <c r="BM399" s="303"/>
      <c r="BN399" s="315"/>
      <c r="BO399" s="250">
        <f t="shared" si="35"/>
        <v>0</v>
      </c>
    </row>
    <row r="400" spans="1:67" ht="25.5" customHeight="1" x14ac:dyDescent="0.2">
      <c r="A400" s="142">
        <f t="shared" si="36"/>
        <v>385</v>
      </c>
      <c r="B400" s="251"/>
      <c r="C400" s="252"/>
      <c r="D400" s="253"/>
      <c r="E400" s="254"/>
      <c r="F400" s="278"/>
      <c r="G400" s="256"/>
      <c r="H400" s="257"/>
      <c r="I400" s="231" t="str">
        <f t="shared" ref="I400:I463" si="37">LEFT(H400,4)</f>
        <v/>
      </c>
      <c r="J400" s="258">
        <f t="shared" ref="J400:J463" si="38">G400-BO400</f>
        <v>0</v>
      </c>
      <c r="K400" s="313"/>
      <c r="L400" s="300"/>
      <c r="M400" s="300"/>
      <c r="N400" s="235" t="str">
        <f t="shared" ref="N400:N463" si="39">IF($E400="","",MONTH($E400))</f>
        <v/>
      </c>
      <c r="O400" s="236" t="str">
        <f>IF('Data Set up'!$G$40="JUNE",IF(OR($N400=7,$N400=8,$N400=9),1,IF(OR($N400=10,$N400=11,$N400=12),2,IF(OR($N400=1,$N400=2,$N400=3),3,IF(OR($N400=4,$N400=5,$N400=6),4,"")))),IF(OR($N400=9,$N400=10,$N400=11),1,IF(OR($N400=12,$N400=1,$N400=2),2,IF(OR($N400=3,$N400=4,$N400=5),3,IF(OR($N400=6,$N400=7,$N400=8),4,"")))))</f>
        <v/>
      </c>
      <c r="P400" s="261"/>
      <c r="Q400" s="305"/>
      <c r="R400" s="302"/>
      <c r="S400" s="264">
        <f t="shared" ref="S400:S463" si="40">SUM(T400:W400)</f>
        <v>0</v>
      </c>
      <c r="T400" s="302"/>
      <c r="U400" s="302"/>
      <c r="V400" s="302"/>
      <c r="W400" s="302"/>
      <c r="X400" s="302"/>
      <c r="Y400" s="302"/>
      <c r="Z400" s="302"/>
      <c r="AA400" s="302"/>
      <c r="AB400" s="303"/>
      <c r="AC400" s="304"/>
      <c r="AD400" s="305"/>
      <c r="AE400" s="302"/>
      <c r="AF400" s="302"/>
      <c r="AG400" s="302"/>
      <c r="AH400" s="302"/>
      <c r="AI400" s="303"/>
      <c r="AJ400" s="303"/>
      <c r="AK400" s="302"/>
      <c r="AL400" s="314"/>
      <c r="AM400" s="305"/>
      <c r="AN400" s="302"/>
      <c r="AO400" s="302"/>
      <c r="AP400" s="302"/>
      <c r="AQ400" s="302"/>
      <c r="AR400" s="302"/>
      <c r="AS400" s="302"/>
      <c r="AT400" s="302"/>
      <c r="AU400" s="304"/>
      <c r="AV400" s="306"/>
      <c r="AW400" s="303"/>
      <c r="AX400" s="303"/>
      <c r="AY400" s="303"/>
      <c r="AZ400" s="303"/>
      <c r="BA400" s="303"/>
      <c r="BB400" s="303"/>
      <c r="BC400" s="303"/>
      <c r="BD400" s="304"/>
      <c r="BE400" s="305"/>
      <c r="BF400" s="302"/>
      <c r="BG400" s="307"/>
      <c r="BH400" s="308"/>
      <c r="BI400" s="302"/>
      <c r="BJ400" s="307"/>
      <c r="BK400" s="308"/>
      <c r="BL400" s="302"/>
      <c r="BM400" s="303"/>
      <c r="BN400" s="315"/>
      <c r="BO400" s="250">
        <f t="shared" ref="BO400:BO463" si="41">SUM(Q400:R400,T400:BN400)</f>
        <v>0</v>
      </c>
    </row>
    <row r="401" spans="1:67" ht="25.5" customHeight="1" x14ac:dyDescent="0.2">
      <c r="A401" s="142">
        <f t="shared" ref="A401:A464" si="42">$A400+1</f>
        <v>386</v>
      </c>
      <c r="B401" s="251"/>
      <c r="C401" s="252"/>
      <c r="D401" s="253"/>
      <c r="E401" s="254"/>
      <c r="F401" s="278"/>
      <c r="G401" s="256"/>
      <c r="H401" s="257"/>
      <c r="I401" s="231" t="str">
        <f t="shared" si="37"/>
        <v/>
      </c>
      <c r="J401" s="258">
        <f t="shared" si="38"/>
        <v>0</v>
      </c>
      <c r="K401" s="313"/>
      <c r="L401" s="300"/>
      <c r="M401" s="300"/>
      <c r="N401" s="235" t="str">
        <f t="shared" si="39"/>
        <v/>
      </c>
      <c r="O401" s="236" t="str">
        <f>IF('Data Set up'!$G$40="JUNE",IF(OR($N401=7,$N401=8,$N401=9),1,IF(OR($N401=10,$N401=11,$N401=12),2,IF(OR($N401=1,$N401=2,$N401=3),3,IF(OR($N401=4,$N401=5,$N401=6),4,"")))),IF(OR($N401=9,$N401=10,$N401=11),1,IF(OR($N401=12,$N401=1,$N401=2),2,IF(OR($N401=3,$N401=4,$N401=5),3,IF(OR($N401=6,$N401=7,$N401=8),4,"")))))</f>
        <v/>
      </c>
      <c r="P401" s="261"/>
      <c r="Q401" s="305"/>
      <c r="R401" s="302"/>
      <c r="S401" s="264">
        <f t="shared" si="40"/>
        <v>0</v>
      </c>
      <c r="T401" s="302"/>
      <c r="U401" s="302"/>
      <c r="V401" s="302"/>
      <c r="W401" s="302"/>
      <c r="X401" s="302"/>
      <c r="Y401" s="302"/>
      <c r="Z401" s="302"/>
      <c r="AA401" s="302"/>
      <c r="AB401" s="303"/>
      <c r="AC401" s="304"/>
      <c r="AD401" s="305"/>
      <c r="AE401" s="302"/>
      <c r="AF401" s="302"/>
      <c r="AG401" s="302"/>
      <c r="AH401" s="302"/>
      <c r="AI401" s="303"/>
      <c r="AJ401" s="303"/>
      <c r="AK401" s="302"/>
      <c r="AL401" s="314"/>
      <c r="AM401" s="305"/>
      <c r="AN401" s="302"/>
      <c r="AO401" s="302"/>
      <c r="AP401" s="302"/>
      <c r="AQ401" s="302"/>
      <c r="AR401" s="302"/>
      <c r="AS401" s="302"/>
      <c r="AT401" s="302"/>
      <c r="AU401" s="304"/>
      <c r="AV401" s="306"/>
      <c r="AW401" s="303"/>
      <c r="AX401" s="303"/>
      <c r="AY401" s="303"/>
      <c r="AZ401" s="303"/>
      <c r="BA401" s="303"/>
      <c r="BB401" s="303"/>
      <c r="BC401" s="303"/>
      <c r="BD401" s="304"/>
      <c r="BE401" s="305"/>
      <c r="BF401" s="302"/>
      <c r="BG401" s="307"/>
      <c r="BH401" s="308"/>
      <c r="BI401" s="302"/>
      <c r="BJ401" s="307"/>
      <c r="BK401" s="308"/>
      <c r="BL401" s="302"/>
      <c r="BM401" s="303"/>
      <c r="BN401" s="315"/>
      <c r="BO401" s="250">
        <f t="shared" si="41"/>
        <v>0</v>
      </c>
    </row>
    <row r="402" spans="1:67" ht="25.5" customHeight="1" x14ac:dyDescent="0.2">
      <c r="A402" s="142">
        <f t="shared" si="42"/>
        <v>387</v>
      </c>
      <c r="B402" s="251"/>
      <c r="C402" s="252"/>
      <c r="D402" s="253"/>
      <c r="E402" s="254"/>
      <c r="F402" s="278"/>
      <c r="G402" s="256"/>
      <c r="H402" s="257"/>
      <c r="I402" s="231" t="str">
        <f t="shared" si="37"/>
        <v/>
      </c>
      <c r="J402" s="258">
        <f t="shared" si="38"/>
        <v>0</v>
      </c>
      <c r="K402" s="313"/>
      <c r="L402" s="300"/>
      <c r="M402" s="300"/>
      <c r="N402" s="235" t="str">
        <f t="shared" si="39"/>
        <v/>
      </c>
      <c r="O402" s="236" t="str">
        <f>IF('Data Set up'!$G$40="JUNE",IF(OR($N402=7,$N402=8,$N402=9),1,IF(OR($N402=10,$N402=11,$N402=12),2,IF(OR($N402=1,$N402=2,$N402=3),3,IF(OR($N402=4,$N402=5,$N402=6),4,"")))),IF(OR($N402=9,$N402=10,$N402=11),1,IF(OR($N402=12,$N402=1,$N402=2),2,IF(OR($N402=3,$N402=4,$N402=5),3,IF(OR($N402=6,$N402=7,$N402=8),4,"")))))</f>
        <v/>
      </c>
      <c r="P402" s="261"/>
      <c r="Q402" s="305"/>
      <c r="R402" s="302"/>
      <c r="S402" s="264">
        <f t="shared" si="40"/>
        <v>0</v>
      </c>
      <c r="T402" s="302"/>
      <c r="U402" s="302"/>
      <c r="V402" s="302"/>
      <c r="W402" s="302"/>
      <c r="X402" s="302"/>
      <c r="Y402" s="302"/>
      <c r="Z402" s="302"/>
      <c r="AA402" s="302"/>
      <c r="AB402" s="303"/>
      <c r="AC402" s="304"/>
      <c r="AD402" s="305"/>
      <c r="AE402" s="302"/>
      <c r="AF402" s="302"/>
      <c r="AG402" s="302"/>
      <c r="AH402" s="302"/>
      <c r="AI402" s="303"/>
      <c r="AJ402" s="303"/>
      <c r="AK402" s="302"/>
      <c r="AL402" s="314"/>
      <c r="AM402" s="305"/>
      <c r="AN402" s="302"/>
      <c r="AO402" s="302"/>
      <c r="AP402" s="302"/>
      <c r="AQ402" s="302"/>
      <c r="AR402" s="302"/>
      <c r="AS402" s="302"/>
      <c r="AT402" s="302"/>
      <c r="AU402" s="304"/>
      <c r="AV402" s="306"/>
      <c r="AW402" s="303"/>
      <c r="AX402" s="303"/>
      <c r="AY402" s="303"/>
      <c r="AZ402" s="303"/>
      <c r="BA402" s="303"/>
      <c r="BB402" s="303"/>
      <c r="BC402" s="303"/>
      <c r="BD402" s="304"/>
      <c r="BE402" s="305"/>
      <c r="BF402" s="302"/>
      <c r="BG402" s="307"/>
      <c r="BH402" s="308"/>
      <c r="BI402" s="302"/>
      <c r="BJ402" s="307"/>
      <c r="BK402" s="308"/>
      <c r="BL402" s="302"/>
      <c r="BM402" s="303"/>
      <c r="BN402" s="315"/>
      <c r="BO402" s="250">
        <f t="shared" si="41"/>
        <v>0</v>
      </c>
    </row>
    <row r="403" spans="1:67" ht="25.5" customHeight="1" x14ac:dyDescent="0.2">
      <c r="A403" s="142">
        <f t="shared" si="42"/>
        <v>388</v>
      </c>
      <c r="B403" s="251"/>
      <c r="C403" s="252"/>
      <c r="D403" s="253"/>
      <c r="E403" s="254"/>
      <c r="F403" s="278"/>
      <c r="G403" s="256"/>
      <c r="H403" s="257"/>
      <c r="I403" s="231" t="str">
        <f t="shared" si="37"/>
        <v/>
      </c>
      <c r="J403" s="258">
        <f t="shared" si="38"/>
        <v>0</v>
      </c>
      <c r="K403" s="313"/>
      <c r="L403" s="300"/>
      <c r="M403" s="300"/>
      <c r="N403" s="235" t="str">
        <f t="shared" si="39"/>
        <v/>
      </c>
      <c r="O403" s="236" t="str">
        <f>IF('Data Set up'!$G$40="JUNE",IF(OR($N403=7,$N403=8,$N403=9),1,IF(OR($N403=10,$N403=11,$N403=12),2,IF(OR($N403=1,$N403=2,$N403=3),3,IF(OR($N403=4,$N403=5,$N403=6),4,"")))),IF(OR($N403=9,$N403=10,$N403=11),1,IF(OR($N403=12,$N403=1,$N403=2),2,IF(OR($N403=3,$N403=4,$N403=5),3,IF(OR($N403=6,$N403=7,$N403=8),4,"")))))</f>
        <v/>
      </c>
      <c r="P403" s="261"/>
      <c r="Q403" s="305"/>
      <c r="R403" s="302"/>
      <c r="S403" s="264">
        <f t="shared" si="40"/>
        <v>0</v>
      </c>
      <c r="T403" s="302"/>
      <c r="U403" s="302"/>
      <c r="V403" s="302"/>
      <c r="W403" s="302"/>
      <c r="X403" s="302"/>
      <c r="Y403" s="302"/>
      <c r="Z403" s="302"/>
      <c r="AA403" s="302"/>
      <c r="AB403" s="303"/>
      <c r="AC403" s="304"/>
      <c r="AD403" s="305"/>
      <c r="AE403" s="302"/>
      <c r="AF403" s="302"/>
      <c r="AG403" s="302"/>
      <c r="AH403" s="302"/>
      <c r="AI403" s="303"/>
      <c r="AJ403" s="303"/>
      <c r="AK403" s="302"/>
      <c r="AL403" s="314"/>
      <c r="AM403" s="305"/>
      <c r="AN403" s="302"/>
      <c r="AO403" s="302"/>
      <c r="AP403" s="302"/>
      <c r="AQ403" s="302"/>
      <c r="AR403" s="302"/>
      <c r="AS403" s="302"/>
      <c r="AT403" s="302"/>
      <c r="AU403" s="304"/>
      <c r="AV403" s="306"/>
      <c r="AW403" s="303"/>
      <c r="AX403" s="303"/>
      <c r="AY403" s="303"/>
      <c r="AZ403" s="303"/>
      <c r="BA403" s="303"/>
      <c r="BB403" s="303"/>
      <c r="BC403" s="303"/>
      <c r="BD403" s="304"/>
      <c r="BE403" s="305"/>
      <c r="BF403" s="302"/>
      <c r="BG403" s="307"/>
      <c r="BH403" s="308"/>
      <c r="BI403" s="302"/>
      <c r="BJ403" s="307"/>
      <c r="BK403" s="308"/>
      <c r="BL403" s="302"/>
      <c r="BM403" s="303"/>
      <c r="BN403" s="315"/>
      <c r="BO403" s="250">
        <f t="shared" si="41"/>
        <v>0</v>
      </c>
    </row>
    <row r="404" spans="1:67" ht="25.5" customHeight="1" x14ac:dyDescent="0.2">
      <c r="A404" s="142">
        <f t="shared" si="42"/>
        <v>389</v>
      </c>
      <c r="B404" s="251"/>
      <c r="C404" s="252"/>
      <c r="D404" s="253"/>
      <c r="E404" s="254"/>
      <c r="F404" s="278"/>
      <c r="G404" s="256"/>
      <c r="H404" s="257"/>
      <c r="I404" s="231" t="str">
        <f t="shared" si="37"/>
        <v/>
      </c>
      <c r="J404" s="258">
        <f t="shared" si="38"/>
        <v>0</v>
      </c>
      <c r="K404" s="313"/>
      <c r="L404" s="300"/>
      <c r="M404" s="300"/>
      <c r="N404" s="235" t="str">
        <f t="shared" si="39"/>
        <v/>
      </c>
      <c r="O404" s="236" t="str">
        <f>IF('Data Set up'!$G$40="JUNE",IF(OR($N404=7,$N404=8,$N404=9),1,IF(OR($N404=10,$N404=11,$N404=12),2,IF(OR($N404=1,$N404=2,$N404=3),3,IF(OR($N404=4,$N404=5,$N404=6),4,"")))),IF(OR($N404=9,$N404=10,$N404=11),1,IF(OR($N404=12,$N404=1,$N404=2),2,IF(OR($N404=3,$N404=4,$N404=5),3,IF(OR($N404=6,$N404=7,$N404=8),4,"")))))</f>
        <v/>
      </c>
      <c r="P404" s="261"/>
      <c r="Q404" s="305"/>
      <c r="R404" s="302"/>
      <c r="S404" s="264">
        <f t="shared" si="40"/>
        <v>0</v>
      </c>
      <c r="T404" s="302"/>
      <c r="U404" s="302"/>
      <c r="V404" s="302"/>
      <c r="W404" s="302"/>
      <c r="X404" s="302"/>
      <c r="Y404" s="302"/>
      <c r="Z404" s="302"/>
      <c r="AA404" s="302"/>
      <c r="AB404" s="303"/>
      <c r="AC404" s="304"/>
      <c r="AD404" s="305"/>
      <c r="AE404" s="302"/>
      <c r="AF404" s="302"/>
      <c r="AG404" s="302"/>
      <c r="AH404" s="302"/>
      <c r="AI404" s="303"/>
      <c r="AJ404" s="303"/>
      <c r="AK404" s="302"/>
      <c r="AL404" s="314"/>
      <c r="AM404" s="305"/>
      <c r="AN404" s="302"/>
      <c r="AO404" s="302"/>
      <c r="AP404" s="302"/>
      <c r="AQ404" s="302"/>
      <c r="AR404" s="302"/>
      <c r="AS404" s="302"/>
      <c r="AT404" s="302"/>
      <c r="AU404" s="304"/>
      <c r="AV404" s="306"/>
      <c r="AW404" s="303"/>
      <c r="AX404" s="303"/>
      <c r="AY404" s="303"/>
      <c r="AZ404" s="303"/>
      <c r="BA404" s="303"/>
      <c r="BB404" s="303"/>
      <c r="BC404" s="303"/>
      <c r="BD404" s="304"/>
      <c r="BE404" s="305"/>
      <c r="BF404" s="302"/>
      <c r="BG404" s="307"/>
      <c r="BH404" s="308"/>
      <c r="BI404" s="302"/>
      <c r="BJ404" s="307"/>
      <c r="BK404" s="308"/>
      <c r="BL404" s="302"/>
      <c r="BM404" s="303"/>
      <c r="BN404" s="315"/>
      <c r="BO404" s="250">
        <f t="shared" si="41"/>
        <v>0</v>
      </c>
    </row>
    <row r="405" spans="1:67" ht="25.5" customHeight="1" x14ac:dyDescent="0.2">
      <c r="A405" s="142">
        <f t="shared" si="42"/>
        <v>390</v>
      </c>
      <c r="B405" s="251"/>
      <c r="C405" s="252"/>
      <c r="D405" s="253"/>
      <c r="E405" s="254"/>
      <c r="F405" s="278"/>
      <c r="G405" s="256"/>
      <c r="H405" s="257"/>
      <c r="I405" s="231" t="str">
        <f t="shared" si="37"/>
        <v/>
      </c>
      <c r="J405" s="258">
        <f t="shared" si="38"/>
        <v>0</v>
      </c>
      <c r="K405" s="313"/>
      <c r="L405" s="300"/>
      <c r="M405" s="300"/>
      <c r="N405" s="235" t="str">
        <f t="shared" si="39"/>
        <v/>
      </c>
      <c r="O405" s="236" t="str">
        <f>IF('Data Set up'!$G$40="JUNE",IF(OR($N405=7,$N405=8,$N405=9),1,IF(OR($N405=10,$N405=11,$N405=12),2,IF(OR($N405=1,$N405=2,$N405=3),3,IF(OR($N405=4,$N405=5,$N405=6),4,"")))),IF(OR($N405=9,$N405=10,$N405=11),1,IF(OR($N405=12,$N405=1,$N405=2),2,IF(OR($N405=3,$N405=4,$N405=5),3,IF(OR($N405=6,$N405=7,$N405=8),4,"")))))</f>
        <v/>
      </c>
      <c r="P405" s="261"/>
      <c r="Q405" s="305"/>
      <c r="R405" s="302"/>
      <c r="S405" s="264">
        <f t="shared" si="40"/>
        <v>0</v>
      </c>
      <c r="T405" s="302"/>
      <c r="U405" s="302"/>
      <c r="V405" s="302"/>
      <c r="W405" s="302"/>
      <c r="X405" s="302"/>
      <c r="Y405" s="302"/>
      <c r="Z405" s="302"/>
      <c r="AA405" s="302"/>
      <c r="AB405" s="303"/>
      <c r="AC405" s="304"/>
      <c r="AD405" s="305"/>
      <c r="AE405" s="302"/>
      <c r="AF405" s="302"/>
      <c r="AG405" s="302"/>
      <c r="AH405" s="302"/>
      <c r="AI405" s="303"/>
      <c r="AJ405" s="303"/>
      <c r="AK405" s="302"/>
      <c r="AL405" s="314"/>
      <c r="AM405" s="305"/>
      <c r="AN405" s="302"/>
      <c r="AO405" s="302"/>
      <c r="AP405" s="302"/>
      <c r="AQ405" s="302"/>
      <c r="AR405" s="302"/>
      <c r="AS405" s="302"/>
      <c r="AT405" s="302"/>
      <c r="AU405" s="304"/>
      <c r="AV405" s="306"/>
      <c r="AW405" s="303"/>
      <c r="AX405" s="303"/>
      <c r="AY405" s="303"/>
      <c r="AZ405" s="303"/>
      <c r="BA405" s="303"/>
      <c r="BB405" s="303"/>
      <c r="BC405" s="303"/>
      <c r="BD405" s="304"/>
      <c r="BE405" s="305"/>
      <c r="BF405" s="302"/>
      <c r="BG405" s="307"/>
      <c r="BH405" s="308"/>
      <c r="BI405" s="302"/>
      <c r="BJ405" s="307"/>
      <c r="BK405" s="308"/>
      <c r="BL405" s="302"/>
      <c r="BM405" s="303"/>
      <c r="BN405" s="315"/>
      <c r="BO405" s="250">
        <f t="shared" si="41"/>
        <v>0</v>
      </c>
    </row>
    <row r="406" spans="1:67" ht="25.5" customHeight="1" x14ac:dyDescent="0.2">
      <c r="A406" s="142">
        <f t="shared" si="42"/>
        <v>391</v>
      </c>
      <c r="B406" s="251"/>
      <c r="C406" s="252"/>
      <c r="D406" s="253"/>
      <c r="E406" s="254"/>
      <c r="F406" s="278"/>
      <c r="G406" s="256"/>
      <c r="H406" s="257"/>
      <c r="I406" s="231" t="str">
        <f t="shared" si="37"/>
        <v/>
      </c>
      <c r="J406" s="258">
        <f t="shared" si="38"/>
        <v>0</v>
      </c>
      <c r="K406" s="313"/>
      <c r="L406" s="300"/>
      <c r="M406" s="300"/>
      <c r="N406" s="235" t="str">
        <f t="shared" si="39"/>
        <v/>
      </c>
      <c r="O406" s="236" t="str">
        <f>IF('Data Set up'!$G$40="JUNE",IF(OR($N406=7,$N406=8,$N406=9),1,IF(OR($N406=10,$N406=11,$N406=12),2,IF(OR($N406=1,$N406=2,$N406=3),3,IF(OR($N406=4,$N406=5,$N406=6),4,"")))),IF(OR($N406=9,$N406=10,$N406=11),1,IF(OR($N406=12,$N406=1,$N406=2),2,IF(OR($N406=3,$N406=4,$N406=5),3,IF(OR($N406=6,$N406=7,$N406=8),4,"")))))</f>
        <v/>
      </c>
      <c r="P406" s="261"/>
      <c r="Q406" s="305"/>
      <c r="R406" s="302"/>
      <c r="S406" s="264">
        <f t="shared" si="40"/>
        <v>0</v>
      </c>
      <c r="T406" s="302"/>
      <c r="U406" s="302"/>
      <c r="V406" s="302"/>
      <c r="W406" s="302"/>
      <c r="X406" s="302"/>
      <c r="Y406" s="302"/>
      <c r="Z406" s="302"/>
      <c r="AA406" s="302"/>
      <c r="AB406" s="303"/>
      <c r="AC406" s="304"/>
      <c r="AD406" s="305"/>
      <c r="AE406" s="302"/>
      <c r="AF406" s="302"/>
      <c r="AG406" s="302"/>
      <c r="AH406" s="302"/>
      <c r="AI406" s="303"/>
      <c r="AJ406" s="303"/>
      <c r="AK406" s="302"/>
      <c r="AL406" s="314"/>
      <c r="AM406" s="305"/>
      <c r="AN406" s="302"/>
      <c r="AO406" s="302"/>
      <c r="AP406" s="302"/>
      <c r="AQ406" s="302"/>
      <c r="AR406" s="302"/>
      <c r="AS406" s="302"/>
      <c r="AT406" s="302"/>
      <c r="AU406" s="304"/>
      <c r="AV406" s="306"/>
      <c r="AW406" s="303"/>
      <c r="AX406" s="303"/>
      <c r="AY406" s="303"/>
      <c r="AZ406" s="303"/>
      <c r="BA406" s="303"/>
      <c r="BB406" s="303"/>
      <c r="BC406" s="303"/>
      <c r="BD406" s="304"/>
      <c r="BE406" s="305"/>
      <c r="BF406" s="302"/>
      <c r="BG406" s="307"/>
      <c r="BH406" s="308"/>
      <c r="BI406" s="302"/>
      <c r="BJ406" s="307"/>
      <c r="BK406" s="308"/>
      <c r="BL406" s="302"/>
      <c r="BM406" s="303"/>
      <c r="BN406" s="315"/>
      <c r="BO406" s="250">
        <f t="shared" si="41"/>
        <v>0</v>
      </c>
    </row>
    <row r="407" spans="1:67" ht="25.5" customHeight="1" x14ac:dyDescent="0.2">
      <c r="A407" s="142">
        <f t="shared" si="42"/>
        <v>392</v>
      </c>
      <c r="B407" s="251"/>
      <c r="C407" s="252"/>
      <c r="D407" s="253"/>
      <c r="E407" s="254"/>
      <c r="F407" s="278"/>
      <c r="G407" s="256"/>
      <c r="H407" s="257"/>
      <c r="I407" s="231" t="str">
        <f t="shared" si="37"/>
        <v/>
      </c>
      <c r="J407" s="258">
        <f t="shared" si="38"/>
        <v>0</v>
      </c>
      <c r="K407" s="313"/>
      <c r="L407" s="300"/>
      <c r="M407" s="300"/>
      <c r="N407" s="235" t="str">
        <f t="shared" si="39"/>
        <v/>
      </c>
      <c r="O407" s="236" t="str">
        <f>IF('Data Set up'!$G$40="JUNE",IF(OR($N407=7,$N407=8,$N407=9),1,IF(OR($N407=10,$N407=11,$N407=12),2,IF(OR($N407=1,$N407=2,$N407=3),3,IF(OR($N407=4,$N407=5,$N407=6),4,"")))),IF(OR($N407=9,$N407=10,$N407=11),1,IF(OR($N407=12,$N407=1,$N407=2),2,IF(OR($N407=3,$N407=4,$N407=5),3,IF(OR($N407=6,$N407=7,$N407=8),4,"")))))</f>
        <v/>
      </c>
      <c r="P407" s="261"/>
      <c r="Q407" s="305"/>
      <c r="R407" s="302"/>
      <c r="S407" s="264">
        <f t="shared" si="40"/>
        <v>0</v>
      </c>
      <c r="T407" s="302"/>
      <c r="U407" s="302"/>
      <c r="V407" s="302"/>
      <c r="W407" s="302"/>
      <c r="X407" s="302"/>
      <c r="Y407" s="302"/>
      <c r="Z407" s="302"/>
      <c r="AA407" s="302"/>
      <c r="AB407" s="303"/>
      <c r="AC407" s="304"/>
      <c r="AD407" s="305"/>
      <c r="AE407" s="302"/>
      <c r="AF407" s="302"/>
      <c r="AG407" s="302"/>
      <c r="AH407" s="302"/>
      <c r="AI407" s="303"/>
      <c r="AJ407" s="303"/>
      <c r="AK407" s="302"/>
      <c r="AL407" s="314"/>
      <c r="AM407" s="305"/>
      <c r="AN407" s="302"/>
      <c r="AO407" s="302"/>
      <c r="AP407" s="302"/>
      <c r="AQ407" s="302"/>
      <c r="AR407" s="302"/>
      <c r="AS407" s="302"/>
      <c r="AT407" s="302"/>
      <c r="AU407" s="304"/>
      <c r="AV407" s="306"/>
      <c r="AW407" s="303"/>
      <c r="AX407" s="303"/>
      <c r="AY407" s="303"/>
      <c r="AZ407" s="303"/>
      <c r="BA407" s="303"/>
      <c r="BB407" s="303"/>
      <c r="BC407" s="303"/>
      <c r="BD407" s="304"/>
      <c r="BE407" s="305"/>
      <c r="BF407" s="302"/>
      <c r="BG407" s="307"/>
      <c r="BH407" s="308"/>
      <c r="BI407" s="302"/>
      <c r="BJ407" s="307"/>
      <c r="BK407" s="308"/>
      <c r="BL407" s="302"/>
      <c r="BM407" s="303"/>
      <c r="BN407" s="315"/>
      <c r="BO407" s="250">
        <f t="shared" si="41"/>
        <v>0</v>
      </c>
    </row>
    <row r="408" spans="1:67" ht="25.5" customHeight="1" x14ac:dyDescent="0.2">
      <c r="A408" s="142">
        <f t="shared" si="42"/>
        <v>393</v>
      </c>
      <c r="B408" s="251"/>
      <c r="C408" s="252"/>
      <c r="D408" s="253"/>
      <c r="E408" s="254"/>
      <c r="F408" s="278"/>
      <c r="G408" s="256"/>
      <c r="H408" s="257"/>
      <c r="I408" s="231" t="str">
        <f t="shared" si="37"/>
        <v/>
      </c>
      <c r="J408" s="258">
        <f t="shared" si="38"/>
        <v>0</v>
      </c>
      <c r="K408" s="313"/>
      <c r="L408" s="300"/>
      <c r="M408" s="300"/>
      <c r="N408" s="235" t="str">
        <f t="shared" si="39"/>
        <v/>
      </c>
      <c r="O408" s="236" t="str">
        <f>IF('Data Set up'!$G$40="JUNE",IF(OR($N408=7,$N408=8,$N408=9),1,IF(OR($N408=10,$N408=11,$N408=12),2,IF(OR($N408=1,$N408=2,$N408=3),3,IF(OR($N408=4,$N408=5,$N408=6),4,"")))),IF(OR($N408=9,$N408=10,$N408=11),1,IF(OR($N408=12,$N408=1,$N408=2),2,IF(OR($N408=3,$N408=4,$N408=5),3,IF(OR($N408=6,$N408=7,$N408=8),4,"")))))</f>
        <v/>
      </c>
      <c r="P408" s="261"/>
      <c r="Q408" s="305"/>
      <c r="R408" s="302"/>
      <c r="S408" s="264">
        <f t="shared" si="40"/>
        <v>0</v>
      </c>
      <c r="T408" s="302"/>
      <c r="U408" s="302"/>
      <c r="V408" s="302"/>
      <c r="W408" s="302"/>
      <c r="X408" s="302"/>
      <c r="Y408" s="302"/>
      <c r="Z408" s="302"/>
      <c r="AA408" s="302"/>
      <c r="AB408" s="303"/>
      <c r="AC408" s="304"/>
      <c r="AD408" s="305"/>
      <c r="AE408" s="302"/>
      <c r="AF408" s="302"/>
      <c r="AG408" s="302"/>
      <c r="AH408" s="302"/>
      <c r="AI408" s="303"/>
      <c r="AJ408" s="303"/>
      <c r="AK408" s="302"/>
      <c r="AL408" s="314"/>
      <c r="AM408" s="305"/>
      <c r="AN408" s="302"/>
      <c r="AO408" s="302"/>
      <c r="AP408" s="302"/>
      <c r="AQ408" s="302"/>
      <c r="AR408" s="302"/>
      <c r="AS408" s="302"/>
      <c r="AT408" s="302"/>
      <c r="AU408" s="304"/>
      <c r="AV408" s="306"/>
      <c r="AW408" s="303"/>
      <c r="AX408" s="303"/>
      <c r="AY408" s="303"/>
      <c r="AZ408" s="303"/>
      <c r="BA408" s="303"/>
      <c r="BB408" s="303"/>
      <c r="BC408" s="303"/>
      <c r="BD408" s="304"/>
      <c r="BE408" s="305"/>
      <c r="BF408" s="302"/>
      <c r="BG408" s="307"/>
      <c r="BH408" s="308"/>
      <c r="BI408" s="302"/>
      <c r="BJ408" s="307"/>
      <c r="BK408" s="308"/>
      <c r="BL408" s="302"/>
      <c r="BM408" s="303"/>
      <c r="BN408" s="315"/>
      <c r="BO408" s="250">
        <f t="shared" si="41"/>
        <v>0</v>
      </c>
    </row>
    <row r="409" spans="1:67" ht="25.5" customHeight="1" x14ac:dyDescent="0.2">
      <c r="A409" s="142">
        <f t="shared" si="42"/>
        <v>394</v>
      </c>
      <c r="B409" s="251"/>
      <c r="C409" s="252"/>
      <c r="D409" s="253"/>
      <c r="E409" s="254"/>
      <c r="F409" s="278"/>
      <c r="G409" s="256"/>
      <c r="H409" s="257"/>
      <c r="I409" s="231" t="str">
        <f t="shared" si="37"/>
        <v/>
      </c>
      <c r="J409" s="258">
        <f t="shared" si="38"/>
        <v>0</v>
      </c>
      <c r="K409" s="313"/>
      <c r="L409" s="300"/>
      <c r="M409" s="300"/>
      <c r="N409" s="235" t="str">
        <f t="shared" si="39"/>
        <v/>
      </c>
      <c r="O409" s="236" t="str">
        <f>IF('Data Set up'!$G$40="JUNE",IF(OR($N409=7,$N409=8,$N409=9),1,IF(OR($N409=10,$N409=11,$N409=12),2,IF(OR($N409=1,$N409=2,$N409=3),3,IF(OR($N409=4,$N409=5,$N409=6),4,"")))),IF(OR($N409=9,$N409=10,$N409=11),1,IF(OR($N409=12,$N409=1,$N409=2),2,IF(OR($N409=3,$N409=4,$N409=5),3,IF(OR($N409=6,$N409=7,$N409=8),4,"")))))</f>
        <v/>
      </c>
      <c r="P409" s="261"/>
      <c r="Q409" s="305"/>
      <c r="R409" s="302"/>
      <c r="S409" s="264">
        <f t="shared" si="40"/>
        <v>0</v>
      </c>
      <c r="T409" s="302"/>
      <c r="U409" s="302"/>
      <c r="V409" s="302"/>
      <c r="W409" s="302"/>
      <c r="X409" s="302"/>
      <c r="Y409" s="302"/>
      <c r="Z409" s="302"/>
      <c r="AA409" s="302"/>
      <c r="AB409" s="303"/>
      <c r="AC409" s="304"/>
      <c r="AD409" s="305"/>
      <c r="AE409" s="302"/>
      <c r="AF409" s="302"/>
      <c r="AG409" s="302"/>
      <c r="AH409" s="302"/>
      <c r="AI409" s="303"/>
      <c r="AJ409" s="303"/>
      <c r="AK409" s="302"/>
      <c r="AL409" s="314"/>
      <c r="AM409" s="305"/>
      <c r="AN409" s="302"/>
      <c r="AO409" s="302"/>
      <c r="AP409" s="302"/>
      <c r="AQ409" s="302"/>
      <c r="AR409" s="302"/>
      <c r="AS409" s="302"/>
      <c r="AT409" s="302"/>
      <c r="AU409" s="304"/>
      <c r="AV409" s="306"/>
      <c r="AW409" s="303"/>
      <c r="AX409" s="303"/>
      <c r="AY409" s="303"/>
      <c r="AZ409" s="303"/>
      <c r="BA409" s="303"/>
      <c r="BB409" s="303"/>
      <c r="BC409" s="303"/>
      <c r="BD409" s="304"/>
      <c r="BE409" s="305"/>
      <c r="BF409" s="302"/>
      <c r="BG409" s="307"/>
      <c r="BH409" s="308"/>
      <c r="BI409" s="302"/>
      <c r="BJ409" s="307"/>
      <c r="BK409" s="308"/>
      <c r="BL409" s="302"/>
      <c r="BM409" s="303"/>
      <c r="BN409" s="315"/>
      <c r="BO409" s="250">
        <f t="shared" si="41"/>
        <v>0</v>
      </c>
    </row>
    <row r="410" spans="1:67" ht="25.5" customHeight="1" x14ac:dyDescent="0.2">
      <c r="A410" s="142">
        <f t="shared" si="42"/>
        <v>395</v>
      </c>
      <c r="B410" s="251"/>
      <c r="C410" s="252"/>
      <c r="D410" s="253"/>
      <c r="E410" s="254"/>
      <c r="F410" s="278"/>
      <c r="G410" s="256"/>
      <c r="H410" s="257"/>
      <c r="I410" s="231" t="str">
        <f t="shared" si="37"/>
        <v/>
      </c>
      <c r="J410" s="258">
        <f t="shared" si="38"/>
        <v>0</v>
      </c>
      <c r="K410" s="313"/>
      <c r="L410" s="300"/>
      <c r="M410" s="300"/>
      <c r="N410" s="235" t="str">
        <f t="shared" si="39"/>
        <v/>
      </c>
      <c r="O410" s="236" t="str">
        <f>IF('Data Set up'!$G$40="JUNE",IF(OR($N410=7,$N410=8,$N410=9),1,IF(OR($N410=10,$N410=11,$N410=12),2,IF(OR($N410=1,$N410=2,$N410=3),3,IF(OR($N410=4,$N410=5,$N410=6),4,"")))),IF(OR($N410=9,$N410=10,$N410=11),1,IF(OR($N410=12,$N410=1,$N410=2),2,IF(OR($N410=3,$N410=4,$N410=5),3,IF(OR($N410=6,$N410=7,$N410=8),4,"")))))</f>
        <v/>
      </c>
      <c r="P410" s="261"/>
      <c r="Q410" s="305"/>
      <c r="R410" s="302"/>
      <c r="S410" s="264">
        <f t="shared" si="40"/>
        <v>0</v>
      </c>
      <c r="T410" s="302"/>
      <c r="U410" s="302"/>
      <c r="V410" s="302"/>
      <c r="W410" s="302"/>
      <c r="X410" s="302"/>
      <c r="Y410" s="302"/>
      <c r="Z410" s="302"/>
      <c r="AA410" s="302"/>
      <c r="AB410" s="303"/>
      <c r="AC410" s="304"/>
      <c r="AD410" s="305"/>
      <c r="AE410" s="302"/>
      <c r="AF410" s="302"/>
      <c r="AG410" s="302"/>
      <c r="AH410" s="302"/>
      <c r="AI410" s="303"/>
      <c r="AJ410" s="303"/>
      <c r="AK410" s="302"/>
      <c r="AL410" s="314"/>
      <c r="AM410" s="305"/>
      <c r="AN410" s="302"/>
      <c r="AO410" s="302"/>
      <c r="AP410" s="302"/>
      <c r="AQ410" s="302"/>
      <c r="AR410" s="302"/>
      <c r="AS410" s="302"/>
      <c r="AT410" s="302"/>
      <c r="AU410" s="304"/>
      <c r="AV410" s="306"/>
      <c r="AW410" s="303"/>
      <c r="AX410" s="303"/>
      <c r="AY410" s="303"/>
      <c r="AZ410" s="303"/>
      <c r="BA410" s="303"/>
      <c r="BB410" s="303"/>
      <c r="BC410" s="303"/>
      <c r="BD410" s="304"/>
      <c r="BE410" s="305"/>
      <c r="BF410" s="302"/>
      <c r="BG410" s="307"/>
      <c r="BH410" s="308"/>
      <c r="BI410" s="302"/>
      <c r="BJ410" s="307"/>
      <c r="BK410" s="308"/>
      <c r="BL410" s="302"/>
      <c r="BM410" s="303"/>
      <c r="BN410" s="315"/>
      <c r="BO410" s="250">
        <f t="shared" si="41"/>
        <v>0</v>
      </c>
    </row>
    <row r="411" spans="1:67" ht="25.5" customHeight="1" x14ac:dyDescent="0.2">
      <c r="A411" s="142">
        <f t="shared" si="42"/>
        <v>396</v>
      </c>
      <c r="B411" s="251"/>
      <c r="C411" s="252"/>
      <c r="D411" s="253"/>
      <c r="E411" s="254"/>
      <c r="F411" s="278"/>
      <c r="G411" s="256"/>
      <c r="H411" s="257"/>
      <c r="I411" s="231" t="str">
        <f t="shared" si="37"/>
        <v/>
      </c>
      <c r="J411" s="258">
        <f t="shared" si="38"/>
        <v>0</v>
      </c>
      <c r="K411" s="313"/>
      <c r="L411" s="300"/>
      <c r="M411" s="300"/>
      <c r="N411" s="235" t="str">
        <f t="shared" si="39"/>
        <v/>
      </c>
      <c r="O411" s="236" t="str">
        <f>IF('Data Set up'!$G$40="JUNE",IF(OR($N411=7,$N411=8,$N411=9),1,IF(OR($N411=10,$N411=11,$N411=12),2,IF(OR($N411=1,$N411=2,$N411=3),3,IF(OR($N411=4,$N411=5,$N411=6),4,"")))),IF(OR($N411=9,$N411=10,$N411=11),1,IF(OR($N411=12,$N411=1,$N411=2),2,IF(OR($N411=3,$N411=4,$N411=5),3,IF(OR($N411=6,$N411=7,$N411=8),4,"")))))</f>
        <v/>
      </c>
      <c r="P411" s="261"/>
      <c r="Q411" s="305"/>
      <c r="R411" s="302"/>
      <c r="S411" s="264">
        <f t="shared" si="40"/>
        <v>0</v>
      </c>
      <c r="T411" s="302"/>
      <c r="U411" s="302"/>
      <c r="V411" s="302"/>
      <c r="W411" s="302"/>
      <c r="X411" s="302"/>
      <c r="Y411" s="302"/>
      <c r="Z411" s="302"/>
      <c r="AA411" s="302"/>
      <c r="AB411" s="303"/>
      <c r="AC411" s="304"/>
      <c r="AD411" s="305"/>
      <c r="AE411" s="302"/>
      <c r="AF411" s="302"/>
      <c r="AG411" s="302"/>
      <c r="AH411" s="302"/>
      <c r="AI411" s="303"/>
      <c r="AJ411" s="303"/>
      <c r="AK411" s="302"/>
      <c r="AL411" s="314"/>
      <c r="AM411" s="305"/>
      <c r="AN411" s="302"/>
      <c r="AO411" s="302"/>
      <c r="AP411" s="302"/>
      <c r="AQ411" s="302"/>
      <c r="AR411" s="302"/>
      <c r="AS411" s="302"/>
      <c r="AT411" s="302"/>
      <c r="AU411" s="304"/>
      <c r="AV411" s="306"/>
      <c r="AW411" s="303"/>
      <c r="AX411" s="303"/>
      <c r="AY411" s="303"/>
      <c r="AZ411" s="303"/>
      <c r="BA411" s="303"/>
      <c r="BB411" s="303"/>
      <c r="BC411" s="303"/>
      <c r="BD411" s="304"/>
      <c r="BE411" s="305"/>
      <c r="BF411" s="302"/>
      <c r="BG411" s="307"/>
      <c r="BH411" s="308"/>
      <c r="BI411" s="302"/>
      <c r="BJ411" s="307"/>
      <c r="BK411" s="308"/>
      <c r="BL411" s="302"/>
      <c r="BM411" s="303"/>
      <c r="BN411" s="315"/>
      <c r="BO411" s="250">
        <f t="shared" si="41"/>
        <v>0</v>
      </c>
    </row>
    <row r="412" spans="1:67" ht="25.5" customHeight="1" x14ac:dyDescent="0.2">
      <c r="A412" s="142">
        <f t="shared" si="42"/>
        <v>397</v>
      </c>
      <c r="B412" s="251"/>
      <c r="C412" s="252"/>
      <c r="D412" s="253"/>
      <c r="E412" s="254"/>
      <c r="F412" s="278"/>
      <c r="G412" s="256"/>
      <c r="H412" s="257"/>
      <c r="I412" s="231" t="str">
        <f t="shared" si="37"/>
        <v/>
      </c>
      <c r="J412" s="258">
        <f t="shared" si="38"/>
        <v>0</v>
      </c>
      <c r="K412" s="313"/>
      <c r="L412" s="300"/>
      <c r="M412" s="300"/>
      <c r="N412" s="235" t="str">
        <f t="shared" si="39"/>
        <v/>
      </c>
      <c r="O412" s="236" t="str">
        <f>IF('Data Set up'!$G$40="JUNE",IF(OR($N412=7,$N412=8,$N412=9),1,IF(OR($N412=10,$N412=11,$N412=12),2,IF(OR($N412=1,$N412=2,$N412=3),3,IF(OR($N412=4,$N412=5,$N412=6),4,"")))),IF(OR($N412=9,$N412=10,$N412=11),1,IF(OR($N412=12,$N412=1,$N412=2),2,IF(OR($N412=3,$N412=4,$N412=5),3,IF(OR($N412=6,$N412=7,$N412=8),4,"")))))</f>
        <v/>
      </c>
      <c r="P412" s="261"/>
      <c r="Q412" s="305"/>
      <c r="R412" s="302"/>
      <c r="S412" s="264">
        <f t="shared" si="40"/>
        <v>0</v>
      </c>
      <c r="T412" s="302"/>
      <c r="U412" s="302"/>
      <c r="V412" s="302"/>
      <c r="W412" s="302"/>
      <c r="X412" s="302"/>
      <c r="Y412" s="302"/>
      <c r="Z412" s="302"/>
      <c r="AA412" s="302"/>
      <c r="AB412" s="303"/>
      <c r="AC412" s="304"/>
      <c r="AD412" s="305"/>
      <c r="AE412" s="302"/>
      <c r="AF412" s="302"/>
      <c r="AG412" s="302"/>
      <c r="AH412" s="302"/>
      <c r="AI412" s="303"/>
      <c r="AJ412" s="303"/>
      <c r="AK412" s="302"/>
      <c r="AL412" s="314"/>
      <c r="AM412" s="305"/>
      <c r="AN412" s="302"/>
      <c r="AO412" s="302"/>
      <c r="AP412" s="302"/>
      <c r="AQ412" s="302"/>
      <c r="AR412" s="302"/>
      <c r="AS412" s="302"/>
      <c r="AT412" s="302"/>
      <c r="AU412" s="304"/>
      <c r="AV412" s="306"/>
      <c r="AW412" s="303"/>
      <c r="AX412" s="303"/>
      <c r="AY412" s="303"/>
      <c r="AZ412" s="303"/>
      <c r="BA412" s="303"/>
      <c r="BB412" s="303"/>
      <c r="BC412" s="303"/>
      <c r="BD412" s="304"/>
      <c r="BE412" s="305"/>
      <c r="BF412" s="302"/>
      <c r="BG412" s="307"/>
      <c r="BH412" s="308"/>
      <c r="BI412" s="302"/>
      <c r="BJ412" s="307"/>
      <c r="BK412" s="308"/>
      <c r="BL412" s="302"/>
      <c r="BM412" s="303"/>
      <c r="BN412" s="315"/>
      <c r="BO412" s="250">
        <f t="shared" si="41"/>
        <v>0</v>
      </c>
    </row>
    <row r="413" spans="1:67" ht="25.5" customHeight="1" x14ac:dyDescent="0.2">
      <c r="A413" s="142">
        <f t="shared" si="42"/>
        <v>398</v>
      </c>
      <c r="B413" s="251"/>
      <c r="C413" s="252"/>
      <c r="D413" s="253"/>
      <c r="E413" s="254"/>
      <c r="F413" s="278"/>
      <c r="G413" s="256"/>
      <c r="H413" s="257"/>
      <c r="I413" s="231" t="str">
        <f t="shared" si="37"/>
        <v/>
      </c>
      <c r="J413" s="258">
        <f t="shared" si="38"/>
        <v>0</v>
      </c>
      <c r="K413" s="313"/>
      <c r="L413" s="300"/>
      <c r="M413" s="300"/>
      <c r="N413" s="235" t="str">
        <f t="shared" si="39"/>
        <v/>
      </c>
      <c r="O413" s="236" t="str">
        <f>IF('Data Set up'!$G$40="JUNE",IF(OR($N413=7,$N413=8,$N413=9),1,IF(OR($N413=10,$N413=11,$N413=12),2,IF(OR($N413=1,$N413=2,$N413=3),3,IF(OR($N413=4,$N413=5,$N413=6),4,"")))),IF(OR($N413=9,$N413=10,$N413=11),1,IF(OR($N413=12,$N413=1,$N413=2),2,IF(OR($N413=3,$N413=4,$N413=5),3,IF(OR($N413=6,$N413=7,$N413=8),4,"")))))</f>
        <v/>
      </c>
      <c r="P413" s="261"/>
      <c r="Q413" s="305"/>
      <c r="R413" s="302"/>
      <c r="S413" s="264">
        <f t="shared" si="40"/>
        <v>0</v>
      </c>
      <c r="T413" s="302"/>
      <c r="U413" s="302"/>
      <c r="V413" s="302"/>
      <c r="W413" s="302"/>
      <c r="X413" s="302"/>
      <c r="Y413" s="302"/>
      <c r="Z413" s="302"/>
      <c r="AA413" s="302"/>
      <c r="AB413" s="303"/>
      <c r="AC413" s="304"/>
      <c r="AD413" s="305"/>
      <c r="AE413" s="302"/>
      <c r="AF413" s="302"/>
      <c r="AG413" s="302"/>
      <c r="AH413" s="302"/>
      <c r="AI413" s="303"/>
      <c r="AJ413" s="303"/>
      <c r="AK413" s="302"/>
      <c r="AL413" s="314"/>
      <c r="AM413" s="305"/>
      <c r="AN413" s="302"/>
      <c r="AO413" s="302"/>
      <c r="AP413" s="302"/>
      <c r="AQ413" s="302"/>
      <c r="AR413" s="302"/>
      <c r="AS413" s="302"/>
      <c r="AT413" s="302"/>
      <c r="AU413" s="304"/>
      <c r="AV413" s="306"/>
      <c r="AW413" s="303"/>
      <c r="AX413" s="303"/>
      <c r="AY413" s="303"/>
      <c r="AZ413" s="303"/>
      <c r="BA413" s="303"/>
      <c r="BB413" s="303"/>
      <c r="BC413" s="303"/>
      <c r="BD413" s="304"/>
      <c r="BE413" s="305"/>
      <c r="BF413" s="302"/>
      <c r="BG413" s="307"/>
      <c r="BH413" s="308"/>
      <c r="BI413" s="302"/>
      <c r="BJ413" s="307"/>
      <c r="BK413" s="308"/>
      <c r="BL413" s="302"/>
      <c r="BM413" s="303"/>
      <c r="BN413" s="315"/>
      <c r="BO413" s="250">
        <f t="shared" si="41"/>
        <v>0</v>
      </c>
    </row>
    <row r="414" spans="1:67" ht="25.5" customHeight="1" x14ac:dyDescent="0.2">
      <c r="A414" s="142">
        <f t="shared" si="42"/>
        <v>399</v>
      </c>
      <c r="B414" s="251"/>
      <c r="C414" s="252"/>
      <c r="D414" s="253"/>
      <c r="E414" s="254"/>
      <c r="F414" s="278"/>
      <c r="G414" s="256"/>
      <c r="H414" s="257"/>
      <c r="I414" s="231" t="str">
        <f t="shared" si="37"/>
        <v/>
      </c>
      <c r="J414" s="258">
        <f t="shared" si="38"/>
        <v>0</v>
      </c>
      <c r="K414" s="313"/>
      <c r="L414" s="300"/>
      <c r="M414" s="300"/>
      <c r="N414" s="235" t="str">
        <f t="shared" si="39"/>
        <v/>
      </c>
      <c r="O414" s="236" t="str">
        <f>IF('Data Set up'!$G$40="JUNE",IF(OR($N414=7,$N414=8,$N414=9),1,IF(OR($N414=10,$N414=11,$N414=12),2,IF(OR($N414=1,$N414=2,$N414=3),3,IF(OR($N414=4,$N414=5,$N414=6),4,"")))),IF(OR($N414=9,$N414=10,$N414=11),1,IF(OR($N414=12,$N414=1,$N414=2),2,IF(OR($N414=3,$N414=4,$N414=5),3,IF(OR($N414=6,$N414=7,$N414=8),4,"")))))</f>
        <v/>
      </c>
      <c r="P414" s="261"/>
      <c r="Q414" s="305"/>
      <c r="R414" s="302"/>
      <c r="S414" s="264">
        <f t="shared" si="40"/>
        <v>0</v>
      </c>
      <c r="T414" s="302"/>
      <c r="U414" s="302"/>
      <c r="V414" s="302"/>
      <c r="W414" s="302"/>
      <c r="X414" s="302"/>
      <c r="Y414" s="302"/>
      <c r="Z414" s="302"/>
      <c r="AA414" s="302"/>
      <c r="AB414" s="303"/>
      <c r="AC414" s="304"/>
      <c r="AD414" s="305"/>
      <c r="AE414" s="302"/>
      <c r="AF414" s="302"/>
      <c r="AG414" s="302"/>
      <c r="AH414" s="302"/>
      <c r="AI414" s="303"/>
      <c r="AJ414" s="303"/>
      <c r="AK414" s="302"/>
      <c r="AL414" s="314"/>
      <c r="AM414" s="305"/>
      <c r="AN414" s="302"/>
      <c r="AO414" s="302"/>
      <c r="AP414" s="302"/>
      <c r="AQ414" s="302"/>
      <c r="AR414" s="302"/>
      <c r="AS414" s="302"/>
      <c r="AT414" s="302"/>
      <c r="AU414" s="304"/>
      <c r="AV414" s="306"/>
      <c r="AW414" s="303"/>
      <c r="AX414" s="303"/>
      <c r="AY414" s="303"/>
      <c r="AZ414" s="303"/>
      <c r="BA414" s="303"/>
      <c r="BB414" s="303"/>
      <c r="BC414" s="303"/>
      <c r="BD414" s="304"/>
      <c r="BE414" s="305"/>
      <c r="BF414" s="302"/>
      <c r="BG414" s="307"/>
      <c r="BH414" s="308"/>
      <c r="BI414" s="302"/>
      <c r="BJ414" s="307"/>
      <c r="BK414" s="308"/>
      <c r="BL414" s="302"/>
      <c r="BM414" s="303"/>
      <c r="BN414" s="315"/>
      <c r="BO414" s="250">
        <f t="shared" si="41"/>
        <v>0</v>
      </c>
    </row>
    <row r="415" spans="1:67" ht="25.5" customHeight="1" x14ac:dyDescent="0.2">
      <c r="A415" s="142">
        <f t="shared" si="42"/>
        <v>400</v>
      </c>
      <c r="B415" s="251"/>
      <c r="C415" s="252"/>
      <c r="D415" s="253"/>
      <c r="E415" s="254"/>
      <c r="F415" s="278"/>
      <c r="G415" s="256"/>
      <c r="H415" s="257"/>
      <c r="I415" s="231" t="str">
        <f t="shared" si="37"/>
        <v/>
      </c>
      <c r="J415" s="258">
        <f t="shared" si="38"/>
        <v>0</v>
      </c>
      <c r="K415" s="313"/>
      <c r="L415" s="300"/>
      <c r="M415" s="300"/>
      <c r="N415" s="235" t="str">
        <f t="shared" si="39"/>
        <v/>
      </c>
      <c r="O415" s="236" t="str">
        <f>IF('Data Set up'!$G$40="JUNE",IF(OR($N415=7,$N415=8,$N415=9),1,IF(OR($N415=10,$N415=11,$N415=12),2,IF(OR($N415=1,$N415=2,$N415=3),3,IF(OR($N415=4,$N415=5,$N415=6),4,"")))),IF(OR($N415=9,$N415=10,$N415=11),1,IF(OR($N415=12,$N415=1,$N415=2),2,IF(OR($N415=3,$N415=4,$N415=5),3,IF(OR($N415=6,$N415=7,$N415=8),4,"")))))</f>
        <v/>
      </c>
      <c r="P415" s="261"/>
      <c r="Q415" s="305"/>
      <c r="R415" s="302"/>
      <c r="S415" s="264">
        <f t="shared" si="40"/>
        <v>0</v>
      </c>
      <c r="T415" s="302"/>
      <c r="U415" s="302"/>
      <c r="V415" s="302"/>
      <c r="W415" s="302"/>
      <c r="X415" s="302"/>
      <c r="Y415" s="302"/>
      <c r="Z415" s="302"/>
      <c r="AA415" s="302"/>
      <c r="AB415" s="303"/>
      <c r="AC415" s="304"/>
      <c r="AD415" s="305"/>
      <c r="AE415" s="302"/>
      <c r="AF415" s="302"/>
      <c r="AG415" s="302"/>
      <c r="AH415" s="302"/>
      <c r="AI415" s="303"/>
      <c r="AJ415" s="303"/>
      <c r="AK415" s="302"/>
      <c r="AL415" s="314"/>
      <c r="AM415" s="305"/>
      <c r="AN415" s="302"/>
      <c r="AO415" s="302"/>
      <c r="AP415" s="302"/>
      <c r="AQ415" s="302"/>
      <c r="AR415" s="302"/>
      <c r="AS415" s="302"/>
      <c r="AT415" s="302"/>
      <c r="AU415" s="304"/>
      <c r="AV415" s="306"/>
      <c r="AW415" s="303"/>
      <c r="AX415" s="303"/>
      <c r="AY415" s="303"/>
      <c r="AZ415" s="303"/>
      <c r="BA415" s="303"/>
      <c r="BB415" s="303"/>
      <c r="BC415" s="303"/>
      <c r="BD415" s="304"/>
      <c r="BE415" s="305"/>
      <c r="BF415" s="302"/>
      <c r="BG415" s="307"/>
      <c r="BH415" s="308"/>
      <c r="BI415" s="302"/>
      <c r="BJ415" s="307"/>
      <c r="BK415" s="308"/>
      <c r="BL415" s="302"/>
      <c r="BM415" s="303"/>
      <c r="BN415" s="315"/>
      <c r="BO415" s="250">
        <f t="shared" si="41"/>
        <v>0</v>
      </c>
    </row>
    <row r="416" spans="1:67" ht="25.5" customHeight="1" x14ac:dyDescent="0.2">
      <c r="A416" s="142">
        <f t="shared" si="42"/>
        <v>401</v>
      </c>
      <c r="B416" s="251"/>
      <c r="C416" s="252"/>
      <c r="D416" s="253"/>
      <c r="E416" s="254"/>
      <c r="F416" s="278"/>
      <c r="G416" s="256"/>
      <c r="H416" s="257"/>
      <c r="I416" s="231" t="str">
        <f t="shared" si="37"/>
        <v/>
      </c>
      <c r="J416" s="258">
        <f t="shared" si="38"/>
        <v>0</v>
      </c>
      <c r="K416" s="313"/>
      <c r="L416" s="300"/>
      <c r="M416" s="300"/>
      <c r="N416" s="235" t="str">
        <f t="shared" si="39"/>
        <v/>
      </c>
      <c r="O416" s="236" t="str">
        <f>IF('Data Set up'!$G$40="JUNE",IF(OR($N416=7,$N416=8,$N416=9),1,IF(OR($N416=10,$N416=11,$N416=12),2,IF(OR($N416=1,$N416=2,$N416=3),3,IF(OR($N416=4,$N416=5,$N416=6),4,"")))),IF(OR($N416=9,$N416=10,$N416=11),1,IF(OR($N416=12,$N416=1,$N416=2),2,IF(OR($N416=3,$N416=4,$N416=5),3,IF(OR($N416=6,$N416=7,$N416=8),4,"")))))</f>
        <v/>
      </c>
      <c r="P416" s="261"/>
      <c r="Q416" s="305"/>
      <c r="R416" s="302"/>
      <c r="S416" s="264">
        <f t="shared" si="40"/>
        <v>0</v>
      </c>
      <c r="T416" s="302"/>
      <c r="U416" s="302"/>
      <c r="V416" s="302"/>
      <c r="W416" s="302"/>
      <c r="X416" s="302"/>
      <c r="Y416" s="302"/>
      <c r="Z416" s="302"/>
      <c r="AA416" s="302"/>
      <c r="AB416" s="303"/>
      <c r="AC416" s="304"/>
      <c r="AD416" s="305"/>
      <c r="AE416" s="302"/>
      <c r="AF416" s="302"/>
      <c r="AG416" s="302"/>
      <c r="AH416" s="302"/>
      <c r="AI416" s="303"/>
      <c r="AJ416" s="303"/>
      <c r="AK416" s="302"/>
      <c r="AL416" s="314"/>
      <c r="AM416" s="305"/>
      <c r="AN416" s="302"/>
      <c r="AO416" s="302"/>
      <c r="AP416" s="302"/>
      <c r="AQ416" s="302"/>
      <c r="AR416" s="302"/>
      <c r="AS416" s="302"/>
      <c r="AT416" s="302"/>
      <c r="AU416" s="304"/>
      <c r="AV416" s="306"/>
      <c r="AW416" s="303"/>
      <c r="AX416" s="303"/>
      <c r="AY416" s="303"/>
      <c r="AZ416" s="303"/>
      <c r="BA416" s="303"/>
      <c r="BB416" s="303"/>
      <c r="BC416" s="303"/>
      <c r="BD416" s="304"/>
      <c r="BE416" s="305"/>
      <c r="BF416" s="302"/>
      <c r="BG416" s="307"/>
      <c r="BH416" s="308"/>
      <c r="BI416" s="302"/>
      <c r="BJ416" s="307"/>
      <c r="BK416" s="308"/>
      <c r="BL416" s="302"/>
      <c r="BM416" s="303"/>
      <c r="BN416" s="315"/>
      <c r="BO416" s="250">
        <f t="shared" si="41"/>
        <v>0</v>
      </c>
    </row>
    <row r="417" spans="1:67" ht="25.5" customHeight="1" x14ac:dyDescent="0.2">
      <c r="A417" s="142">
        <f t="shared" si="42"/>
        <v>402</v>
      </c>
      <c r="B417" s="251"/>
      <c r="C417" s="252"/>
      <c r="D417" s="253"/>
      <c r="E417" s="254"/>
      <c r="F417" s="278"/>
      <c r="G417" s="256"/>
      <c r="H417" s="257"/>
      <c r="I417" s="231" t="str">
        <f t="shared" si="37"/>
        <v/>
      </c>
      <c r="J417" s="258">
        <f t="shared" si="38"/>
        <v>0</v>
      </c>
      <c r="K417" s="313"/>
      <c r="L417" s="300"/>
      <c r="M417" s="300"/>
      <c r="N417" s="235" t="str">
        <f t="shared" si="39"/>
        <v/>
      </c>
      <c r="O417" s="236" t="str">
        <f>IF('Data Set up'!$G$40="JUNE",IF(OR($N417=7,$N417=8,$N417=9),1,IF(OR($N417=10,$N417=11,$N417=12),2,IF(OR($N417=1,$N417=2,$N417=3),3,IF(OR($N417=4,$N417=5,$N417=6),4,"")))),IF(OR($N417=9,$N417=10,$N417=11),1,IF(OR($N417=12,$N417=1,$N417=2),2,IF(OR($N417=3,$N417=4,$N417=5),3,IF(OR($N417=6,$N417=7,$N417=8),4,"")))))</f>
        <v/>
      </c>
      <c r="P417" s="261"/>
      <c r="Q417" s="305"/>
      <c r="R417" s="302"/>
      <c r="S417" s="264">
        <f t="shared" si="40"/>
        <v>0</v>
      </c>
      <c r="T417" s="302"/>
      <c r="U417" s="302"/>
      <c r="V417" s="302"/>
      <c r="W417" s="302"/>
      <c r="X417" s="302"/>
      <c r="Y417" s="302"/>
      <c r="Z417" s="302"/>
      <c r="AA417" s="302"/>
      <c r="AB417" s="303"/>
      <c r="AC417" s="304"/>
      <c r="AD417" s="305"/>
      <c r="AE417" s="302"/>
      <c r="AF417" s="302"/>
      <c r="AG417" s="302"/>
      <c r="AH417" s="302"/>
      <c r="AI417" s="303"/>
      <c r="AJ417" s="303"/>
      <c r="AK417" s="302"/>
      <c r="AL417" s="314"/>
      <c r="AM417" s="305"/>
      <c r="AN417" s="302"/>
      <c r="AO417" s="302"/>
      <c r="AP417" s="302"/>
      <c r="AQ417" s="302"/>
      <c r="AR417" s="302"/>
      <c r="AS417" s="302"/>
      <c r="AT417" s="302"/>
      <c r="AU417" s="304"/>
      <c r="AV417" s="306"/>
      <c r="AW417" s="303"/>
      <c r="AX417" s="303"/>
      <c r="AY417" s="303"/>
      <c r="AZ417" s="303"/>
      <c r="BA417" s="303"/>
      <c r="BB417" s="303"/>
      <c r="BC417" s="303"/>
      <c r="BD417" s="304"/>
      <c r="BE417" s="305"/>
      <c r="BF417" s="302"/>
      <c r="BG417" s="307"/>
      <c r="BH417" s="308"/>
      <c r="BI417" s="302"/>
      <c r="BJ417" s="307"/>
      <c r="BK417" s="308"/>
      <c r="BL417" s="302"/>
      <c r="BM417" s="303"/>
      <c r="BN417" s="315"/>
      <c r="BO417" s="250">
        <f t="shared" si="41"/>
        <v>0</v>
      </c>
    </row>
    <row r="418" spans="1:67" ht="25.5" customHeight="1" x14ac:dyDescent="0.2">
      <c r="A418" s="142">
        <f t="shared" si="42"/>
        <v>403</v>
      </c>
      <c r="B418" s="251"/>
      <c r="C418" s="252"/>
      <c r="D418" s="253"/>
      <c r="E418" s="254"/>
      <c r="F418" s="278"/>
      <c r="G418" s="256"/>
      <c r="H418" s="257"/>
      <c r="I418" s="231" t="str">
        <f t="shared" si="37"/>
        <v/>
      </c>
      <c r="J418" s="258">
        <f t="shared" si="38"/>
        <v>0</v>
      </c>
      <c r="K418" s="313"/>
      <c r="L418" s="300"/>
      <c r="M418" s="300"/>
      <c r="N418" s="235" t="str">
        <f t="shared" si="39"/>
        <v/>
      </c>
      <c r="O418" s="236" t="str">
        <f>IF('Data Set up'!$G$40="JUNE",IF(OR($N418=7,$N418=8,$N418=9),1,IF(OR($N418=10,$N418=11,$N418=12),2,IF(OR($N418=1,$N418=2,$N418=3),3,IF(OR($N418=4,$N418=5,$N418=6),4,"")))),IF(OR($N418=9,$N418=10,$N418=11),1,IF(OR($N418=12,$N418=1,$N418=2),2,IF(OR($N418=3,$N418=4,$N418=5),3,IF(OR($N418=6,$N418=7,$N418=8),4,"")))))</f>
        <v/>
      </c>
      <c r="P418" s="261"/>
      <c r="Q418" s="305"/>
      <c r="R418" s="302"/>
      <c r="S418" s="264">
        <f t="shared" si="40"/>
        <v>0</v>
      </c>
      <c r="T418" s="302"/>
      <c r="U418" s="302"/>
      <c r="V418" s="302"/>
      <c r="W418" s="302"/>
      <c r="X418" s="302"/>
      <c r="Y418" s="302"/>
      <c r="Z418" s="302"/>
      <c r="AA418" s="302"/>
      <c r="AB418" s="303"/>
      <c r="AC418" s="304"/>
      <c r="AD418" s="305"/>
      <c r="AE418" s="302"/>
      <c r="AF418" s="302"/>
      <c r="AG418" s="302"/>
      <c r="AH418" s="302"/>
      <c r="AI418" s="303"/>
      <c r="AJ418" s="303"/>
      <c r="AK418" s="302"/>
      <c r="AL418" s="314"/>
      <c r="AM418" s="305"/>
      <c r="AN418" s="302"/>
      <c r="AO418" s="302"/>
      <c r="AP418" s="302"/>
      <c r="AQ418" s="302"/>
      <c r="AR418" s="302"/>
      <c r="AS418" s="302"/>
      <c r="AT418" s="302"/>
      <c r="AU418" s="304"/>
      <c r="AV418" s="306"/>
      <c r="AW418" s="303"/>
      <c r="AX418" s="303"/>
      <c r="AY418" s="303"/>
      <c r="AZ418" s="303"/>
      <c r="BA418" s="303"/>
      <c r="BB418" s="303"/>
      <c r="BC418" s="303"/>
      <c r="BD418" s="304"/>
      <c r="BE418" s="305"/>
      <c r="BF418" s="302"/>
      <c r="BG418" s="307"/>
      <c r="BH418" s="308"/>
      <c r="BI418" s="302"/>
      <c r="BJ418" s="307"/>
      <c r="BK418" s="308"/>
      <c r="BL418" s="302"/>
      <c r="BM418" s="303"/>
      <c r="BN418" s="315"/>
      <c r="BO418" s="250">
        <f t="shared" si="41"/>
        <v>0</v>
      </c>
    </row>
    <row r="419" spans="1:67" ht="25.5" customHeight="1" x14ac:dyDescent="0.2">
      <c r="A419" s="142">
        <f t="shared" si="42"/>
        <v>404</v>
      </c>
      <c r="B419" s="251"/>
      <c r="C419" s="252"/>
      <c r="D419" s="253"/>
      <c r="E419" s="254"/>
      <c r="F419" s="278"/>
      <c r="G419" s="256"/>
      <c r="H419" s="257"/>
      <c r="I419" s="231" t="str">
        <f t="shared" si="37"/>
        <v/>
      </c>
      <c r="J419" s="258">
        <f t="shared" si="38"/>
        <v>0</v>
      </c>
      <c r="K419" s="313"/>
      <c r="L419" s="300"/>
      <c r="M419" s="300"/>
      <c r="N419" s="235" t="str">
        <f t="shared" si="39"/>
        <v/>
      </c>
      <c r="O419" s="236" t="str">
        <f>IF('Data Set up'!$G$40="JUNE",IF(OR($N419=7,$N419=8,$N419=9),1,IF(OR($N419=10,$N419=11,$N419=12),2,IF(OR($N419=1,$N419=2,$N419=3),3,IF(OR($N419=4,$N419=5,$N419=6),4,"")))),IF(OR($N419=9,$N419=10,$N419=11),1,IF(OR($N419=12,$N419=1,$N419=2),2,IF(OR($N419=3,$N419=4,$N419=5),3,IF(OR($N419=6,$N419=7,$N419=8),4,"")))))</f>
        <v/>
      </c>
      <c r="P419" s="261"/>
      <c r="Q419" s="305"/>
      <c r="R419" s="302"/>
      <c r="S419" s="264">
        <f t="shared" si="40"/>
        <v>0</v>
      </c>
      <c r="T419" s="302"/>
      <c r="U419" s="302"/>
      <c r="V419" s="302"/>
      <c r="W419" s="302"/>
      <c r="X419" s="302"/>
      <c r="Y419" s="302"/>
      <c r="Z419" s="302"/>
      <c r="AA419" s="302"/>
      <c r="AB419" s="303"/>
      <c r="AC419" s="304"/>
      <c r="AD419" s="305"/>
      <c r="AE419" s="302"/>
      <c r="AF419" s="302"/>
      <c r="AG419" s="302"/>
      <c r="AH419" s="302"/>
      <c r="AI419" s="303"/>
      <c r="AJ419" s="303"/>
      <c r="AK419" s="302"/>
      <c r="AL419" s="314"/>
      <c r="AM419" s="305"/>
      <c r="AN419" s="302"/>
      <c r="AO419" s="302"/>
      <c r="AP419" s="302"/>
      <c r="AQ419" s="302"/>
      <c r="AR419" s="302"/>
      <c r="AS419" s="302"/>
      <c r="AT419" s="302"/>
      <c r="AU419" s="304"/>
      <c r="AV419" s="306"/>
      <c r="AW419" s="303"/>
      <c r="AX419" s="303"/>
      <c r="AY419" s="303"/>
      <c r="AZ419" s="303"/>
      <c r="BA419" s="303"/>
      <c r="BB419" s="303"/>
      <c r="BC419" s="303"/>
      <c r="BD419" s="304"/>
      <c r="BE419" s="305"/>
      <c r="BF419" s="302"/>
      <c r="BG419" s="307"/>
      <c r="BH419" s="308"/>
      <c r="BI419" s="302"/>
      <c r="BJ419" s="307"/>
      <c r="BK419" s="308"/>
      <c r="BL419" s="302"/>
      <c r="BM419" s="303"/>
      <c r="BN419" s="315"/>
      <c r="BO419" s="250">
        <f t="shared" si="41"/>
        <v>0</v>
      </c>
    </row>
    <row r="420" spans="1:67" ht="25.5" customHeight="1" x14ac:dyDescent="0.2">
      <c r="A420" s="142">
        <f t="shared" si="42"/>
        <v>405</v>
      </c>
      <c r="B420" s="251"/>
      <c r="C420" s="252"/>
      <c r="D420" s="253"/>
      <c r="E420" s="254"/>
      <c r="F420" s="278"/>
      <c r="G420" s="256"/>
      <c r="H420" s="257"/>
      <c r="I420" s="231" t="str">
        <f t="shared" si="37"/>
        <v/>
      </c>
      <c r="J420" s="258">
        <f t="shared" si="38"/>
        <v>0</v>
      </c>
      <c r="K420" s="313"/>
      <c r="L420" s="300"/>
      <c r="M420" s="300"/>
      <c r="N420" s="235" t="str">
        <f t="shared" si="39"/>
        <v/>
      </c>
      <c r="O420" s="236" t="str">
        <f>IF('Data Set up'!$G$40="JUNE",IF(OR($N420=7,$N420=8,$N420=9),1,IF(OR($N420=10,$N420=11,$N420=12),2,IF(OR($N420=1,$N420=2,$N420=3),3,IF(OR($N420=4,$N420=5,$N420=6),4,"")))),IF(OR($N420=9,$N420=10,$N420=11),1,IF(OR($N420=12,$N420=1,$N420=2),2,IF(OR($N420=3,$N420=4,$N420=5),3,IF(OR($N420=6,$N420=7,$N420=8),4,"")))))</f>
        <v/>
      </c>
      <c r="P420" s="261"/>
      <c r="Q420" s="305"/>
      <c r="R420" s="302"/>
      <c r="S420" s="264">
        <f t="shared" si="40"/>
        <v>0</v>
      </c>
      <c r="T420" s="302"/>
      <c r="U420" s="302"/>
      <c r="V420" s="302"/>
      <c r="W420" s="302"/>
      <c r="X420" s="302"/>
      <c r="Y420" s="302"/>
      <c r="Z420" s="302"/>
      <c r="AA420" s="302"/>
      <c r="AB420" s="303"/>
      <c r="AC420" s="304"/>
      <c r="AD420" s="305"/>
      <c r="AE420" s="302"/>
      <c r="AF420" s="302"/>
      <c r="AG420" s="302"/>
      <c r="AH420" s="302"/>
      <c r="AI420" s="303"/>
      <c r="AJ420" s="303"/>
      <c r="AK420" s="302"/>
      <c r="AL420" s="314"/>
      <c r="AM420" s="305"/>
      <c r="AN420" s="302"/>
      <c r="AO420" s="302"/>
      <c r="AP420" s="302"/>
      <c r="AQ420" s="302"/>
      <c r="AR420" s="302"/>
      <c r="AS420" s="302"/>
      <c r="AT420" s="302"/>
      <c r="AU420" s="304"/>
      <c r="AV420" s="306"/>
      <c r="AW420" s="303"/>
      <c r="AX420" s="303"/>
      <c r="AY420" s="303"/>
      <c r="AZ420" s="303"/>
      <c r="BA420" s="303"/>
      <c r="BB420" s="303"/>
      <c r="BC420" s="303"/>
      <c r="BD420" s="304"/>
      <c r="BE420" s="305"/>
      <c r="BF420" s="302"/>
      <c r="BG420" s="307"/>
      <c r="BH420" s="308"/>
      <c r="BI420" s="302"/>
      <c r="BJ420" s="307"/>
      <c r="BK420" s="308"/>
      <c r="BL420" s="302"/>
      <c r="BM420" s="303"/>
      <c r="BN420" s="315"/>
      <c r="BO420" s="250">
        <f t="shared" si="41"/>
        <v>0</v>
      </c>
    </row>
    <row r="421" spans="1:67" ht="25.5" customHeight="1" x14ac:dyDescent="0.2">
      <c r="A421" s="142">
        <f t="shared" si="42"/>
        <v>406</v>
      </c>
      <c r="B421" s="251"/>
      <c r="C421" s="252"/>
      <c r="D421" s="253"/>
      <c r="E421" s="254"/>
      <c r="F421" s="278"/>
      <c r="G421" s="256"/>
      <c r="H421" s="257"/>
      <c r="I421" s="231" t="str">
        <f t="shared" si="37"/>
        <v/>
      </c>
      <c r="J421" s="258">
        <f t="shared" si="38"/>
        <v>0</v>
      </c>
      <c r="K421" s="313"/>
      <c r="L421" s="300"/>
      <c r="M421" s="300"/>
      <c r="N421" s="235" t="str">
        <f t="shared" si="39"/>
        <v/>
      </c>
      <c r="O421" s="236" t="str">
        <f>IF('Data Set up'!$G$40="JUNE",IF(OR($N421=7,$N421=8,$N421=9),1,IF(OR($N421=10,$N421=11,$N421=12),2,IF(OR($N421=1,$N421=2,$N421=3),3,IF(OR($N421=4,$N421=5,$N421=6),4,"")))),IF(OR($N421=9,$N421=10,$N421=11),1,IF(OR($N421=12,$N421=1,$N421=2),2,IF(OR($N421=3,$N421=4,$N421=5),3,IF(OR($N421=6,$N421=7,$N421=8),4,"")))))</f>
        <v/>
      </c>
      <c r="P421" s="261"/>
      <c r="Q421" s="305"/>
      <c r="R421" s="302"/>
      <c r="S421" s="264">
        <f t="shared" si="40"/>
        <v>0</v>
      </c>
      <c r="T421" s="302"/>
      <c r="U421" s="302"/>
      <c r="V421" s="302"/>
      <c r="W421" s="302"/>
      <c r="X421" s="302"/>
      <c r="Y421" s="302"/>
      <c r="Z421" s="302"/>
      <c r="AA421" s="302"/>
      <c r="AB421" s="303"/>
      <c r="AC421" s="304"/>
      <c r="AD421" s="305"/>
      <c r="AE421" s="302"/>
      <c r="AF421" s="302"/>
      <c r="AG421" s="302"/>
      <c r="AH421" s="302"/>
      <c r="AI421" s="303"/>
      <c r="AJ421" s="303"/>
      <c r="AK421" s="302"/>
      <c r="AL421" s="314"/>
      <c r="AM421" s="305"/>
      <c r="AN421" s="302"/>
      <c r="AO421" s="302"/>
      <c r="AP421" s="302"/>
      <c r="AQ421" s="302"/>
      <c r="AR421" s="302"/>
      <c r="AS421" s="302"/>
      <c r="AT421" s="302"/>
      <c r="AU421" s="304"/>
      <c r="AV421" s="306"/>
      <c r="AW421" s="303"/>
      <c r="AX421" s="303"/>
      <c r="AY421" s="303"/>
      <c r="AZ421" s="303"/>
      <c r="BA421" s="303"/>
      <c r="BB421" s="303"/>
      <c r="BC421" s="303"/>
      <c r="BD421" s="304"/>
      <c r="BE421" s="305"/>
      <c r="BF421" s="302"/>
      <c r="BG421" s="307"/>
      <c r="BH421" s="308"/>
      <c r="BI421" s="302"/>
      <c r="BJ421" s="307"/>
      <c r="BK421" s="308"/>
      <c r="BL421" s="302"/>
      <c r="BM421" s="303"/>
      <c r="BN421" s="315"/>
      <c r="BO421" s="250">
        <f t="shared" si="41"/>
        <v>0</v>
      </c>
    </row>
    <row r="422" spans="1:67" ht="25.5" customHeight="1" x14ac:dyDescent="0.2">
      <c r="A422" s="142">
        <f t="shared" si="42"/>
        <v>407</v>
      </c>
      <c r="B422" s="251"/>
      <c r="C422" s="252"/>
      <c r="D422" s="253"/>
      <c r="E422" s="254"/>
      <c r="F422" s="278"/>
      <c r="G422" s="256"/>
      <c r="H422" s="257"/>
      <c r="I422" s="231" t="str">
        <f t="shared" si="37"/>
        <v/>
      </c>
      <c r="J422" s="258">
        <f t="shared" si="38"/>
        <v>0</v>
      </c>
      <c r="K422" s="313"/>
      <c r="L422" s="300"/>
      <c r="M422" s="300"/>
      <c r="N422" s="235" t="str">
        <f t="shared" si="39"/>
        <v/>
      </c>
      <c r="O422" s="236" t="str">
        <f>IF('Data Set up'!$G$40="JUNE",IF(OR($N422=7,$N422=8,$N422=9),1,IF(OR($N422=10,$N422=11,$N422=12),2,IF(OR($N422=1,$N422=2,$N422=3),3,IF(OR($N422=4,$N422=5,$N422=6),4,"")))),IF(OR($N422=9,$N422=10,$N422=11),1,IF(OR($N422=12,$N422=1,$N422=2),2,IF(OR($N422=3,$N422=4,$N422=5),3,IF(OR($N422=6,$N422=7,$N422=8),4,"")))))</f>
        <v/>
      </c>
      <c r="P422" s="261"/>
      <c r="Q422" s="305"/>
      <c r="R422" s="302"/>
      <c r="S422" s="264">
        <f t="shared" si="40"/>
        <v>0</v>
      </c>
      <c r="T422" s="302"/>
      <c r="U422" s="302"/>
      <c r="V422" s="302"/>
      <c r="W422" s="302"/>
      <c r="X422" s="302"/>
      <c r="Y422" s="302"/>
      <c r="Z422" s="302"/>
      <c r="AA422" s="302"/>
      <c r="AB422" s="303"/>
      <c r="AC422" s="304"/>
      <c r="AD422" s="305"/>
      <c r="AE422" s="302"/>
      <c r="AF422" s="302"/>
      <c r="AG422" s="302"/>
      <c r="AH422" s="302"/>
      <c r="AI422" s="303"/>
      <c r="AJ422" s="303"/>
      <c r="AK422" s="302"/>
      <c r="AL422" s="314"/>
      <c r="AM422" s="305"/>
      <c r="AN422" s="302"/>
      <c r="AO422" s="302"/>
      <c r="AP422" s="302"/>
      <c r="AQ422" s="302"/>
      <c r="AR422" s="302"/>
      <c r="AS422" s="302"/>
      <c r="AT422" s="302"/>
      <c r="AU422" s="304"/>
      <c r="AV422" s="306"/>
      <c r="AW422" s="303"/>
      <c r="AX422" s="303"/>
      <c r="AY422" s="303"/>
      <c r="AZ422" s="303"/>
      <c r="BA422" s="303"/>
      <c r="BB422" s="303"/>
      <c r="BC422" s="303"/>
      <c r="BD422" s="304"/>
      <c r="BE422" s="305"/>
      <c r="BF422" s="302"/>
      <c r="BG422" s="307"/>
      <c r="BH422" s="308"/>
      <c r="BI422" s="302"/>
      <c r="BJ422" s="307"/>
      <c r="BK422" s="308"/>
      <c r="BL422" s="302"/>
      <c r="BM422" s="303"/>
      <c r="BN422" s="315"/>
      <c r="BO422" s="250">
        <f t="shared" si="41"/>
        <v>0</v>
      </c>
    </row>
    <row r="423" spans="1:67" ht="25.5" customHeight="1" x14ac:dyDescent="0.2">
      <c r="A423" s="142">
        <f t="shared" si="42"/>
        <v>408</v>
      </c>
      <c r="B423" s="251"/>
      <c r="C423" s="252"/>
      <c r="D423" s="253"/>
      <c r="E423" s="254"/>
      <c r="F423" s="278"/>
      <c r="G423" s="256"/>
      <c r="H423" s="257"/>
      <c r="I423" s="231" t="str">
        <f t="shared" si="37"/>
        <v/>
      </c>
      <c r="J423" s="258">
        <f t="shared" si="38"/>
        <v>0</v>
      </c>
      <c r="K423" s="313"/>
      <c r="L423" s="300"/>
      <c r="M423" s="300"/>
      <c r="N423" s="235" t="str">
        <f t="shared" si="39"/>
        <v/>
      </c>
      <c r="O423" s="236" t="str">
        <f>IF('Data Set up'!$G$40="JUNE",IF(OR($N423=7,$N423=8,$N423=9),1,IF(OR($N423=10,$N423=11,$N423=12),2,IF(OR($N423=1,$N423=2,$N423=3),3,IF(OR($N423=4,$N423=5,$N423=6),4,"")))),IF(OR($N423=9,$N423=10,$N423=11),1,IF(OR($N423=12,$N423=1,$N423=2),2,IF(OR($N423=3,$N423=4,$N423=5),3,IF(OR($N423=6,$N423=7,$N423=8),4,"")))))</f>
        <v/>
      </c>
      <c r="P423" s="261"/>
      <c r="Q423" s="305"/>
      <c r="R423" s="302"/>
      <c r="S423" s="264">
        <f t="shared" si="40"/>
        <v>0</v>
      </c>
      <c r="T423" s="302"/>
      <c r="U423" s="302"/>
      <c r="V423" s="302"/>
      <c r="W423" s="302"/>
      <c r="X423" s="302"/>
      <c r="Y423" s="302"/>
      <c r="Z423" s="302"/>
      <c r="AA423" s="302"/>
      <c r="AB423" s="303"/>
      <c r="AC423" s="304"/>
      <c r="AD423" s="305"/>
      <c r="AE423" s="302"/>
      <c r="AF423" s="302"/>
      <c r="AG423" s="302"/>
      <c r="AH423" s="302"/>
      <c r="AI423" s="303"/>
      <c r="AJ423" s="303"/>
      <c r="AK423" s="302"/>
      <c r="AL423" s="314"/>
      <c r="AM423" s="305"/>
      <c r="AN423" s="302"/>
      <c r="AO423" s="302"/>
      <c r="AP423" s="302"/>
      <c r="AQ423" s="302"/>
      <c r="AR423" s="302"/>
      <c r="AS423" s="302"/>
      <c r="AT423" s="302"/>
      <c r="AU423" s="304"/>
      <c r="AV423" s="306"/>
      <c r="AW423" s="303"/>
      <c r="AX423" s="303"/>
      <c r="AY423" s="303"/>
      <c r="AZ423" s="303"/>
      <c r="BA423" s="303"/>
      <c r="BB423" s="303"/>
      <c r="BC423" s="303"/>
      <c r="BD423" s="304"/>
      <c r="BE423" s="305"/>
      <c r="BF423" s="302"/>
      <c r="BG423" s="307"/>
      <c r="BH423" s="308"/>
      <c r="BI423" s="302"/>
      <c r="BJ423" s="307"/>
      <c r="BK423" s="308"/>
      <c r="BL423" s="302"/>
      <c r="BM423" s="303"/>
      <c r="BN423" s="315"/>
      <c r="BO423" s="250">
        <f t="shared" si="41"/>
        <v>0</v>
      </c>
    </row>
    <row r="424" spans="1:67" ht="25.5" customHeight="1" x14ac:dyDescent="0.2">
      <c r="A424" s="142">
        <f t="shared" si="42"/>
        <v>409</v>
      </c>
      <c r="B424" s="251"/>
      <c r="C424" s="252"/>
      <c r="D424" s="253"/>
      <c r="E424" s="254"/>
      <c r="F424" s="278"/>
      <c r="G424" s="256"/>
      <c r="H424" s="257"/>
      <c r="I424" s="231" t="str">
        <f t="shared" si="37"/>
        <v/>
      </c>
      <c r="J424" s="258">
        <f t="shared" si="38"/>
        <v>0</v>
      </c>
      <c r="K424" s="313"/>
      <c r="L424" s="300"/>
      <c r="M424" s="300"/>
      <c r="N424" s="235" t="str">
        <f t="shared" si="39"/>
        <v/>
      </c>
      <c r="O424" s="236" t="str">
        <f>IF('Data Set up'!$G$40="JUNE",IF(OR($N424=7,$N424=8,$N424=9),1,IF(OR($N424=10,$N424=11,$N424=12),2,IF(OR($N424=1,$N424=2,$N424=3),3,IF(OR($N424=4,$N424=5,$N424=6),4,"")))),IF(OR($N424=9,$N424=10,$N424=11),1,IF(OR($N424=12,$N424=1,$N424=2),2,IF(OR($N424=3,$N424=4,$N424=5),3,IF(OR($N424=6,$N424=7,$N424=8),4,"")))))</f>
        <v/>
      </c>
      <c r="P424" s="261"/>
      <c r="Q424" s="305"/>
      <c r="R424" s="302"/>
      <c r="S424" s="264">
        <f t="shared" si="40"/>
        <v>0</v>
      </c>
      <c r="T424" s="302"/>
      <c r="U424" s="302"/>
      <c r="V424" s="302"/>
      <c r="W424" s="302"/>
      <c r="X424" s="302"/>
      <c r="Y424" s="302"/>
      <c r="Z424" s="302"/>
      <c r="AA424" s="302"/>
      <c r="AB424" s="303"/>
      <c r="AC424" s="304"/>
      <c r="AD424" s="305"/>
      <c r="AE424" s="302"/>
      <c r="AF424" s="302"/>
      <c r="AG424" s="302"/>
      <c r="AH424" s="302"/>
      <c r="AI424" s="303"/>
      <c r="AJ424" s="303"/>
      <c r="AK424" s="302"/>
      <c r="AL424" s="314"/>
      <c r="AM424" s="305"/>
      <c r="AN424" s="302"/>
      <c r="AO424" s="302"/>
      <c r="AP424" s="302"/>
      <c r="AQ424" s="302"/>
      <c r="AR424" s="302"/>
      <c r="AS424" s="302"/>
      <c r="AT424" s="302"/>
      <c r="AU424" s="304"/>
      <c r="AV424" s="306"/>
      <c r="AW424" s="303"/>
      <c r="AX424" s="303"/>
      <c r="AY424" s="303"/>
      <c r="AZ424" s="303"/>
      <c r="BA424" s="303"/>
      <c r="BB424" s="303"/>
      <c r="BC424" s="303"/>
      <c r="BD424" s="304"/>
      <c r="BE424" s="305"/>
      <c r="BF424" s="302"/>
      <c r="BG424" s="307"/>
      <c r="BH424" s="308"/>
      <c r="BI424" s="302"/>
      <c r="BJ424" s="307"/>
      <c r="BK424" s="308"/>
      <c r="BL424" s="302"/>
      <c r="BM424" s="303"/>
      <c r="BN424" s="315"/>
      <c r="BO424" s="250">
        <f t="shared" si="41"/>
        <v>0</v>
      </c>
    </row>
    <row r="425" spans="1:67" ht="25.5" customHeight="1" x14ac:dyDescent="0.2">
      <c r="A425" s="142">
        <f t="shared" si="42"/>
        <v>410</v>
      </c>
      <c r="B425" s="251"/>
      <c r="C425" s="252"/>
      <c r="D425" s="253"/>
      <c r="E425" s="254"/>
      <c r="F425" s="278"/>
      <c r="G425" s="256"/>
      <c r="H425" s="257"/>
      <c r="I425" s="231" t="str">
        <f t="shared" si="37"/>
        <v/>
      </c>
      <c r="J425" s="258">
        <f t="shared" si="38"/>
        <v>0</v>
      </c>
      <c r="K425" s="313"/>
      <c r="L425" s="300"/>
      <c r="M425" s="300"/>
      <c r="N425" s="235" t="str">
        <f t="shared" si="39"/>
        <v/>
      </c>
      <c r="O425" s="236" t="str">
        <f>IF('Data Set up'!$G$40="JUNE",IF(OR($N425=7,$N425=8,$N425=9),1,IF(OR($N425=10,$N425=11,$N425=12),2,IF(OR($N425=1,$N425=2,$N425=3),3,IF(OR($N425=4,$N425=5,$N425=6),4,"")))),IF(OR($N425=9,$N425=10,$N425=11),1,IF(OR($N425=12,$N425=1,$N425=2),2,IF(OR($N425=3,$N425=4,$N425=5),3,IF(OR($N425=6,$N425=7,$N425=8),4,"")))))</f>
        <v/>
      </c>
      <c r="P425" s="261"/>
      <c r="Q425" s="305"/>
      <c r="R425" s="302"/>
      <c r="S425" s="264">
        <f t="shared" si="40"/>
        <v>0</v>
      </c>
      <c r="T425" s="302"/>
      <c r="U425" s="302"/>
      <c r="V425" s="302"/>
      <c r="W425" s="302"/>
      <c r="X425" s="302"/>
      <c r="Y425" s="302"/>
      <c r="Z425" s="302"/>
      <c r="AA425" s="302"/>
      <c r="AB425" s="303"/>
      <c r="AC425" s="304"/>
      <c r="AD425" s="305"/>
      <c r="AE425" s="302"/>
      <c r="AF425" s="302"/>
      <c r="AG425" s="302"/>
      <c r="AH425" s="302"/>
      <c r="AI425" s="303"/>
      <c r="AJ425" s="303"/>
      <c r="AK425" s="302"/>
      <c r="AL425" s="314"/>
      <c r="AM425" s="305"/>
      <c r="AN425" s="302"/>
      <c r="AO425" s="302"/>
      <c r="AP425" s="302"/>
      <c r="AQ425" s="302"/>
      <c r="AR425" s="302"/>
      <c r="AS425" s="302"/>
      <c r="AT425" s="302"/>
      <c r="AU425" s="304"/>
      <c r="AV425" s="306"/>
      <c r="AW425" s="303"/>
      <c r="AX425" s="303"/>
      <c r="AY425" s="303"/>
      <c r="AZ425" s="303"/>
      <c r="BA425" s="303"/>
      <c r="BB425" s="303"/>
      <c r="BC425" s="303"/>
      <c r="BD425" s="304"/>
      <c r="BE425" s="305"/>
      <c r="BF425" s="302"/>
      <c r="BG425" s="307"/>
      <c r="BH425" s="308"/>
      <c r="BI425" s="302"/>
      <c r="BJ425" s="307"/>
      <c r="BK425" s="308"/>
      <c r="BL425" s="302"/>
      <c r="BM425" s="303"/>
      <c r="BN425" s="315"/>
      <c r="BO425" s="250">
        <f t="shared" si="41"/>
        <v>0</v>
      </c>
    </row>
    <row r="426" spans="1:67" ht="25.5" customHeight="1" x14ac:dyDescent="0.2">
      <c r="A426" s="142">
        <f t="shared" si="42"/>
        <v>411</v>
      </c>
      <c r="B426" s="251"/>
      <c r="C426" s="252"/>
      <c r="D426" s="253"/>
      <c r="E426" s="254"/>
      <c r="F426" s="278"/>
      <c r="G426" s="256"/>
      <c r="H426" s="257"/>
      <c r="I426" s="231" t="str">
        <f t="shared" si="37"/>
        <v/>
      </c>
      <c r="J426" s="258">
        <f t="shared" si="38"/>
        <v>0</v>
      </c>
      <c r="K426" s="313"/>
      <c r="L426" s="300"/>
      <c r="M426" s="300"/>
      <c r="N426" s="235" t="str">
        <f t="shared" si="39"/>
        <v/>
      </c>
      <c r="O426" s="236" t="str">
        <f>IF('Data Set up'!$G$40="JUNE",IF(OR($N426=7,$N426=8,$N426=9),1,IF(OR($N426=10,$N426=11,$N426=12),2,IF(OR($N426=1,$N426=2,$N426=3),3,IF(OR($N426=4,$N426=5,$N426=6),4,"")))),IF(OR($N426=9,$N426=10,$N426=11),1,IF(OR($N426=12,$N426=1,$N426=2),2,IF(OR($N426=3,$N426=4,$N426=5),3,IF(OR($N426=6,$N426=7,$N426=8),4,"")))))</f>
        <v/>
      </c>
      <c r="P426" s="261"/>
      <c r="Q426" s="305"/>
      <c r="R426" s="302"/>
      <c r="S426" s="264">
        <f t="shared" si="40"/>
        <v>0</v>
      </c>
      <c r="T426" s="302"/>
      <c r="U426" s="302"/>
      <c r="V426" s="302"/>
      <c r="W426" s="302"/>
      <c r="X426" s="302"/>
      <c r="Y426" s="302"/>
      <c r="Z426" s="302"/>
      <c r="AA426" s="302"/>
      <c r="AB426" s="303"/>
      <c r="AC426" s="304"/>
      <c r="AD426" s="305"/>
      <c r="AE426" s="302"/>
      <c r="AF426" s="302"/>
      <c r="AG426" s="302"/>
      <c r="AH426" s="302"/>
      <c r="AI426" s="303"/>
      <c r="AJ426" s="303"/>
      <c r="AK426" s="302"/>
      <c r="AL426" s="314"/>
      <c r="AM426" s="305"/>
      <c r="AN426" s="302"/>
      <c r="AO426" s="302"/>
      <c r="AP426" s="302"/>
      <c r="AQ426" s="302"/>
      <c r="AR426" s="302"/>
      <c r="AS426" s="302"/>
      <c r="AT426" s="302"/>
      <c r="AU426" s="304"/>
      <c r="AV426" s="306"/>
      <c r="AW426" s="303"/>
      <c r="AX426" s="303"/>
      <c r="AY426" s="303"/>
      <c r="AZ426" s="303"/>
      <c r="BA426" s="303"/>
      <c r="BB426" s="303"/>
      <c r="BC426" s="303"/>
      <c r="BD426" s="304"/>
      <c r="BE426" s="305"/>
      <c r="BF426" s="302"/>
      <c r="BG426" s="307"/>
      <c r="BH426" s="308"/>
      <c r="BI426" s="302"/>
      <c r="BJ426" s="307"/>
      <c r="BK426" s="308"/>
      <c r="BL426" s="302"/>
      <c r="BM426" s="303"/>
      <c r="BN426" s="315"/>
      <c r="BO426" s="250">
        <f t="shared" si="41"/>
        <v>0</v>
      </c>
    </row>
    <row r="427" spans="1:67" ht="25.5" customHeight="1" x14ac:dyDescent="0.2">
      <c r="A427" s="142">
        <f t="shared" si="42"/>
        <v>412</v>
      </c>
      <c r="B427" s="251"/>
      <c r="C427" s="252"/>
      <c r="D427" s="253"/>
      <c r="E427" s="254"/>
      <c r="F427" s="278"/>
      <c r="G427" s="256"/>
      <c r="H427" s="257"/>
      <c r="I427" s="231" t="str">
        <f t="shared" si="37"/>
        <v/>
      </c>
      <c r="J427" s="258">
        <f t="shared" si="38"/>
        <v>0</v>
      </c>
      <c r="K427" s="313"/>
      <c r="L427" s="300"/>
      <c r="M427" s="300"/>
      <c r="N427" s="235" t="str">
        <f t="shared" si="39"/>
        <v/>
      </c>
      <c r="O427" s="236" t="str">
        <f>IF('Data Set up'!$G$40="JUNE",IF(OR($N427=7,$N427=8,$N427=9),1,IF(OR($N427=10,$N427=11,$N427=12),2,IF(OR($N427=1,$N427=2,$N427=3),3,IF(OR($N427=4,$N427=5,$N427=6),4,"")))),IF(OR($N427=9,$N427=10,$N427=11),1,IF(OR($N427=12,$N427=1,$N427=2),2,IF(OR($N427=3,$N427=4,$N427=5),3,IF(OR($N427=6,$N427=7,$N427=8),4,"")))))</f>
        <v/>
      </c>
      <c r="P427" s="261"/>
      <c r="Q427" s="305"/>
      <c r="R427" s="302"/>
      <c r="S427" s="264">
        <f t="shared" si="40"/>
        <v>0</v>
      </c>
      <c r="T427" s="302"/>
      <c r="U427" s="302"/>
      <c r="V427" s="302"/>
      <c r="W427" s="302"/>
      <c r="X427" s="302"/>
      <c r="Y427" s="302"/>
      <c r="Z427" s="302"/>
      <c r="AA427" s="302"/>
      <c r="AB427" s="303"/>
      <c r="AC427" s="304"/>
      <c r="AD427" s="305"/>
      <c r="AE427" s="302"/>
      <c r="AF427" s="302"/>
      <c r="AG427" s="302"/>
      <c r="AH427" s="302"/>
      <c r="AI427" s="303"/>
      <c r="AJ427" s="303"/>
      <c r="AK427" s="302"/>
      <c r="AL427" s="314"/>
      <c r="AM427" s="305"/>
      <c r="AN427" s="302"/>
      <c r="AO427" s="302"/>
      <c r="AP427" s="302"/>
      <c r="AQ427" s="302"/>
      <c r="AR427" s="302"/>
      <c r="AS427" s="302"/>
      <c r="AT427" s="302"/>
      <c r="AU427" s="304"/>
      <c r="AV427" s="306"/>
      <c r="AW427" s="303"/>
      <c r="AX427" s="303"/>
      <c r="AY427" s="303"/>
      <c r="AZ427" s="303"/>
      <c r="BA427" s="303"/>
      <c r="BB427" s="303"/>
      <c r="BC427" s="303"/>
      <c r="BD427" s="304"/>
      <c r="BE427" s="305"/>
      <c r="BF427" s="302"/>
      <c r="BG427" s="307"/>
      <c r="BH427" s="308"/>
      <c r="BI427" s="302"/>
      <c r="BJ427" s="307"/>
      <c r="BK427" s="308"/>
      <c r="BL427" s="302"/>
      <c r="BM427" s="303"/>
      <c r="BN427" s="315"/>
      <c r="BO427" s="250">
        <f t="shared" si="41"/>
        <v>0</v>
      </c>
    </row>
    <row r="428" spans="1:67" ht="25.5" customHeight="1" x14ac:dyDescent="0.2">
      <c r="A428" s="142">
        <f t="shared" si="42"/>
        <v>413</v>
      </c>
      <c r="B428" s="251"/>
      <c r="C428" s="252"/>
      <c r="D428" s="253"/>
      <c r="E428" s="254"/>
      <c r="F428" s="278"/>
      <c r="G428" s="256"/>
      <c r="H428" s="257"/>
      <c r="I428" s="231" t="str">
        <f t="shared" si="37"/>
        <v/>
      </c>
      <c r="J428" s="258">
        <f t="shared" si="38"/>
        <v>0</v>
      </c>
      <c r="K428" s="313"/>
      <c r="L428" s="300"/>
      <c r="M428" s="300"/>
      <c r="N428" s="235" t="str">
        <f t="shared" si="39"/>
        <v/>
      </c>
      <c r="O428" s="236" t="str">
        <f>IF('Data Set up'!$G$40="JUNE",IF(OR($N428=7,$N428=8,$N428=9),1,IF(OR($N428=10,$N428=11,$N428=12),2,IF(OR($N428=1,$N428=2,$N428=3),3,IF(OR($N428=4,$N428=5,$N428=6),4,"")))),IF(OR($N428=9,$N428=10,$N428=11),1,IF(OR($N428=12,$N428=1,$N428=2),2,IF(OR($N428=3,$N428=4,$N428=5),3,IF(OR($N428=6,$N428=7,$N428=8),4,"")))))</f>
        <v/>
      </c>
      <c r="P428" s="261"/>
      <c r="Q428" s="305"/>
      <c r="R428" s="302"/>
      <c r="S428" s="264">
        <f t="shared" si="40"/>
        <v>0</v>
      </c>
      <c r="T428" s="302"/>
      <c r="U428" s="302"/>
      <c r="V428" s="302"/>
      <c r="W428" s="302"/>
      <c r="X428" s="302"/>
      <c r="Y428" s="302"/>
      <c r="Z428" s="302"/>
      <c r="AA428" s="302"/>
      <c r="AB428" s="303"/>
      <c r="AC428" s="304"/>
      <c r="AD428" s="305"/>
      <c r="AE428" s="302"/>
      <c r="AF428" s="302"/>
      <c r="AG428" s="302"/>
      <c r="AH428" s="302"/>
      <c r="AI428" s="303"/>
      <c r="AJ428" s="303"/>
      <c r="AK428" s="302"/>
      <c r="AL428" s="314"/>
      <c r="AM428" s="305"/>
      <c r="AN428" s="302"/>
      <c r="AO428" s="302"/>
      <c r="AP428" s="302"/>
      <c r="AQ428" s="302"/>
      <c r="AR428" s="302"/>
      <c r="AS428" s="302"/>
      <c r="AT428" s="302"/>
      <c r="AU428" s="304"/>
      <c r="AV428" s="306"/>
      <c r="AW428" s="303"/>
      <c r="AX428" s="303"/>
      <c r="AY428" s="303"/>
      <c r="AZ428" s="303"/>
      <c r="BA428" s="303"/>
      <c r="BB428" s="303"/>
      <c r="BC428" s="303"/>
      <c r="BD428" s="304"/>
      <c r="BE428" s="305"/>
      <c r="BF428" s="302"/>
      <c r="BG428" s="307"/>
      <c r="BH428" s="308"/>
      <c r="BI428" s="302"/>
      <c r="BJ428" s="307"/>
      <c r="BK428" s="308"/>
      <c r="BL428" s="302"/>
      <c r="BM428" s="303"/>
      <c r="BN428" s="315"/>
      <c r="BO428" s="250">
        <f t="shared" si="41"/>
        <v>0</v>
      </c>
    </row>
    <row r="429" spans="1:67" ht="25.5" customHeight="1" x14ac:dyDescent="0.2">
      <c r="A429" s="142">
        <f t="shared" si="42"/>
        <v>414</v>
      </c>
      <c r="B429" s="251"/>
      <c r="C429" s="252"/>
      <c r="D429" s="253"/>
      <c r="E429" s="254"/>
      <c r="F429" s="278"/>
      <c r="G429" s="256"/>
      <c r="H429" s="257"/>
      <c r="I429" s="231" t="str">
        <f t="shared" si="37"/>
        <v/>
      </c>
      <c r="J429" s="258">
        <f t="shared" si="38"/>
        <v>0</v>
      </c>
      <c r="K429" s="313"/>
      <c r="L429" s="300"/>
      <c r="M429" s="300"/>
      <c r="N429" s="235" t="str">
        <f t="shared" si="39"/>
        <v/>
      </c>
      <c r="O429" s="236" t="str">
        <f>IF('Data Set up'!$G$40="JUNE",IF(OR($N429=7,$N429=8,$N429=9),1,IF(OR($N429=10,$N429=11,$N429=12),2,IF(OR($N429=1,$N429=2,$N429=3),3,IF(OR($N429=4,$N429=5,$N429=6),4,"")))),IF(OR($N429=9,$N429=10,$N429=11),1,IF(OR($N429=12,$N429=1,$N429=2),2,IF(OR($N429=3,$N429=4,$N429=5),3,IF(OR($N429=6,$N429=7,$N429=8),4,"")))))</f>
        <v/>
      </c>
      <c r="P429" s="261"/>
      <c r="Q429" s="305"/>
      <c r="R429" s="302"/>
      <c r="S429" s="264">
        <f t="shared" si="40"/>
        <v>0</v>
      </c>
      <c r="T429" s="302"/>
      <c r="U429" s="302"/>
      <c r="V429" s="302"/>
      <c r="W429" s="302"/>
      <c r="X429" s="302"/>
      <c r="Y429" s="302"/>
      <c r="Z429" s="302"/>
      <c r="AA429" s="302"/>
      <c r="AB429" s="303"/>
      <c r="AC429" s="304"/>
      <c r="AD429" s="305"/>
      <c r="AE429" s="302"/>
      <c r="AF429" s="302"/>
      <c r="AG429" s="302"/>
      <c r="AH429" s="302"/>
      <c r="AI429" s="303"/>
      <c r="AJ429" s="303"/>
      <c r="AK429" s="302"/>
      <c r="AL429" s="314"/>
      <c r="AM429" s="305"/>
      <c r="AN429" s="302"/>
      <c r="AO429" s="302"/>
      <c r="AP429" s="302"/>
      <c r="AQ429" s="302"/>
      <c r="AR429" s="302"/>
      <c r="AS429" s="302"/>
      <c r="AT429" s="302"/>
      <c r="AU429" s="304"/>
      <c r="AV429" s="306"/>
      <c r="AW429" s="303"/>
      <c r="AX429" s="303"/>
      <c r="AY429" s="303"/>
      <c r="AZ429" s="303"/>
      <c r="BA429" s="303"/>
      <c r="BB429" s="303"/>
      <c r="BC429" s="303"/>
      <c r="BD429" s="304"/>
      <c r="BE429" s="305"/>
      <c r="BF429" s="302"/>
      <c r="BG429" s="307"/>
      <c r="BH429" s="308"/>
      <c r="BI429" s="302"/>
      <c r="BJ429" s="307"/>
      <c r="BK429" s="308"/>
      <c r="BL429" s="302"/>
      <c r="BM429" s="303"/>
      <c r="BN429" s="315"/>
      <c r="BO429" s="250">
        <f t="shared" si="41"/>
        <v>0</v>
      </c>
    </row>
    <row r="430" spans="1:67" ht="25.5" customHeight="1" x14ac:dyDescent="0.2">
      <c r="A430" s="142">
        <f t="shared" si="42"/>
        <v>415</v>
      </c>
      <c r="B430" s="251"/>
      <c r="C430" s="252"/>
      <c r="D430" s="253"/>
      <c r="E430" s="254"/>
      <c r="F430" s="278"/>
      <c r="G430" s="256"/>
      <c r="H430" s="257"/>
      <c r="I430" s="231" t="str">
        <f t="shared" si="37"/>
        <v/>
      </c>
      <c r="J430" s="258">
        <f t="shared" si="38"/>
        <v>0</v>
      </c>
      <c r="K430" s="313"/>
      <c r="L430" s="300"/>
      <c r="M430" s="300"/>
      <c r="N430" s="235" t="str">
        <f t="shared" si="39"/>
        <v/>
      </c>
      <c r="O430" s="236" t="str">
        <f>IF('Data Set up'!$G$40="JUNE",IF(OR($N430=7,$N430=8,$N430=9),1,IF(OR($N430=10,$N430=11,$N430=12),2,IF(OR($N430=1,$N430=2,$N430=3),3,IF(OR($N430=4,$N430=5,$N430=6),4,"")))),IF(OR($N430=9,$N430=10,$N430=11),1,IF(OR($N430=12,$N430=1,$N430=2),2,IF(OR($N430=3,$N430=4,$N430=5),3,IF(OR($N430=6,$N430=7,$N430=8),4,"")))))</f>
        <v/>
      </c>
      <c r="P430" s="261"/>
      <c r="Q430" s="305"/>
      <c r="R430" s="302"/>
      <c r="S430" s="264">
        <f t="shared" si="40"/>
        <v>0</v>
      </c>
      <c r="T430" s="302"/>
      <c r="U430" s="302"/>
      <c r="V430" s="302"/>
      <c r="W430" s="302"/>
      <c r="X430" s="302"/>
      <c r="Y430" s="302"/>
      <c r="Z430" s="302"/>
      <c r="AA430" s="302"/>
      <c r="AB430" s="303"/>
      <c r="AC430" s="304"/>
      <c r="AD430" s="305"/>
      <c r="AE430" s="302"/>
      <c r="AF430" s="302"/>
      <c r="AG430" s="302"/>
      <c r="AH430" s="302"/>
      <c r="AI430" s="303"/>
      <c r="AJ430" s="303"/>
      <c r="AK430" s="302"/>
      <c r="AL430" s="314"/>
      <c r="AM430" s="305"/>
      <c r="AN430" s="302"/>
      <c r="AO430" s="302"/>
      <c r="AP430" s="302"/>
      <c r="AQ430" s="302"/>
      <c r="AR430" s="302"/>
      <c r="AS430" s="302"/>
      <c r="AT430" s="302"/>
      <c r="AU430" s="304"/>
      <c r="AV430" s="306"/>
      <c r="AW430" s="303"/>
      <c r="AX430" s="303"/>
      <c r="AY430" s="303"/>
      <c r="AZ430" s="303"/>
      <c r="BA430" s="303"/>
      <c r="BB430" s="303"/>
      <c r="BC430" s="303"/>
      <c r="BD430" s="304"/>
      <c r="BE430" s="305"/>
      <c r="BF430" s="302"/>
      <c r="BG430" s="307"/>
      <c r="BH430" s="308"/>
      <c r="BI430" s="302"/>
      <c r="BJ430" s="307"/>
      <c r="BK430" s="308"/>
      <c r="BL430" s="302"/>
      <c r="BM430" s="303"/>
      <c r="BN430" s="315"/>
      <c r="BO430" s="250">
        <f t="shared" si="41"/>
        <v>0</v>
      </c>
    </row>
    <row r="431" spans="1:67" ht="25.5" customHeight="1" x14ac:dyDescent="0.2">
      <c r="A431" s="142">
        <f t="shared" si="42"/>
        <v>416</v>
      </c>
      <c r="B431" s="251"/>
      <c r="C431" s="252"/>
      <c r="D431" s="253"/>
      <c r="E431" s="254"/>
      <c r="F431" s="278"/>
      <c r="G431" s="256"/>
      <c r="H431" s="257"/>
      <c r="I431" s="231" t="str">
        <f t="shared" si="37"/>
        <v/>
      </c>
      <c r="J431" s="258">
        <f t="shared" si="38"/>
        <v>0</v>
      </c>
      <c r="K431" s="313"/>
      <c r="L431" s="300"/>
      <c r="M431" s="300"/>
      <c r="N431" s="235" t="str">
        <f t="shared" si="39"/>
        <v/>
      </c>
      <c r="O431" s="236" t="str">
        <f>IF('Data Set up'!$G$40="JUNE",IF(OR($N431=7,$N431=8,$N431=9),1,IF(OR($N431=10,$N431=11,$N431=12),2,IF(OR($N431=1,$N431=2,$N431=3),3,IF(OR($N431=4,$N431=5,$N431=6),4,"")))),IF(OR($N431=9,$N431=10,$N431=11),1,IF(OR($N431=12,$N431=1,$N431=2),2,IF(OR($N431=3,$N431=4,$N431=5),3,IF(OR($N431=6,$N431=7,$N431=8),4,"")))))</f>
        <v/>
      </c>
      <c r="P431" s="261"/>
      <c r="Q431" s="305"/>
      <c r="R431" s="302"/>
      <c r="S431" s="264">
        <f t="shared" si="40"/>
        <v>0</v>
      </c>
      <c r="T431" s="302"/>
      <c r="U431" s="302"/>
      <c r="V431" s="302"/>
      <c r="W431" s="302"/>
      <c r="X431" s="302"/>
      <c r="Y431" s="302"/>
      <c r="Z431" s="302"/>
      <c r="AA431" s="302"/>
      <c r="AB431" s="303"/>
      <c r="AC431" s="304"/>
      <c r="AD431" s="305"/>
      <c r="AE431" s="302"/>
      <c r="AF431" s="302"/>
      <c r="AG431" s="302"/>
      <c r="AH431" s="302"/>
      <c r="AI431" s="303"/>
      <c r="AJ431" s="303"/>
      <c r="AK431" s="302"/>
      <c r="AL431" s="314"/>
      <c r="AM431" s="305"/>
      <c r="AN431" s="302"/>
      <c r="AO431" s="302"/>
      <c r="AP431" s="302"/>
      <c r="AQ431" s="302"/>
      <c r="AR431" s="302"/>
      <c r="AS431" s="302"/>
      <c r="AT431" s="302"/>
      <c r="AU431" s="304"/>
      <c r="AV431" s="306"/>
      <c r="AW431" s="303"/>
      <c r="AX431" s="303"/>
      <c r="AY431" s="303"/>
      <c r="AZ431" s="303"/>
      <c r="BA431" s="303"/>
      <c r="BB431" s="303"/>
      <c r="BC431" s="303"/>
      <c r="BD431" s="304"/>
      <c r="BE431" s="305"/>
      <c r="BF431" s="302"/>
      <c r="BG431" s="307"/>
      <c r="BH431" s="308"/>
      <c r="BI431" s="302"/>
      <c r="BJ431" s="307"/>
      <c r="BK431" s="308"/>
      <c r="BL431" s="302"/>
      <c r="BM431" s="303"/>
      <c r="BN431" s="315"/>
      <c r="BO431" s="250">
        <f t="shared" si="41"/>
        <v>0</v>
      </c>
    </row>
    <row r="432" spans="1:67" ht="25.5" customHeight="1" x14ac:dyDescent="0.2">
      <c r="A432" s="142">
        <f t="shared" si="42"/>
        <v>417</v>
      </c>
      <c r="B432" s="251"/>
      <c r="C432" s="252"/>
      <c r="D432" s="253"/>
      <c r="E432" s="254"/>
      <c r="F432" s="278"/>
      <c r="G432" s="256"/>
      <c r="H432" s="257"/>
      <c r="I432" s="231" t="str">
        <f t="shared" si="37"/>
        <v/>
      </c>
      <c r="J432" s="258">
        <f t="shared" si="38"/>
        <v>0</v>
      </c>
      <c r="K432" s="313"/>
      <c r="L432" s="300"/>
      <c r="M432" s="300"/>
      <c r="N432" s="235" t="str">
        <f t="shared" si="39"/>
        <v/>
      </c>
      <c r="O432" s="236" t="str">
        <f>IF('Data Set up'!$G$40="JUNE",IF(OR($N432=7,$N432=8,$N432=9),1,IF(OR($N432=10,$N432=11,$N432=12),2,IF(OR($N432=1,$N432=2,$N432=3),3,IF(OR($N432=4,$N432=5,$N432=6),4,"")))),IF(OR($N432=9,$N432=10,$N432=11),1,IF(OR($N432=12,$N432=1,$N432=2),2,IF(OR($N432=3,$N432=4,$N432=5),3,IF(OR($N432=6,$N432=7,$N432=8),4,"")))))</f>
        <v/>
      </c>
      <c r="P432" s="261"/>
      <c r="Q432" s="305"/>
      <c r="R432" s="302"/>
      <c r="S432" s="264">
        <f t="shared" si="40"/>
        <v>0</v>
      </c>
      <c r="T432" s="302"/>
      <c r="U432" s="302"/>
      <c r="V432" s="302"/>
      <c r="W432" s="302"/>
      <c r="X432" s="302"/>
      <c r="Y432" s="302"/>
      <c r="Z432" s="302"/>
      <c r="AA432" s="302"/>
      <c r="AB432" s="303"/>
      <c r="AC432" s="304"/>
      <c r="AD432" s="305"/>
      <c r="AE432" s="302"/>
      <c r="AF432" s="302"/>
      <c r="AG432" s="302"/>
      <c r="AH432" s="302"/>
      <c r="AI432" s="303"/>
      <c r="AJ432" s="303"/>
      <c r="AK432" s="302"/>
      <c r="AL432" s="314"/>
      <c r="AM432" s="305"/>
      <c r="AN432" s="302"/>
      <c r="AO432" s="302"/>
      <c r="AP432" s="302"/>
      <c r="AQ432" s="302"/>
      <c r="AR432" s="302"/>
      <c r="AS432" s="302"/>
      <c r="AT432" s="302"/>
      <c r="AU432" s="304"/>
      <c r="AV432" s="306"/>
      <c r="AW432" s="303"/>
      <c r="AX432" s="303"/>
      <c r="AY432" s="303"/>
      <c r="AZ432" s="303"/>
      <c r="BA432" s="303"/>
      <c r="BB432" s="303"/>
      <c r="BC432" s="303"/>
      <c r="BD432" s="304"/>
      <c r="BE432" s="305"/>
      <c r="BF432" s="302"/>
      <c r="BG432" s="307"/>
      <c r="BH432" s="308"/>
      <c r="BI432" s="302"/>
      <c r="BJ432" s="307"/>
      <c r="BK432" s="308"/>
      <c r="BL432" s="302"/>
      <c r="BM432" s="303"/>
      <c r="BN432" s="315"/>
      <c r="BO432" s="250">
        <f t="shared" si="41"/>
        <v>0</v>
      </c>
    </row>
    <row r="433" spans="1:67" ht="25.5" customHeight="1" x14ac:dyDescent="0.2">
      <c r="A433" s="142">
        <f t="shared" si="42"/>
        <v>418</v>
      </c>
      <c r="B433" s="251"/>
      <c r="C433" s="252"/>
      <c r="D433" s="253"/>
      <c r="E433" s="254"/>
      <c r="F433" s="278"/>
      <c r="G433" s="256"/>
      <c r="H433" s="257"/>
      <c r="I433" s="231" t="str">
        <f t="shared" si="37"/>
        <v/>
      </c>
      <c r="J433" s="258">
        <f t="shared" si="38"/>
        <v>0</v>
      </c>
      <c r="K433" s="313"/>
      <c r="L433" s="300"/>
      <c r="M433" s="300"/>
      <c r="N433" s="235" t="str">
        <f t="shared" si="39"/>
        <v/>
      </c>
      <c r="O433" s="236" t="str">
        <f>IF('Data Set up'!$G$40="JUNE",IF(OR($N433=7,$N433=8,$N433=9),1,IF(OR($N433=10,$N433=11,$N433=12),2,IF(OR($N433=1,$N433=2,$N433=3),3,IF(OR($N433=4,$N433=5,$N433=6),4,"")))),IF(OR($N433=9,$N433=10,$N433=11),1,IF(OR($N433=12,$N433=1,$N433=2),2,IF(OR($N433=3,$N433=4,$N433=5),3,IF(OR($N433=6,$N433=7,$N433=8),4,"")))))</f>
        <v/>
      </c>
      <c r="P433" s="261"/>
      <c r="Q433" s="305"/>
      <c r="R433" s="302"/>
      <c r="S433" s="264">
        <f t="shared" si="40"/>
        <v>0</v>
      </c>
      <c r="T433" s="302"/>
      <c r="U433" s="302"/>
      <c r="V433" s="302"/>
      <c r="W433" s="302"/>
      <c r="X433" s="302"/>
      <c r="Y433" s="302"/>
      <c r="Z433" s="302"/>
      <c r="AA433" s="302"/>
      <c r="AB433" s="303"/>
      <c r="AC433" s="304"/>
      <c r="AD433" s="305"/>
      <c r="AE433" s="302"/>
      <c r="AF433" s="302"/>
      <c r="AG433" s="302"/>
      <c r="AH433" s="302"/>
      <c r="AI433" s="303"/>
      <c r="AJ433" s="303"/>
      <c r="AK433" s="302"/>
      <c r="AL433" s="314"/>
      <c r="AM433" s="305"/>
      <c r="AN433" s="302"/>
      <c r="AO433" s="302"/>
      <c r="AP433" s="302"/>
      <c r="AQ433" s="302"/>
      <c r="AR433" s="302"/>
      <c r="AS433" s="302"/>
      <c r="AT433" s="302"/>
      <c r="AU433" s="304"/>
      <c r="AV433" s="306"/>
      <c r="AW433" s="303"/>
      <c r="AX433" s="303"/>
      <c r="AY433" s="303"/>
      <c r="AZ433" s="303"/>
      <c r="BA433" s="303"/>
      <c r="BB433" s="303"/>
      <c r="BC433" s="303"/>
      <c r="BD433" s="304"/>
      <c r="BE433" s="305"/>
      <c r="BF433" s="302"/>
      <c r="BG433" s="307"/>
      <c r="BH433" s="308"/>
      <c r="BI433" s="302"/>
      <c r="BJ433" s="307"/>
      <c r="BK433" s="308"/>
      <c r="BL433" s="302"/>
      <c r="BM433" s="303"/>
      <c r="BN433" s="315"/>
      <c r="BO433" s="250">
        <f t="shared" si="41"/>
        <v>0</v>
      </c>
    </row>
    <row r="434" spans="1:67" ht="25.5" customHeight="1" x14ac:dyDescent="0.2">
      <c r="A434" s="142">
        <f t="shared" si="42"/>
        <v>419</v>
      </c>
      <c r="B434" s="251"/>
      <c r="C434" s="252"/>
      <c r="D434" s="253"/>
      <c r="E434" s="254"/>
      <c r="F434" s="278"/>
      <c r="G434" s="256"/>
      <c r="H434" s="257"/>
      <c r="I434" s="231" t="str">
        <f t="shared" si="37"/>
        <v/>
      </c>
      <c r="J434" s="258">
        <f t="shared" si="38"/>
        <v>0</v>
      </c>
      <c r="K434" s="313"/>
      <c r="L434" s="300"/>
      <c r="M434" s="300"/>
      <c r="N434" s="235" t="str">
        <f t="shared" si="39"/>
        <v/>
      </c>
      <c r="O434" s="236" t="str">
        <f>IF('Data Set up'!$G$40="JUNE",IF(OR($N434=7,$N434=8,$N434=9),1,IF(OR($N434=10,$N434=11,$N434=12),2,IF(OR($N434=1,$N434=2,$N434=3),3,IF(OR($N434=4,$N434=5,$N434=6),4,"")))),IF(OR($N434=9,$N434=10,$N434=11),1,IF(OR($N434=12,$N434=1,$N434=2),2,IF(OR($N434=3,$N434=4,$N434=5),3,IF(OR($N434=6,$N434=7,$N434=8),4,"")))))</f>
        <v/>
      </c>
      <c r="P434" s="261"/>
      <c r="Q434" s="305"/>
      <c r="R434" s="302"/>
      <c r="S434" s="264">
        <f t="shared" si="40"/>
        <v>0</v>
      </c>
      <c r="T434" s="302"/>
      <c r="U434" s="302"/>
      <c r="V434" s="302"/>
      <c r="W434" s="302"/>
      <c r="X434" s="302"/>
      <c r="Y434" s="302"/>
      <c r="Z434" s="302"/>
      <c r="AA434" s="302"/>
      <c r="AB434" s="303"/>
      <c r="AC434" s="304"/>
      <c r="AD434" s="305"/>
      <c r="AE434" s="302"/>
      <c r="AF434" s="302"/>
      <c r="AG434" s="302"/>
      <c r="AH434" s="302"/>
      <c r="AI434" s="303"/>
      <c r="AJ434" s="303"/>
      <c r="AK434" s="302"/>
      <c r="AL434" s="314"/>
      <c r="AM434" s="305"/>
      <c r="AN434" s="302"/>
      <c r="AO434" s="302"/>
      <c r="AP434" s="302"/>
      <c r="AQ434" s="302"/>
      <c r="AR434" s="302"/>
      <c r="AS434" s="302"/>
      <c r="AT434" s="302"/>
      <c r="AU434" s="304"/>
      <c r="AV434" s="306"/>
      <c r="AW434" s="303"/>
      <c r="AX434" s="303"/>
      <c r="AY434" s="303"/>
      <c r="AZ434" s="303"/>
      <c r="BA434" s="303"/>
      <c r="BB434" s="303"/>
      <c r="BC434" s="303"/>
      <c r="BD434" s="304"/>
      <c r="BE434" s="305"/>
      <c r="BF434" s="302"/>
      <c r="BG434" s="307"/>
      <c r="BH434" s="308"/>
      <c r="BI434" s="302"/>
      <c r="BJ434" s="307"/>
      <c r="BK434" s="308"/>
      <c r="BL434" s="302"/>
      <c r="BM434" s="303"/>
      <c r="BN434" s="315"/>
      <c r="BO434" s="250">
        <f t="shared" si="41"/>
        <v>0</v>
      </c>
    </row>
    <row r="435" spans="1:67" ht="25.5" customHeight="1" x14ac:dyDescent="0.2">
      <c r="A435" s="142">
        <f t="shared" si="42"/>
        <v>420</v>
      </c>
      <c r="B435" s="251"/>
      <c r="C435" s="252"/>
      <c r="D435" s="253"/>
      <c r="E435" s="254"/>
      <c r="F435" s="278"/>
      <c r="G435" s="256"/>
      <c r="H435" s="257"/>
      <c r="I435" s="231" t="str">
        <f t="shared" si="37"/>
        <v/>
      </c>
      <c r="J435" s="258">
        <f t="shared" si="38"/>
        <v>0</v>
      </c>
      <c r="K435" s="313"/>
      <c r="L435" s="300"/>
      <c r="M435" s="300"/>
      <c r="N435" s="235" t="str">
        <f t="shared" si="39"/>
        <v/>
      </c>
      <c r="O435" s="236" t="str">
        <f>IF('Data Set up'!$G$40="JUNE",IF(OR($N435=7,$N435=8,$N435=9),1,IF(OR($N435=10,$N435=11,$N435=12),2,IF(OR($N435=1,$N435=2,$N435=3),3,IF(OR($N435=4,$N435=5,$N435=6),4,"")))),IF(OR($N435=9,$N435=10,$N435=11),1,IF(OR($N435=12,$N435=1,$N435=2),2,IF(OR($N435=3,$N435=4,$N435=5),3,IF(OR($N435=6,$N435=7,$N435=8),4,"")))))</f>
        <v/>
      </c>
      <c r="P435" s="261"/>
      <c r="Q435" s="305"/>
      <c r="R435" s="302"/>
      <c r="S435" s="264">
        <f t="shared" si="40"/>
        <v>0</v>
      </c>
      <c r="T435" s="302"/>
      <c r="U435" s="302"/>
      <c r="V435" s="302"/>
      <c r="W435" s="302"/>
      <c r="X435" s="302"/>
      <c r="Y435" s="302"/>
      <c r="Z435" s="302"/>
      <c r="AA435" s="302"/>
      <c r="AB435" s="303"/>
      <c r="AC435" s="304"/>
      <c r="AD435" s="305"/>
      <c r="AE435" s="302"/>
      <c r="AF435" s="302"/>
      <c r="AG435" s="302"/>
      <c r="AH435" s="302"/>
      <c r="AI435" s="303"/>
      <c r="AJ435" s="303"/>
      <c r="AK435" s="302"/>
      <c r="AL435" s="314"/>
      <c r="AM435" s="305"/>
      <c r="AN435" s="302"/>
      <c r="AO435" s="302"/>
      <c r="AP435" s="302"/>
      <c r="AQ435" s="302"/>
      <c r="AR435" s="302"/>
      <c r="AS435" s="302"/>
      <c r="AT435" s="302"/>
      <c r="AU435" s="304"/>
      <c r="AV435" s="306"/>
      <c r="AW435" s="303"/>
      <c r="AX435" s="303"/>
      <c r="AY435" s="303"/>
      <c r="AZ435" s="303"/>
      <c r="BA435" s="303"/>
      <c r="BB435" s="303"/>
      <c r="BC435" s="303"/>
      <c r="BD435" s="304"/>
      <c r="BE435" s="305"/>
      <c r="BF435" s="302"/>
      <c r="BG435" s="307"/>
      <c r="BH435" s="308"/>
      <c r="BI435" s="302"/>
      <c r="BJ435" s="307"/>
      <c r="BK435" s="308"/>
      <c r="BL435" s="302"/>
      <c r="BM435" s="303"/>
      <c r="BN435" s="315"/>
      <c r="BO435" s="250">
        <f t="shared" si="41"/>
        <v>0</v>
      </c>
    </row>
    <row r="436" spans="1:67" ht="25.5" customHeight="1" x14ac:dyDescent="0.2">
      <c r="A436" s="142">
        <f t="shared" si="42"/>
        <v>421</v>
      </c>
      <c r="B436" s="251"/>
      <c r="C436" s="252"/>
      <c r="D436" s="253"/>
      <c r="E436" s="254"/>
      <c r="F436" s="278"/>
      <c r="G436" s="256"/>
      <c r="H436" s="257"/>
      <c r="I436" s="231" t="str">
        <f t="shared" si="37"/>
        <v/>
      </c>
      <c r="J436" s="258">
        <f t="shared" si="38"/>
        <v>0</v>
      </c>
      <c r="K436" s="313"/>
      <c r="L436" s="300"/>
      <c r="M436" s="300"/>
      <c r="N436" s="235" t="str">
        <f t="shared" si="39"/>
        <v/>
      </c>
      <c r="O436" s="236" t="str">
        <f>IF('Data Set up'!$G$40="JUNE",IF(OR($N436=7,$N436=8,$N436=9),1,IF(OR($N436=10,$N436=11,$N436=12),2,IF(OR($N436=1,$N436=2,$N436=3),3,IF(OR($N436=4,$N436=5,$N436=6),4,"")))),IF(OR($N436=9,$N436=10,$N436=11),1,IF(OR($N436=12,$N436=1,$N436=2),2,IF(OR($N436=3,$N436=4,$N436=5),3,IF(OR($N436=6,$N436=7,$N436=8),4,"")))))</f>
        <v/>
      </c>
      <c r="P436" s="261"/>
      <c r="Q436" s="305"/>
      <c r="R436" s="302"/>
      <c r="S436" s="264">
        <f t="shared" si="40"/>
        <v>0</v>
      </c>
      <c r="T436" s="302"/>
      <c r="U436" s="302"/>
      <c r="V436" s="302"/>
      <c r="W436" s="302"/>
      <c r="X436" s="302"/>
      <c r="Y436" s="302"/>
      <c r="Z436" s="302"/>
      <c r="AA436" s="302"/>
      <c r="AB436" s="303"/>
      <c r="AC436" s="304"/>
      <c r="AD436" s="305"/>
      <c r="AE436" s="302"/>
      <c r="AF436" s="302"/>
      <c r="AG436" s="302"/>
      <c r="AH436" s="302"/>
      <c r="AI436" s="303"/>
      <c r="AJ436" s="303"/>
      <c r="AK436" s="302"/>
      <c r="AL436" s="314"/>
      <c r="AM436" s="305"/>
      <c r="AN436" s="302"/>
      <c r="AO436" s="302"/>
      <c r="AP436" s="302"/>
      <c r="AQ436" s="302"/>
      <c r="AR436" s="302"/>
      <c r="AS436" s="302"/>
      <c r="AT436" s="302"/>
      <c r="AU436" s="304"/>
      <c r="AV436" s="306"/>
      <c r="AW436" s="303"/>
      <c r="AX436" s="303"/>
      <c r="AY436" s="303"/>
      <c r="AZ436" s="303"/>
      <c r="BA436" s="303"/>
      <c r="BB436" s="303"/>
      <c r="BC436" s="303"/>
      <c r="BD436" s="304"/>
      <c r="BE436" s="305"/>
      <c r="BF436" s="302"/>
      <c r="BG436" s="307"/>
      <c r="BH436" s="308"/>
      <c r="BI436" s="302"/>
      <c r="BJ436" s="307"/>
      <c r="BK436" s="308"/>
      <c r="BL436" s="302"/>
      <c r="BM436" s="303"/>
      <c r="BN436" s="315"/>
      <c r="BO436" s="250">
        <f t="shared" si="41"/>
        <v>0</v>
      </c>
    </row>
    <row r="437" spans="1:67" ht="25.5" customHeight="1" x14ac:dyDescent="0.2">
      <c r="A437" s="142">
        <f t="shared" si="42"/>
        <v>422</v>
      </c>
      <c r="B437" s="251"/>
      <c r="C437" s="252"/>
      <c r="D437" s="253"/>
      <c r="E437" s="254"/>
      <c r="F437" s="278"/>
      <c r="G437" s="256"/>
      <c r="H437" s="257"/>
      <c r="I437" s="231" t="str">
        <f t="shared" si="37"/>
        <v/>
      </c>
      <c r="J437" s="258">
        <f t="shared" si="38"/>
        <v>0</v>
      </c>
      <c r="K437" s="313"/>
      <c r="L437" s="300"/>
      <c r="M437" s="300"/>
      <c r="N437" s="235" t="str">
        <f t="shared" si="39"/>
        <v/>
      </c>
      <c r="O437" s="236" t="str">
        <f>IF('Data Set up'!$G$40="JUNE",IF(OR($N437=7,$N437=8,$N437=9),1,IF(OR($N437=10,$N437=11,$N437=12),2,IF(OR($N437=1,$N437=2,$N437=3),3,IF(OR($N437=4,$N437=5,$N437=6),4,"")))),IF(OR($N437=9,$N437=10,$N437=11),1,IF(OR($N437=12,$N437=1,$N437=2),2,IF(OR($N437=3,$N437=4,$N437=5),3,IF(OR($N437=6,$N437=7,$N437=8),4,"")))))</f>
        <v/>
      </c>
      <c r="P437" s="261"/>
      <c r="Q437" s="305"/>
      <c r="R437" s="302"/>
      <c r="S437" s="264">
        <f t="shared" si="40"/>
        <v>0</v>
      </c>
      <c r="T437" s="302"/>
      <c r="U437" s="302"/>
      <c r="V437" s="302"/>
      <c r="W437" s="302"/>
      <c r="X437" s="302"/>
      <c r="Y437" s="302"/>
      <c r="Z437" s="302"/>
      <c r="AA437" s="302"/>
      <c r="AB437" s="303"/>
      <c r="AC437" s="304"/>
      <c r="AD437" s="305"/>
      <c r="AE437" s="302"/>
      <c r="AF437" s="302"/>
      <c r="AG437" s="302"/>
      <c r="AH437" s="302"/>
      <c r="AI437" s="303"/>
      <c r="AJ437" s="303"/>
      <c r="AK437" s="302"/>
      <c r="AL437" s="314"/>
      <c r="AM437" s="305"/>
      <c r="AN437" s="302"/>
      <c r="AO437" s="302"/>
      <c r="AP437" s="302"/>
      <c r="AQ437" s="302"/>
      <c r="AR437" s="302"/>
      <c r="AS437" s="302"/>
      <c r="AT437" s="302"/>
      <c r="AU437" s="304"/>
      <c r="AV437" s="306"/>
      <c r="AW437" s="303"/>
      <c r="AX437" s="303"/>
      <c r="AY437" s="303"/>
      <c r="AZ437" s="303"/>
      <c r="BA437" s="303"/>
      <c r="BB437" s="303"/>
      <c r="BC437" s="303"/>
      <c r="BD437" s="304"/>
      <c r="BE437" s="305"/>
      <c r="BF437" s="302"/>
      <c r="BG437" s="307"/>
      <c r="BH437" s="308"/>
      <c r="BI437" s="302"/>
      <c r="BJ437" s="307"/>
      <c r="BK437" s="308"/>
      <c r="BL437" s="302"/>
      <c r="BM437" s="303"/>
      <c r="BN437" s="315"/>
      <c r="BO437" s="250">
        <f t="shared" si="41"/>
        <v>0</v>
      </c>
    </row>
    <row r="438" spans="1:67" ht="25.5" customHeight="1" x14ac:dyDescent="0.2">
      <c r="A438" s="142">
        <f t="shared" si="42"/>
        <v>423</v>
      </c>
      <c r="B438" s="251"/>
      <c r="C438" s="252"/>
      <c r="D438" s="253"/>
      <c r="E438" s="254"/>
      <c r="F438" s="278"/>
      <c r="G438" s="256"/>
      <c r="H438" s="257"/>
      <c r="I438" s="231" t="str">
        <f t="shared" si="37"/>
        <v/>
      </c>
      <c r="J438" s="258">
        <f t="shared" si="38"/>
        <v>0</v>
      </c>
      <c r="K438" s="313"/>
      <c r="L438" s="300"/>
      <c r="M438" s="300"/>
      <c r="N438" s="235" t="str">
        <f t="shared" si="39"/>
        <v/>
      </c>
      <c r="O438" s="236" t="str">
        <f>IF('Data Set up'!$G$40="JUNE",IF(OR($N438=7,$N438=8,$N438=9),1,IF(OR($N438=10,$N438=11,$N438=12),2,IF(OR($N438=1,$N438=2,$N438=3),3,IF(OR($N438=4,$N438=5,$N438=6),4,"")))),IF(OR($N438=9,$N438=10,$N438=11),1,IF(OR($N438=12,$N438=1,$N438=2),2,IF(OR($N438=3,$N438=4,$N438=5),3,IF(OR($N438=6,$N438=7,$N438=8),4,"")))))</f>
        <v/>
      </c>
      <c r="P438" s="261"/>
      <c r="Q438" s="305"/>
      <c r="R438" s="302"/>
      <c r="S438" s="264">
        <f t="shared" si="40"/>
        <v>0</v>
      </c>
      <c r="T438" s="302"/>
      <c r="U438" s="302"/>
      <c r="V438" s="302"/>
      <c r="W438" s="302"/>
      <c r="X438" s="302"/>
      <c r="Y438" s="302"/>
      <c r="Z438" s="302"/>
      <c r="AA438" s="302"/>
      <c r="AB438" s="303"/>
      <c r="AC438" s="304"/>
      <c r="AD438" s="305"/>
      <c r="AE438" s="302"/>
      <c r="AF438" s="302"/>
      <c r="AG438" s="302"/>
      <c r="AH438" s="302"/>
      <c r="AI438" s="303"/>
      <c r="AJ438" s="303"/>
      <c r="AK438" s="302"/>
      <c r="AL438" s="314"/>
      <c r="AM438" s="305"/>
      <c r="AN438" s="302"/>
      <c r="AO438" s="302"/>
      <c r="AP438" s="302"/>
      <c r="AQ438" s="302"/>
      <c r="AR438" s="302"/>
      <c r="AS438" s="302"/>
      <c r="AT438" s="302"/>
      <c r="AU438" s="304"/>
      <c r="AV438" s="306"/>
      <c r="AW438" s="303"/>
      <c r="AX438" s="303"/>
      <c r="AY438" s="303"/>
      <c r="AZ438" s="303"/>
      <c r="BA438" s="303"/>
      <c r="BB438" s="303"/>
      <c r="BC438" s="303"/>
      <c r="BD438" s="304"/>
      <c r="BE438" s="305"/>
      <c r="BF438" s="302"/>
      <c r="BG438" s="307"/>
      <c r="BH438" s="308"/>
      <c r="BI438" s="302"/>
      <c r="BJ438" s="307"/>
      <c r="BK438" s="308"/>
      <c r="BL438" s="302"/>
      <c r="BM438" s="303"/>
      <c r="BN438" s="315"/>
      <c r="BO438" s="250">
        <f t="shared" si="41"/>
        <v>0</v>
      </c>
    </row>
    <row r="439" spans="1:67" ht="25.5" customHeight="1" x14ac:dyDescent="0.2">
      <c r="A439" s="142">
        <f t="shared" si="42"/>
        <v>424</v>
      </c>
      <c r="B439" s="251"/>
      <c r="C439" s="252"/>
      <c r="D439" s="253"/>
      <c r="E439" s="254"/>
      <c r="F439" s="278"/>
      <c r="G439" s="256"/>
      <c r="H439" s="257"/>
      <c r="I439" s="231" t="str">
        <f t="shared" si="37"/>
        <v/>
      </c>
      <c r="J439" s="258">
        <f t="shared" si="38"/>
        <v>0</v>
      </c>
      <c r="K439" s="313"/>
      <c r="L439" s="300"/>
      <c r="M439" s="300"/>
      <c r="N439" s="235" t="str">
        <f t="shared" si="39"/>
        <v/>
      </c>
      <c r="O439" s="236" t="str">
        <f>IF('Data Set up'!$G$40="JUNE",IF(OR($N439=7,$N439=8,$N439=9),1,IF(OR($N439=10,$N439=11,$N439=12),2,IF(OR($N439=1,$N439=2,$N439=3),3,IF(OR($N439=4,$N439=5,$N439=6),4,"")))),IF(OR($N439=9,$N439=10,$N439=11),1,IF(OR($N439=12,$N439=1,$N439=2),2,IF(OR($N439=3,$N439=4,$N439=5),3,IF(OR($N439=6,$N439=7,$N439=8),4,"")))))</f>
        <v/>
      </c>
      <c r="P439" s="261"/>
      <c r="Q439" s="305"/>
      <c r="R439" s="302"/>
      <c r="S439" s="264">
        <f t="shared" si="40"/>
        <v>0</v>
      </c>
      <c r="T439" s="302"/>
      <c r="U439" s="302"/>
      <c r="V439" s="302"/>
      <c r="W439" s="302"/>
      <c r="X439" s="302"/>
      <c r="Y439" s="302"/>
      <c r="Z439" s="302"/>
      <c r="AA439" s="302"/>
      <c r="AB439" s="303"/>
      <c r="AC439" s="304"/>
      <c r="AD439" s="305"/>
      <c r="AE439" s="302"/>
      <c r="AF439" s="302"/>
      <c r="AG439" s="302"/>
      <c r="AH439" s="302"/>
      <c r="AI439" s="303"/>
      <c r="AJ439" s="303"/>
      <c r="AK439" s="302"/>
      <c r="AL439" s="314"/>
      <c r="AM439" s="305"/>
      <c r="AN439" s="302"/>
      <c r="AO439" s="302"/>
      <c r="AP439" s="302"/>
      <c r="AQ439" s="302"/>
      <c r="AR439" s="302"/>
      <c r="AS439" s="302"/>
      <c r="AT439" s="302"/>
      <c r="AU439" s="304"/>
      <c r="AV439" s="306"/>
      <c r="AW439" s="303"/>
      <c r="AX439" s="303"/>
      <c r="AY439" s="303"/>
      <c r="AZ439" s="303"/>
      <c r="BA439" s="303"/>
      <c r="BB439" s="303"/>
      <c r="BC439" s="303"/>
      <c r="BD439" s="304"/>
      <c r="BE439" s="305"/>
      <c r="BF439" s="302"/>
      <c r="BG439" s="307"/>
      <c r="BH439" s="308"/>
      <c r="BI439" s="302"/>
      <c r="BJ439" s="307"/>
      <c r="BK439" s="308"/>
      <c r="BL439" s="302"/>
      <c r="BM439" s="303"/>
      <c r="BN439" s="315"/>
      <c r="BO439" s="250">
        <f t="shared" si="41"/>
        <v>0</v>
      </c>
    </row>
    <row r="440" spans="1:67" ht="25.5" customHeight="1" x14ac:dyDescent="0.2">
      <c r="A440" s="142">
        <f t="shared" si="42"/>
        <v>425</v>
      </c>
      <c r="B440" s="251"/>
      <c r="C440" s="252"/>
      <c r="D440" s="253"/>
      <c r="E440" s="254"/>
      <c r="F440" s="278"/>
      <c r="G440" s="256"/>
      <c r="H440" s="257"/>
      <c r="I440" s="231" t="str">
        <f t="shared" si="37"/>
        <v/>
      </c>
      <c r="J440" s="258">
        <f t="shared" si="38"/>
        <v>0</v>
      </c>
      <c r="K440" s="313"/>
      <c r="L440" s="300"/>
      <c r="M440" s="300"/>
      <c r="N440" s="235" t="str">
        <f t="shared" si="39"/>
        <v/>
      </c>
      <c r="O440" s="236" t="str">
        <f>IF('Data Set up'!$G$40="JUNE",IF(OR($N440=7,$N440=8,$N440=9),1,IF(OR($N440=10,$N440=11,$N440=12),2,IF(OR($N440=1,$N440=2,$N440=3),3,IF(OR($N440=4,$N440=5,$N440=6),4,"")))),IF(OR($N440=9,$N440=10,$N440=11),1,IF(OR($N440=12,$N440=1,$N440=2),2,IF(OR($N440=3,$N440=4,$N440=5),3,IF(OR($N440=6,$N440=7,$N440=8),4,"")))))</f>
        <v/>
      </c>
      <c r="P440" s="261"/>
      <c r="Q440" s="305"/>
      <c r="R440" s="302"/>
      <c r="S440" s="264">
        <f t="shared" si="40"/>
        <v>0</v>
      </c>
      <c r="T440" s="302"/>
      <c r="U440" s="302"/>
      <c r="V440" s="302"/>
      <c r="W440" s="302"/>
      <c r="X440" s="302"/>
      <c r="Y440" s="302"/>
      <c r="Z440" s="302"/>
      <c r="AA440" s="302"/>
      <c r="AB440" s="303"/>
      <c r="AC440" s="304"/>
      <c r="AD440" s="305"/>
      <c r="AE440" s="302"/>
      <c r="AF440" s="302"/>
      <c r="AG440" s="302"/>
      <c r="AH440" s="302"/>
      <c r="AI440" s="303"/>
      <c r="AJ440" s="303"/>
      <c r="AK440" s="302"/>
      <c r="AL440" s="314"/>
      <c r="AM440" s="305"/>
      <c r="AN440" s="302"/>
      <c r="AO440" s="302"/>
      <c r="AP440" s="302"/>
      <c r="AQ440" s="302"/>
      <c r="AR440" s="302"/>
      <c r="AS440" s="302"/>
      <c r="AT440" s="302"/>
      <c r="AU440" s="304"/>
      <c r="AV440" s="306"/>
      <c r="AW440" s="303"/>
      <c r="AX440" s="303"/>
      <c r="AY440" s="303"/>
      <c r="AZ440" s="303"/>
      <c r="BA440" s="303"/>
      <c r="BB440" s="303"/>
      <c r="BC440" s="303"/>
      <c r="BD440" s="304"/>
      <c r="BE440" s="305"/>
      <c r="BF440" s="302"/>
      <c r="BG440" s="307"/>
      <c r="BH440" s="308"/>
      <c r="BI440" s="302"/>
      <c r="BJ440" s="307"/>
      <c r="BK440" s="308"/>
      <c r="BL440" s="302"/>
      <c r="BM440" s="303"/>
      <c r="BN440" s="315"/>
      <c r="BO440" s="250">
        <f t="shared" si="41"/>
        <v>0</v>
      </c>
    </row>
    <row r="441" spans="1:67" ht="25.5" customHeight="1" x14ac:dyDescent="0.2">
      <c r="A441" s="142">
        <f t="shared" si="42"/>
        <v>426</v>
      </c>
      <c r="B441" s="251"/>
      <c r="C441" s="252"/>
      <c r="D441" s="253"/>
      <c r="E441" s="254"/>
      <c r="F441" s="278"/>
      <c r="G441" s="256"/>
      <c r="H441" s="257"/>
      <c r="I441" s="231" t="str">
        <f t="shared" si="37"/>
        <v/>
      </c>
      <c r="J441" s="258">
        <f t="shared" si="38"/>
        <v>0</v>
      </c>
      <c r="K441" s="313"/>
      <c r="L441" s="300"/>
      <c r="M441" s="300"/>
      <c r="N441" s="235" t="str">
        <f t="shared" si="39"/>
        <v/>
      </c>
      <c r="O441" s="236" t="str">
        <f>IF('Data Set up'!$G$40="JUNE",IF(OR($N441=7,$N441=8,$N441=9),1,IF(OR($N441=10,$N441=11,$N441=12),2,IF(OR($N441=1,$N441=2,$N441=3),3,IF(OR($N441=4,$N441=5,$N441=6),4,"")))),IF(OR($N441=9,$N441=10,$N441=11),1,IF(OR($N441=12,$N441=1,$N441=2),2,IF(OR($N441=3,$N441=4,$N441=5),3,IF(OR($N441=6,$N441=7,$N441=8),4,"")))))</f>
        <v/>
      </c>
      <c r="P441" s="261"/>
      <c r="Q441" s="305"/>
      <c r="R441" s="302"/>
      <c r="S441" s="264">
        <f t="shared" si="40"/>
        <v>0</v>
      </c>
      <c r="T441" s="302"/>
      <c r="U441" s="302"/>
      <c r="V441" s="302"/>
      <c r="W441" s="302"/>
      <c r="X441" s="302"/>
      <c r="Y441" s="302"/>
      <c r="Z441" s="302"/>
      <c r="AA441" s="302"/>
      <c r="AB441" s="303"/>
      <c r="AC441" s="304"/>
      <c r="AD441" s="305"/>
      <c r="AE441" s="302"/>
      <c r="AF441" s="302"/>
      <c r="AG441" s="302"/>
      <c r="AH441" s="302"/>
      <c r="AI441" s="303"/>
      <c r="AJ441" s="303"/>
      <c r="AK441" s="302"/>
      <c r="AL441" s="314"/>
      <c r="AM441" s="305"/>
      <c r="AN441" s="302"/>
      <c r="AO441" s="302"/>
      <c r="AP441" s="302"/>
      <c r="AQ441" s="302"/>
      <c r="AR441" s="302"/>
      <c r="AS441" s="302"/>
      <c r="AT441" s="302"/>
      <c r="AU441" s="304"/>
      <c r="AV441" s="306"/>
      <c r="AW441" s="303"/>
      <c r="AX441" s="303"/>
      <c r="AY441" s="303"/>
      <c r="AZ441" s="303"/>
      <c r="BA441" s="303"/>
      <c r="BB441" s="303"/>
      <c r="BC441" s="303"/>
      <c r="BD441" s="304"/>
      <c r="BE441" s="305"/>
      <c r="BF441" s="302"/>
      <c r="BG441" s="307"/>
      <c r="BH441" s="308"/>
      <c r="BI441" s="302"/>
      <c r="BJ441" s="307"/>
      <c r="BK441" s="308"/>
      <c r="BL441" s="302"/>
      <c r="BM441" s="303"/>
      <c r="BN441" s="315"/>
      <c r="BO441" s="250">
        <f t="shared" si="41"/>
        <v>0</v>
      </c>
    </row>
    <row r="442" spans="1:67" ht="25.5" customHeight="1" x14ac:dyDescent="0.2">
      <c r="A442" s="142">
        <f t="shared" si="42"/>
        <v>427</v>
      </c>
      <c r="B442" s="251"/>
      <c r="C442" s="252"/>
      <c r="D442" s="253"/>
      <c r="E442" s="254"/>
      <c r="F442" s="278"/>
      <c r="G442" s="256"/>
      <c r="H442" s="257"/>
      <c r="I442" s="231" t="str">
        <f t="shared" si="37"/>
        <v/>
      </c>
      <c r="J442" s="258">
        <f t="shared" si="38"/>
        <v>0</v>
      </c>
      <c r="K442" s="313"/>
      <c r="L442" s="300"/>
      <c r="M442" s="300"/>
      <c r="N442" s="235" t="str">
        <f t="shared" si="39"/>
        <v/>
      </c>
      <c r="O442" s="236" t="str">
        <f>IF('Data Set up'!$G$40="JUNE",IF(OR($N442=7,$N442=8,$N442=9),1,IF(OR($N442=10,$N442=11,$N442=12),2,IF(OR($N442=1,$N442=2,$N442=3),3,IF(OR($N442=4,$N442=5,$N442=6),4,"")))),IF(OR($N442=9,$N442=10,$N442=11),1,IF(OR($N442=12,$N442=1,$N442=2),2,IF(OR($N442=3,$N442=4,$N442=5),3,IF(OR($N442=6,$N442=7,$N442=8),4,"")))))</f>
        <v/>
      </c>
      <c r="P442" s="261"/>
      <c r="Q442" s="305"/>
      <c r="R442" s="302"/>
      <c r="S442" s="264">
        <f t="shared" si="40"/>
        <v>0</v>
      </c>
      <c r="T442" s="302"/>
      <c r="U442" s="302"/>
      <c r="V442" s="302"/>
      <c r="W442" s="302"/>
      <c r="X442" s="302"/>
      <c r="Y442" s="302"/>
      <c r="Z442" s="302"/>
      <c r="AA442" s="302"/>
      <c r="AB442" s="303"/>
      <c r="AC442" s="304"/>
      <c r="AD442" s="305"/>
      <c r="AE442" s="302"/>
      <c r="AF442" s="302"/>
      <c r="AG442" s="302"/>
      <c r="AH442" s="302"/>
      <c r="AI442" s="303"/>
      <c r="AJ442" s="303"/>
      <c r="AK442" s="302"/>
      <c r="AL442" s="314"/>
      <c r="AM442" s="305"/>
      <c r="AN442" s="302"/>
      <c r="AO442" s="302"/>
      <c r="AP442" s="302"/>
      <c r="AQ442" s="302"/>
      <c r="AR442" s="302"/>
      <c r="AS442" s="302"/>
      <c r="AT442" s="302"/>
      <c r="AU442" s="304"/>
      <c r="AV442" s="306"/>
      <c r="AW442" s="303"/>
      <c r="AX442" s="303"/>
      <c r="AY442" s="303"/>
      <c r="AZ442" s="303"/>
      <c r="BA442" s="303"/>
      <c r="BB442" s="303"/>
      <c r="BC442" s="303"/>
      <c r="BD442" s="304"/>
      <c r="BE442" s="305"/>
      <c r="BF442" s="302"/>
      <c r="BG442" s="307"/>
      <c r="BH442" s="308"/>
      <c r="BI442" s="302"/>
      <c r="BJ442" s="307"/>
      <c r="BK442" s="308"/>
      <c r="BL442" s="302"/>
      <c r="BM442" s="303"/>
      <c r="BN442" s="315"/>
      <c r="BO442" s="250">
        <f t="shared" si="41"/>
        <v>0</v>
      </c>
    </row>
    <row r="443" spans="1:67" ht="25.5" customHeight="1" x14ac:dyDescent="0.2">
      <c r="A443" s="142">
        <f t="shared" si="42"/>
        <v>428</v>
      </c>
      <c r="B443" s="251"/>
      <c r="C443" s="252"/>
      <c r="D443" s="253"/>
      <c r="E443" s="254"/>
      <c r="F443" s="278"/>
      <c r="G443" s="256"/>
      <c r="H443" s="257"/>
      <c r="I443" s="231" t="str">
        <f t="shared" si="37"/>
        <v/>
      </c>
      <c r="J443" s="258">
        <f t="shared" si="38"/>
        <v>0</v>
      </c>
      <c r="K443" s="313"/>
      <c r="L443" s="300"/>
      <c r="M443" s="300"/>
      <c r="N443" s="235" t="str">
        <f t="shared" si="39"/>
        <v/>
      </c>
      <c r="O443" s="236" t="str">
        <f>IF('Data Set up'!$G$40="JUNE",IF(OR($N443=7,$N443=8,$N443=9),1,IF(OR($N443=10,$N443=11,$N443=12),2,IF(OR($N443=1,$N443=2,$N443=3),3,IF(OR($N443=4,$N443=5,$N443=6),4,"")))),IF(OR($N443=9,$N443=10,$N443=11),1,IF(OR($N443=12,$N443=1,$N443=2),2,IF(OR($N443=3,$N443=4,$N443=5),3,IF(OR($N443=6,$N443=7,$N443=8),4,"")))))</f>
        <v/>
      </c>
      <c r="P443" s="261"/>
      <c r="Q443" s="305"/>
      <c r="R443" s="302"/>
      <c r="S443" s="264">
        <f t="shared" si="40"/>
        <v>0</v>
      </c>
      <c r="T443" s="302"/>
      <c r="U443" s="302"/>
      <c r="V443" s="302"/>
      <c r="W443" s="302"/>
      <c r="X443" s="302"/>
      <c r="Y443" s="302"/>
      <c r="Z443" s="302"/>
      <c r="AA443" s="302"/>
      <c r="AB443" s="303"/>
      <c r="AC443" s="304"/>
      <c r="AD443" s="305"/>
      <c r="AE443" s="302"/>
      <c r="AF443" s="302"/>
      <c r="AG443" s="302"/>
      <c r="AH443" s="302"/>
      <c r="AI443" s="303"/>
      <c r="AJ443" s="303"/>
      <c r="AK443" s="302"/>
      <c r="AL443" s="314"/>
      <c r="AM443" s="305"/>
      <c r="AN443" s="302"/>
      <c r="AO443" s="302"/>
      <c r="AP443" s="302"/>
      <c r="AQ443" s="302"/>
      <c r="AR443" s="302"/>
      <c r="AS443" s="302"/>
      <c r="AT443" s="302"/>
      <c r="AU443" s="304"/>
      <c r="AV443" s="306"/>
      <c r="AW443" s="303"/>
      <c r="AX443" s="303"/>
      <c r="AY443" s="303"/>
      <c r="AZ443" s="303"/>
      <c r="BA443" s="303"/>
      <c r="BB443" s="303"/>
      <c r="BC443" s="303"/>
      <c r="BD443" s="304"/>
      <c r="BE443" s="305"/>
      <c r="BF443" s="302"/>
      <c r="BG443" s="307"/>
      <c r="BH443" s="308"/>
      <c r="BI443" s="302"/>
      <c r="BJ443" s="307"/>
      <c r="BK443" s="308"/>
      <c r="BL443" s="302"/>
      <c r="BM443" s="303"/>
      <c r="BN443" s="315"/>
      <c r="BO443" s="250">
        <f t="shared" si="41"/>
        <v>0</v>
      </c>
    </row>
    <row r="444" spans="1:67" ht="25.5" customHeight="1" x14ac:dyDescent="0.2">
      <c r="A444" s="142">
        <f t="shared" si="42"/>
        <v>429</v>
      </c>
      <c r="B444" s="251"/>
      <c r="C444" s="252"/>
      <c r="D444" s="253"/>
      <c r="E444" s="254"/>
      <c r="F444" s="278"/>
      <c r="G444" s="256"/>
      <c r="H444" s="257"/>
      <c r="I444" s="231" t="str">
        <f t="shared" si="37"/>
        <v/>
      </c>
      <c r="J444" s="258">
        <f t="shared" si="38"/>
        <v>0</v>
      </c>
      <c r="K444" s="313"/>
      <c r="L444" s="300"/>
      <c r="M444" s="300"/>
      <c r="N444" s="235" t="str">
        <f t="shared" si="39"/>
        <v/>
      </c>
      <c r="O444" s="236" t="str">
        <f>IF('Data Set up'!$G$40="JUNE",IF(OR($N444=7,$N444=8,$N444=9),1,IF(OR($N444=10,$N444=11,$N444=12),2,IF(OR($N444=1,$N444=2,$N444=3),3,IF(OR($N444=4,$N444=5,$N444=6),4,"")))),IF(OR($N444=9,$N444=10,$N444=11),1,IF(OR($N444=12,$N444=1,$N444=2),2,IF(OR($N444=3,$N444=4,$N444=5),3,IF(OR($N444=6,$N444=7,$N444=8),4,"")))))</f>
        <v/>
      </c>
      <c r="P444" s="261"/>
      <c r="Q444" s="305"/>
      <c r="R444" s="302"/>
      <c r="S444" s="264">
        <f t="shared" si="40"/>
        <v>0</v>
      </c>
      <c r="T444" s="302"/>
      <c r="U444" s="302"/>
      <c r="V444" s="302"/>
      <c r="W444" s="302"/>
      <c r="X444" s="302"/>
      <c r="Y444" s="302"/>
      <c r="Z444" s="302"/>
      <c r="AA444" s="302"/>
      <c r="AB444" s="303"/>
      <c r="AC444" s="304"/>
      <c r="AD444" s="305"/>
      <c r="AE444" s="302"/>
      <c r="AF444" s="302"/>
      <c r="AG444" s="302"/>
      <c r="AH444" s="302"/>
      <c r="AI444" s="303"/>
      <c r="AJ444" s="303"/>
      <c r="AK444" s="302"/>
      <c r="AL444" s="314"/>
      <c r="AM444" s="305"/>
      <c r="AN444" s="302"/>
      <c r="AO444" s="302"/>
      <c r="AP444" s="302"/>
      <c r="AQ444" s="302"/>
      <c r="AR444" s="302"/>
      <c r="AS444" s="302"/>
      <c r="AT444" s="302"/>
      <c r="AU444" s="304"/>
      <c r="AV444" s="306"/>
      <c r="AW444" s="303"/>
      <c r="AX444" s="303"/>
      <c r="AY444" s="303"/>
      <c r="AZ444" s="303"/>
      <c r="BA444" s="303"/>
      <c r="BB444" s="303"/>
      <c r="BC444" s="303"/>
      <c r="BD444" s="304"/>
      <c r="BE444" s="305"/>
      <c r="BF444" s="302"/>
      <c r="BG444" s="307"/>
      <c r="BH444" s="308"/>
      <c r="BI444" s="302"/>
      <c r="BJ444" s="307"/>
      <c r="BK444" s="308"/>
      <c r="BL444" s="302"/>
      <c r="BM444" s="303"/>
      <c r="BN444" s="315"/>
      <c r="BO444" s="250">
        <f t="shared" si="41"/>
        <v>0</v>
      </c>
    </row>
    <row r="445" spans="1:67" ht="25.5" customHeight="1" x14ac:dyDescent="0.2">
      <c r="A445" s="142">
        <f t="shared" si="42"/>
        <v>430</v>
      </c>
      <c r="B445" s="251"/>
      <c r="C445" s="252"/>
      <c r="D445" s="253"/>
      <c r="E445" s="254"/>
      <c r="F445" s="278"/>
      <c r="G445" s="256"/>
      <c r="H445" s="257"/>
      <c r="I445" s="231" t="str">
        <f t="shared" si="37"/>
        <v/>
      </c>
      <c r="J445" s="258">
        <f t="shared" si="38"/>
        <v>0</v>
      </c>
      <c r="K445" s="313"/>
      <c r="L445" s="300"/>
      <c r="M445" s="300"/>
      <c r="N445" s="235" t="str">
        <f t="shared" si="39"/>
        <v/>
      </c>
      <c r="O445" s="236" t="str">
        <f>IF('Data Set up'!$G$40="JUNE",IF(OR($N445=7,$N445=8,$N445=9),1,IF(OR($N445=10,$N445=11,$N445=12),2,IF(OR($N445=1,$N445=2,$N445=3),3,IF(OR($N445=4,$N445=5,$N445=6),4,"")))),IF(OR($N445=9,$N445=10,$N445=11),1,IF(OR($N445=12,$N445=1,$N445=2),2,IF(OR($N445=3,$N445=4,$N445=5),3,IF(OR($N445=6,$N445=7,$N445=8),4,"")))))</f>
        <v/>
      </c>
      <c r="P445" s="261"/>
      <c r="Q445" s="305"/>
      <c r="R445" s="302"/>
      <c r="S445" s="264">
        <f t="shared" si="40"/>
        <v>0</v>
      </c>
      <c r="T445" s="302"/>
      <c r="U445" s="302"/>
      <c r="V445" s="302"/>
      <c r="W445" s="302"/>
      <c r="X445" s="302"/>
      <c r="Y445" s="302"/>
      <c r="Z445" s="302"/>
      <c r="AA445" s="302"/>
      <c r="AB445" s="303"/>
      <c r="AC445" s="304"/>
      <c r="AD445" s="305"/>
      <c r="AE445" s="302"/>
      <c r="AF445" s="302"/>
      <c r="AG445" s="302"/>
      <c r="AH445" s="302"/>
      <c r="AI445" s="303"/>
      <c r="AJ445" s="303"/>
      <c r="AK445" s="302"/>
      <c r="AL445" s="314"/>
      <c r="AM445" s="305"/>
      <c r="AN445" s="302"/>
      <c r="AO445" s="302"/>
      <c r="AP445" s="302"/>
      <c r="AQ445" s="302"/>
      <c r="AR445" s="302"/>
      <c r="AS445" s="302"/>
      <c r="AT445" s="302"/>
      <c r="AU445" s="304"/>
      <c r="AV445" s="306"/>
      <c r="AW445" s="303"/>
      <c r="AX445" s="303"/>
      <c r="AY445" s="303"/>
      <c r="AZ445" s="303"/>
      <c r="BA445" s="303"/>
      <c r="BB445" s="303"/>
      <c r="BC445" s="303"/>
      <c r="BD445" s="304"/>
      <c r="BE445" s="305"/>
      <c r="BF445" s="302"/>
      <c r="BG445" s="307"/>
      <c r="BH445" s="308"/>
      <c r="BI445" s="302"/>
      <c r="BJ445" s="307"/>
      <c r="BK445" s="308"/>
      <c r="BL445" s="302"/>
      <c r="BM445" s="303"/>
      <c r="BN445" s="315"/>
      <c r="BO445" s="250">
        <f t="shared" si="41"/>
        <v>0</v>
      </c>
    </row>
    <row r="446" spans="1:67" ht="25.5" customHeight="1" x14ac:dyDescent="0.2">
      <c r="A446" s="142">
        <f t="shared" si="42"/>
        <v>431</v>
      </c>
      <c r="B446" s="251"/>
      <c r="C446" s="252"/>
      <c r="D446" s="253"/>
      <c r="E446" s="254"/>
      <c r="F446" s="278"/>
      <c r="G446" s="256"/>
      <c r="H446" s="257"/>
      <c r="I446" s="231" t="str">
        <f t="shared" si="37"/>
        <v/>
      </c>
      <c r="J446" s="258">
        <f t="shared" si="38"/>
        <v>0</v>
      </c>
      <c r="K446" s="313"/>
      <c r="L446" s="300"/>
      <c r="M446" s="300"/>
      <c r="N446" s="235" t="str">
        <f t="shared" si="39"/>
        <v/>
      </c>
      <c r="O446" s="236" t="str">
        <f>IF('Data Set up'!$G$40="JUNE",IF(OR($N446=7,$N446=8,$N446=9),1,IF(OR($N446=10,$N446=11,$N446=12),2,IF(OR($N446=1,$N446=2,$N446=3),3,IF(OR($N446=4,$N446=5,$N446=6),4,"")))),IF(OR($N446=9,$N446=10,$N446=11),1,IF(OR($N446=12,$N446=1,$N446=2),2,IF(OR($N446=3,$N446=4,$N446=5),3,IF(OR($N446=6,$N446=7,$N446=8),4,"")))))</f>
        <v/>
      </c>
      <c r="P446" s="261"/>
      <c r="Q446" s="305"/>
      <c r="R446" s="302"/>
      <c r="S446" s="264">
        <f t="shared" si="40"/>
        <v>0</v>
      </c>
      <c r="T446" s="302"/>
      <c r="U446" s="302"/>
      <c r="V446" s="302"/>
      <c r="W446" s="302"/>
      <c r="X446" s="302"/>
      <c r="Y446" s="302"/>
      <c r="Z446" s="302"/>
      <c r="AA446" s="302"/>
      <c r="AB446" s="303"/>
      <c r="AC446" s="304"/>
      <c r="AD446" s="305"/>
      <c r="AE446" s="302"/>
      <c r="AF446" s="302"/>
      <c r="AG446" s="302"/>
      <c r="AH446" s="302"/>
      <c r="AI446" s="303"/>
      <c r="AJ446" s="303"/>
      <c r="AK446" s="302"/>
      <c r="AL446" s="314"/>
      <c r="AM446" s="305"/>
      <c r="AN446" s="302"/>
      <c r="AO446" s="302"/>
      <c r="AP446" s="302"/>
      <c r="AQ446" s="302"/>
      <c r="AR446" s="302"/>
      <c r="AS446" s="302"/>
      <c r="AT446" s="302"/>
      <c r="AU446" s="304"/>
      <c r="AV446" s="306"/>
      <c r="AW446" s="303"/>
      <c r="AX446" s="303"/>
      <c r="AY446" s="303"/>
      <c r="AZ446" s="303"/>
      <c r="BA446" s="303"/>
      <c r="BB446" s="303"/>
      <c r="BC446" s="303"/>
      <c r="BD446" s="304"/>
      <c r="BE446" s="305"/>
      <c r="BF446" s="302"/>
      <c r="BG446" s="307"/>
      <c r="BH446" s="308"/>
      <c r="BI446" s="302"/>
      <c r="BJ446" s="307"/>
      <c r="BK446" s="308"/>
      <c r="BL446" s="302"/>
      <c r="BM446" s="303"/>
      <c r="BN446" s="315"/>
      <c r="BO446" s="250">
        <f t="shared" si="41"/>
        <v>0</v>
      </c>
    </row>
    <row r="447" spans="1:67" ht="25.5" customHeight="1" x14ac:dyDescent="0.2">
      <c r="A447" s="142">
        <f t="shared" si="42"/>
        <v>432</v>
      </c>
      <c r="B447" s="251"/>
      <c r="C447" s="252"/>
      <c r="D447" s="253"/>
      <c r="E447" s="254"/>
      <c r="F447" s="278"/>
      <c r="G447" s="256"/>
      <c r="H447" s="257"/>
      <c r="I447" s="231" t="str">
        <f t="shared" si="37"/>
        <v/>
      </c>
      <c r="J447" s="258">
        <f t="shared" si="38"/>
        <v>0</v>
      </c>
      <c r="K447" s="313"/>
      <c r="L447" s="300"/>
      <c r="M447" s="300"/>
      <c r="N447" s="235" t="str">
        <f t="shared" si="39"/>
        <v/>
      </c>
      <c r="O447" s="236" t="str">
        <f>IF('Data Set up'!$G$40="JUNE",IF(OR($N447=7,$N447=8,$N447=9),1,IF(OR($N447=10,$N447=11,$N447=12),2,IF(OR($N447=1,$N447=2,$N447=3),3,IF(OR($N447=4,$N447=5,$N447=6),4,"")))),IF(OR($N447=9,$N447=10,$N447=11),1,IF(OR($N447=12,$N447=1,$N447=2),2,IF(OR($N447=3,$N447=4,$N447=5),3,IF(OR($N447=6,$N447=7,$N447=8),4,"")))))</f>
        <v/>
      </c>
      <c r="P447" s="261"/>
      <c r="Q447" s="305"/>
      <c r="R447" s="302"/>
      <c r="S447" s="264">
        <f t="shared" si="40"/>
        <v>0</v>
      </c>
      <c r="T447" s="302"/>
      <c r="U447" s="302"/>
      <c r="V447" s="302"/>
      <c r="W447" s="302"/>
      <c r="X447" s="302"/>
      <c r="Y447" s="302"/>
      <c r="Z447" s="302"/>
      <c r="AA447" s="302"/>
      <c r="AB447" s="303"/>
      <c r="AC447" s="304"/>
      <c r="AD447" s="305"/>
      <c r="AE447" s="302"/>
      <c r="AF447" s="302"/>
      <c r="AG447" s="302"/>
      <c r="AH447" s="302"/>
      <c r="AI447" s="303"/>
      <c r="AJ447" s="303"/>
      <c r="AK447" s="302"/>
      <c r="AL447" s="314"/>
      <c r="AM447" s="305"/>
      <c r="AN447" s="302"/>
      <c r="AO447" s="302"/>
      <c r="AP447" s="302"/>
      <c r="AQ447" s="302"/>
      <c r="AR447" s="302"/>
      <c r="AS447" s="302"/>
      <c r="AT447" s="302"/>
      <c r="AU447" s="304"/>
      <c r="AV447" s="306"/>
      <c r="AW447" s="303"/>
      <c r="AX447" s="303"/>
      <c r="AY447" s="303"/>
      <c r="AZ447" s="303"/>
      <c r="BA447" s="303"/>
      <c r="BB447" s="303"/>
      <c r="BC447" s="303"/>
      <c r="BD447" s="304"/>
      <c r="BE447" s="305"/>
      <c r="BF447" s="302"/>
      <c r="BG447" s="307"/>
      <c r="BH447" s="308"/>
      <c r="BI447" s="302"/>
      <c r="BJ447" s="307"/>
      <c r="BK447" s="308"/>
      <c r="BL447" s="302"/>
      <c r="BM447" s="303"/>
      <c r="BN447" s="315"/>
      <c r="BO447" s="250">
        <f t="shared" si="41"/>
        <v>0</v>
      </c>
    </row>
    <row r="448" spans="1:67" ht="25.5" customHeight="1" x14ac:dyDescent="0.2">
      <c r="A448" s="142">
        <f t="shared" si="42"/>
        <v>433</v>
      </c>
      <c r="B448" s="251"/>
      <c r="C448" s="252"/>
      <c r="D448" s="253"/>
      <c r="E448" s="254"/>
      <c r="F448" s="278"/>
      <c r="G448" s="256"/>
      <c r="H448" s="257"/>
      <c r="I448" s="231" t="str">
        <f t="shared" si="37"/>
        <v/>
      </c>
      <c r="J448" s="258">
        <f t="shared" si="38"/>
        <v>0</v>
      </c>
      <c r="K448" s="313"/>
      <c r="L448" s="300"/>
      <c r="M448" s="300"/>
      <c r="N448" s="235" t="str">
        <f t="shared" si="39"/>
        <v/>
      </c>
      <c r="O448" s="236" t="str">
        <f>IF('Data Set up'!$G$40="JUNE",IF(OR($N448=7,$N448=8,$N448=9),1,IF(OR($N448=10,$N448=11,$N448=12),2,IF(OR($N448=1,$N448=2,$N448=3),3,IF(OR($N448=4,$N448=5,$N448=6),4,"")))),IF(OR($N448=9,$N448=10,$N448=11),1,IF(OR($N448=12,$N448=1,$N448=2),2,IF(OR($N448=3,$N448=4,$N448=5),3,IF(OR($N448=6,$N448=7,$N448=8),4,"")))))</f>
        <v/>
      </c>
      <c r="P448" s="261"/>
      <c r="Q448" s="305"/>
      <c r="R448" s="302"/>
      <c r="S448" s="264">
        <f t="shared" si="40"/>
        <v>0</v>
      </c>
      <c r="T448" s="302"/>
      <c r="U448" s="302"/>
      <c r="V448" s="302"/>
      <c r="W448" s="302"/>
      <c r="X448" s="302"/>
      <c r="Y448" s="302"/>
      <c r="Z448" s="302"/>
      <c r="AA448" s="302"/>
      <c r="AB448" s="303"/>
      <c r="AC448" s="304"/>
      <c r="AD448" s="305"/>
      <c r="AE448" s="302"/>
      <c r="AF448" s="302"/>
      <c r="AG448" s="302"/>
      <c r="AH448" s="302"/>
      <c r="AI448" s="303"/>
      <c r="AJ448" s="303"/>
      <c r="AK448" s="302"/>
      <c r="AL448" s="314"/>
      <c r="AM448" s="305"/>
      <c r="AN448" s="302"/>
      <c r="AO448" s="302"/>
      <c r="AP448" s="302"/>
      <c r="AQ448" s="302"/>
      <c r="AR448" s="302"/>
      <c r="AS448" s="302"/>
      <c r="AT448" s="302"/>
      <c r="AU448" s="304"/>
      <c r="AV448" s="306"/>
      <c r="AW448" s="303"/>
      <c r="AX448" s="303"/>
      <c r="AY448" s="303"/>
      <c r="AZ448" s="303"/>
      <c r="BA448" s="303"/>
      <c r="BB448" s="303"/>
      <c r="BC448" s="303"/>
      <c r="BD448" s="304"/>
      <c r="BE448" s="305"/>
      <c r="BF448" s="302"/>
      <c r="BG448" s="307"/>
      <c r="BH448" s="308"/>
      <c r="BI448" s="302"/>
      <c r="BJ448" s="307"/>
      <c r="BK448" s="308"/>
      <c r="BL448" s="302"/>
      <c r="BM448" s="303"/>
      <c r="BN448" s="315"/>
      <c r="BO448" s="250">
        <f t="shared" si="41"/>
        <v>0</v>
      </c>
    </row>
    <row r="449" spans="1:67" ht="25.5" customHeight="1" x14ac:dyDescent="0.2">
      <c r="A449" s="142">
        <f t="shared" si="42"/>
        <v>434</v>
      </c>
      <c r="B449" s="251"/>
      <c r="C449" s="252"/>
      <c r="D449" s="253"/>
      <c r="E449" s="254"/>
      <c r="F449" s="278"/>
      <c r="G449" s="256"/>
      <c r="H449" s="257"/>
      <c r="I449" s="231" t="str">
        <f t="shared" si="37"/>
        <v/>
      </c>
      <c r="J449" s="258">
        <f t="shared" si="38"/>
        <v>0</v>
      </c>
      <c r="K449" s="313"/>
      <c r="L449" s="300"/>
      <c r="M449" s="300"/>
      <c r="N449" s="235" t="str">
        <f t="shared" si="39"/>
        <v/>
      </c>
      <c r="O449" s="236" t="str">
        <f>IF('Data Set up'!$G$40="JUNE",IF(OR($N449=7,$N449=8,$N449=9),1,IF(OR($N449=10,$N449=11,$N449=12),2,IF(OR($N449=1,$N449=2,$N449=3),3,IF(OR($N449=4,$N449=5,$N449=6),4,"")))),IF(OR($N449=9,$N449=10,$N449=11),1,IF(OR($N449=12,$N449=1,$N449=2),2,IF(OR($N449=3,$N449=4,$N449=5),3,IF(OR($N449=6,$N449=7,$N449=8),4,"")))))</f>
        <v/>
      </c>
      <c r="P449" s="261"/>
      <c r="Q449" s="305"/>
      <c r="R449" s="302"/>
      <c r="S449" s="264">
        <f t="shared" si="40"/>
        <v>0</v>
      </c>
      <c r="T449" s="302"/>
      <c r="U449" s="302"/>
      <c r="V449" s="302"/>
      <c r="W449" s="302"/>
      <c r="X449" s="302"/>
      <c r="Y449" s="302"/>
      <c r="Z449" s="302"/>
      <c r="AA449" s="302"/>
      <c r="AB449" s="303"/>
      <c r="AC449" s="304"/>
      <c r="AD449" s="305"/>
      <c r="AE449" s="302"/>
      <c r="AF449" s="302"/>
      <c r="AG449" s="302"/>
      <c r="AH449" s="302"/>
      <c r="AI449" s="303"/>
      <c r="AJ449" s="303"/>
      <c r="AK449" s="302"/>
      <c r="AL449" s="314"/>
      <c r="AM449" s="305"/>
      <c r="AN449" s="302"/>
      <c r="AO449" s="302"/>
      <c r="AP449" s="302"/>
      <c r="AQ449" s="302"/>
      <c r="AR449" s="302"/>
      <c r="AS449" s="302"/>
      <c r="AT449" s="302"/>
      <c r="AU449" s="304"/>
      <c r="AV449" s="306"/>
      <c r="AW449" s="303"/>
      <c r="AX449" s="303"/>
      <c r="AY449" s="303"/>
      <c r="AZ449" s="303"/>
      <c r="BA449" s="303"/>
      <c r="BB449" s="303"/>
      <c r="BC449" s="303"/>
      <c r="BD449" s="304"/>
      <c r="BE449" s="305"/>
      <c r="BF449" s="302"/>
      <c r="BG449" s="307"/>
      <c r="BH449" s="308"/>
      <c r="BI449" s="302"/>
      <c r="BJ449" s="307"/>
      <c r="BK449" s="308"/>
      <c r="BL449" s="302"/>
      <c r="BM449" s="303"/>
      <c r="BN449" s="315"/>
      <c r="BO449" s="250">
        <f t="shared" si="41"/>
        <v>0</v>
      </c>
    </row>
    <row r="450" spans="1:67" ht="25.5" customHeight="1" x14ac:dyDescent="0.2">
      <c r="A450" s="142">
        <f t="shared" si="42"/>
        <v>435</v>
      </c>
      <c r="B450" s="251"/>
      <c r="C450" s="252"/>
      <c r="D450" s="253"/>
      <c r="E450" s="254"/>
      <c r="F450" s="278"/>
      <c r="G450" s="256"/>
      <c r="H450" s="257"/>
      <c r="I450" s="231" t="str">
        <f t="shared" si="37"/>
        <v/>
      </c>
      <c r="J450" s="258">
        <f t="shared" si="38"/>
        <v>0</v>
      </c>
      <c r="K450" s="313"/>
      <c r="L450" s="300"/>
      <c r="M450" s="300"/>
      <c r="N450" s="235" t="str">
        <f t="shared" si="39"/>
        <v/>
      </c>
      <c r="O450" s="236" t="str">
        <f>IF('Data Set up'!$G$40="JUNE",IF(OR($N450=7,$N450=8,$N450=9),1,IF(OR($N450=10,$N450=11,$N450=12),2,IF(OR($N450=1,$N450=2,$N450=3),3,IF(OR($N450=4,$N450=5,$N450=6),4,"")))),IF(OR($N450=9,$N450=10,$N450=11),1,IF(OR($N450=12,$N450=1,$N450=2),2,IF(OR($N450=3,$N450=4,$N450=5),3,IF(OR($N450=6,$N450=7,$N450=8),4,"")))))</f>
        <v/>
      </c>
      <c r="P450" s="261"/>
      <c r="Q450" s="305"/>
      <c r="R450" s="302"/>
      <c r="S450" s="264">
        <f t="shared" si="40"/>
        <v>0</v>
      </c>
      <c r="T450" s="302"/>
      <c r="U450" s="302"/>
      <c r="V450" s="302"/>
      <c r="W450" s="302"/>
      <c r="X450" s="302"/>
      <c r="Y450" s="302"/>
      <c r="Z450" s="302"/>
      <c r="AA450" s="302"/>
      <c r="AB450" s="303"/>
      <c r="AC450" s="304"/>
      <c r="AD450" s="305"/>
      <c r="AE450" s="302"/>
      <c r="AF450" s="302"/>
      <c r="AG450" s="302"/>
      <c r="AH450" s="302"/>
      <c r="AI450" s="303"/>
      <c r="AJ450" s="303"/>
      <c r="AK450" s="302"/>
      <c r="AL450" s="314"/>
      <c r="AM450" s="305"/>
      <c r="AN450" s="302"/>
      <c r="AO450" s="302"/>
      <c r="AP450" s="302"/>
      <c r="AQ450" s="302"/>
      <c r="AR450" s="302"/>
      <c r="AS450" s="302"/>
      <c r="AT450" s="302"/>
      <c r="AU450" s="304"/>
      <c r="AV450" s="306"/>
      <c r="AW450" s="303"/>
      <c r="AX450" s="303"/>
      <c r="AY450" s="303"/>
      <c r="AZ450" s="303"/>
      <c r="BA450" s="303"/>
      <c r="BB450" s="303"/>
      <c r="BC450" s="303"/>
      <c r="BD450" s="304"/>
      <c r="BE450" s="305"/>
      <c r="BF450" s="302"/>
      <c r="BG450" s="307"/>
      <c r="BH450" s="308"/>
      <c r="BI450" s="302"/>
      <c r="BJ450" s="307"/>
      <c r="BK450" s="308"/>
      <c r="BL450" s="302"/>
      <c r="BM450" s="303"/>
      <c r="BN450" s="315"/>
      <c r="BO450" s="250">
        <f t="shared" si="41"/>
        <v>0</v>
      </c>
    </row>
    <row r="451" spans="1:67" ht="25.5" customHeight="1" x14ac:dyDescent="0.2">
      <c r="A451" s="142">
        <f t="shared" si="42"/>
        <v>436</v>
      </c>
      <c r="B451" s="251"/>
      <c r="C451" s="252"/>
      <c r="D451" s="253"/>
      <c r="E451" s="254"/>
      <c r="F451" s="278"/>
      <c r="G451" s="256"/>
      <c r="H451" s="257"/>
      <c r="I451" s="231" t="str">
        <f t="shared" si="37"/>
        <v/>
      </c>
      <c r="J451" s="258">
        <f t="shared" si="38"/>
        <v>0</v>
      </c>
      <c r="K451" s="313"/>
      <c r="L451" s="300"/>
      <c r="M451" s="300"/>
      <c r="N451" s="235" t="str">
        <f t="shared" si="39"/>
        <v/>
      </c>
      <c r="O451" s="236" t="str">
        <f>IF('Data Set up'!$G$40="JUNE",IF(OR($N451=7,$N451=8,$N451=9),1,IF(OR($N451=10,$N451=11,$N451=12),2,IF(OR($N451=1,$N451=2,$N451=3),3,IF(OR($N451=4,$N451=5,$N451=6),4,"")))),IF(OR($N451=9,$N451=10,$N451=11),1,IF(OR($N451=12,$N451=1,$N451=2),2,IF(OR($N451=3,$N451=4,$N451=5),3,IF(OR($N451=6,$N451=7,$N451=8),4,"")))))</f>
        <v/>
      </c>
      <c r="P451" s="261"/>
      <c r="Q451" s="305"/>
      <c r="R451" s="302"/>
      <c r="S451" s="264">
        <f t="shared" si="40"/>
        <v>0</v>
      </c>
      <c r="T451" s="302"/>
      <c r="U451" s="302"/>
      <c r="V451" s="302"/>
      <c r="W451" s="302"/>
      <c r="X451" s="302"/>
      <c r="Y451" s="302"/>
      <c r="Z451" s="302"/>
      <c r="AA451" s="302"/>
      <c r="AB451" s="303"/>
      <c r="AC451" s="304"/>
      <c r="AD451" s="305"/>
      <c r="AE451" s="302"/>
      <c r="AF451" s="302"/>
      <c r="AG451" s="302"/>
      <c r="AH451" s="302"/>
      <c r="AI451" s="303"/>
      <c r="AJ451" s="303"/>
      <c r="AK451" s="302"/>
      <c r="AL451" s="314"/>
      <c r="AM451" s="305"/>
      <c r="AN451" s="302"/>
      <c r="AO451" s="302"/>
      <c r="AP451" s="302"/>
      <c r="AQ451" s="302"/>
      <c r="AR451" s="302"/>
      <c r="AS451" s="302"/>
      <c r="AT451" s="302"/>
      <c r="AU451" s="304"/>
      <c r="AV451" s="306"/>
      <c r="AW451" s="303"/>
      <c r="AX451" s="303"/>
      <c r="AY451" s="303"/>
      <c r="AZ451" s="303"/>
      <c r="BA451" s="303"/>
      <c r="BB451" s="303"/>
      <c r="BC451" s="303"/>
      <c r="BD451" s="304"/>
      <c r="BE451" s="305"/>
      <c r="BF451" s="302"/>
      <c r="BG451" s="307"/>
      <c r="BH451" s="308"/>
      <c r="BI451" s="302"/>
      <c r="BJ451" s="307"/>
      <c r="BK451" s="308"/>
      <c r="BL451" s="302"/>
      <c r="BM451" s="303"/>
      <c r="BN451" s="315"/>
      <c r="BO451" s="250">
        <f t="shared" si="41"/>
        <v>0</v>
      </c>
    </row>
    <row r="452" spans="1:67" ht="25.5" customHeight="1" x14ac:dyDescent="0.2">
      <c r="A452" s="142">
        <f t="shared" si="42"/>
        <v>437</v>
      </c>
      <c r="B452" s="251"/>
      <c r="C452" s="252"/>
      <c r="D452" s="253"/>
      <c r="E452" s="254"/>
      <c r="F452" s="278"/>
      <c r="G452" s="256"/>
      <c r="H452" s="257"/>
      <c r="I452" s="231" t="str">
        <f t="shared" si="37"/>
        <v/>
      </c>
      <c r="J452" s="258">
        <f t="shared" si="38"/>
        <v>0</v>
      </c>
      <c r="K452" s="313"/>
      <c r="L452" s="300"/>
      <c r="M452" s="300"/>
      <c r="N452" s="235" t="str">
        <f t="shared" si="39"/>
        <v/>
      </c>
      <c r="O452" s="236" t="str">
        <f>IF('Data Set up'!$G$40="JUNE",IF(OR($N452=7,$N452=8,$N452=9),1,IF(OR($N452=10,$N452=11,$N452=12),2,IF(OR($N452=1,$N452=2,$N452=3),3,IF(OR($N452=4,$N452=5,$N452=6),4,"")))),IF(OR($N452=9,$N452=10,$N452=11),1,IF(OR($N452=12,$N452=1,$N452=2),2,IF(OR($N452=3,$N452=4,$N452=5),3,IF(OR($N452=6,$N452=7,$N452=8),4,"")))))</f>
        <v/>
      </c>
      <c r="P452" s="261"/>
      <c r="Q452" s="305"/>
      <c r="R452" s="302"/>
      <c r="S452" s="264">
        <f t="shared" si="40"/>
        <v>0</v>
      </c>
      <c r="T452" s="302"/>
      <c r="U452" s="302"/>
      <c r="V452" s="302"/>
      <c r="W452" s="302"/>
      <c r="X452" s="302"/>
      <c r="Y452" s="302"/>
      <c r="Z452" s="302"/>
      <c r="AA452" s="302"/>
      <c r="AB452" s="303"/>
      <c r="AC452" s="304"/>
      <c r="AD452" s="305"/>
      <c r="AE452" s="302"/>
      <c r="AF452" s="302"/>
      <c r="AG452" s="302"/>
      <c r="AH452" s="302"/>
      <c r="AI452" s="303"/>
      <c r="AJ452" s="303"/>
      <c r="AK452" s="302"/>
      <c r="AL452" s="314"/>
      <c r="AM452" s="305"/>
      <c r="AN452" s="302"/>
      <c r="AO452" s="302"/>
      <c r="AP452" s="302"/>
      <c r="AQ452" s="302"/>
      <c r="AR452" s="302"/>
      <c r="AS452" s="302"/>
      <c r="AT452" s="302"/>
      <c r="AU452" s="304"/>
      <c r="AV452" s="306"/>
      <c r="AW452" s="303"/>
      <c r="AX452" s="303"/>
      <c r="AY452" s="303"/>
      <c r="AZ452" s="303"/>
      <c r="BA452" s="303"/>
      <c r="BB452" s="303"/>
      <c r="BC452" s="303"/>
      <c r="BD452" s="304"/>
      <c r="BE452" s="305"/>
      <c r="BF452" s="302"/>
      <c r="BG452" s="307"/>
      <c r="BH452" s="308"/>
      <c r="BI452" s="302"/>
      <c r="BJ452" s="307"/>
      <c r="BK452" s="308"/>
      <c r="BL452" s="302"/>
      <c r="BM452" s="303"/>
      <c r="BN452" s="315"/>
      <c r="BO452" s="250">
        <f t="shared" si="41"/>
        <v>0</v>
      </c>
    </row>
    <row r="453" spans="1:67" ht="25.5" customHeight="1" x14ac:dyDescent="0.2">
      <c r="A453" s="142">
        <f t="shared" si="42"/>
        <v>438</v>
      </c>
      <c r="B453" s="251"/>
      <c r="C453" s="252"/>
      <c r="D453" s="253"/>
      <c r="E453" s="254"/>
      <c r="F453" s="278"/>
      <c r="G453" s="256"/>
      <c r="H453" s="257"/>
      <c r="I453" s="231" t="str">
        <f t="shared" si="37"/>
        <v/>
      </c>
      <c r="J453" s="258">
        <f t="shared" si="38"/>
        <v>0</v>
      </c>
      <c r="K453" s="313"/>
      <c r="L453" s="300"/>
      <c r="M453" s="300"/>
      <c r="N453" s="235" t="str">
        <f t="shared" si="39"/>
        <v/>
      </c>
      <c r="O453" s="236" t="str">
        <f>IF('Data Set up'!$G$40="JUNE",IF(OR($N453=7,$N453=8,$N453=9),1,IF(OR($N453=10,$N453=11,$N453=12),2,IF(OR($N453=1,$N453=2,$N453=3),3,IF(OR($N453=4,$N453=5,$N453=6),4,"")))),IF(OR($N453=9,$N453=10,$N453=11),1,IF(OR($N453=12,$N453=1,$N453=2),2,IF(OR($N453=3,$N453=4,$N453=5),3,IF(OR($N453=6,$N453=7,$N453=8),4,"")))))</f>
        <v/>
      </c>
      <c r="P453" s="261"/>
      <c r="Q453" s="305"/>
      <c r="R453" s="302"/>
      <c r="S453" s="264">
        <f t="shared" si="40"/>
        <v>0</v>
      </c>
      <c r="T453" s="302"/>
      <c r="U453" s="302"/>
      <c r="V453" s="302"/>
      <c r="W453" s="302"/>
      <c r="X453" s="302"/>
      <c r="Y453" s="302"/>
      <c r="Z453" s="302"/>
      <c r="AA453" s="302"/>
      <c r="AB453" s="303"/>
      <c r="AC453" s="304"/>
      <c r="AD453" s="305"/>
      <c r="AE453" s="302"/>
      <c r="AF453" s="302"/>
      <c r="AG453" s="302"/>
      <c r="AH453" s="302"/>
      <c r="AI453" s="303"/>
      <c r="AJ453" s="303"/>
      <c r="AK453" s="302"/>
      <c r="AL453" s="314"/>
      <c r="AM453" s="305"/>
      <c r="AN453" s="302"/>
      <c r="AO453" s="302"/>
      <c r="AP453" s="302"/>
      <c r="AQ453" s="302"/>
      <c r="AR453" s="302"/>
      <c r="AS453" s="302"/>
      <c r="AT453" s="302"/>
      <c r="AU453" s="304"/>
      <c r="AV453" s="306"/>
      <c r="AW453" s="303"/>
      <c r="AX453" s="303"/>
      <c r="AY453" s="303"/>
      <c r="AZ453" s="303"/>
      <c r="BA453" s="303"/>
      <c r="BB453" s="303"/>
      <c r="BC453" s="303"/>
      <c r="BD453" s="304"/>
      <c r="BE453" s="305"/>
      <c r="BF453" s="302"/>
      <c r="BG453" s="307"/>
      <c r="BH453" s="308"/>
      <c r="BI453" s="302"/>
      <c r="BJ453" s="307"/>
      <c r="BK453" s="308"/>
      <c r="BL453" s="302"/>
      <c r="BM453" s="303"/>
      <c r="BN453" s="315"/>
      <c r="BO453" s="250">
        <f t="shared" si="41"/>
        <v>0</v>
      </c>
    </row>
    <row r="454" spans="1:67" ht="25.5" customHeight="1" x14ac:dyDescent="0.2">
      <c r="A454" s="142">
        <f t="shared" si="42"/>
        <v>439</v>
      </c>
      <c r="B454" s="251"/>
      <c r="C454" s="252"/>
      <c r="D454" s="253"/>
      <c r="E454" s="254"/>
      <c r="F454" s="278"/>
      <c r="G454" s="256"/>
      <c r="H454" s="257"/>
      <c r="I454" s="231" t="str">
        <f t="shared" si="37"/>
        <v/>
      </c>
      <c r="J454" s="258">
        <f t="shared" si="38"/>
        <v>0</v>
      </c>
      <c r="K454" s="313"/>
      <c r="L454" s="300"/>
      <c r="M454" s="300"/>
      <c r="N454" s="235" t="str">
        <f t="shared" si="39"/>
        <v/>
      </c>
      <c r="O454" s="236" t="str">
        <f>IF('Data Set up'!$G$40="JUNE",IF(OR($N454=7,$N454=8,$N454=9),1,IF(OR($N454=10,$N454=11,$N454=12),2,IF(OR($N454=1,$N454=2,$N454=3),3,IF(OR($N454=4,$N454=5,$N454=6),4,"")))),IF(OR($N454=9,$N454=10,$N454=11),1,IF(OR($N454=12,$N454=1,$N454=2),2,IF(OR($N454=3,$N454=4,$N454=5),3,IF(OR($N454=6,$N454=7,$N454=8),4,"")))))</f>
        <v/>
      </c>
      <c r="P454" s="261"/>
      <c r="Q454" s="305"/>
      <c r="R454" s="302"/>
      <c r="S454" s="264">
        <f t="shared" si="40"/>
        <v>0</v>
      </c>
      <c r="T454" s="302"/>
      <c r="U454" s="302"/>
      <c r="V454" s="302"/>
      <c r="W454" s="302"/>
      <c r="X454" s="302"/>
      <c r="Y454" s="302"/>
      <c r="Z454" s="302"/>
      <c r="AA454" s="302"/>
      <c r="AB454" s="303"/>
      <c r="AC454" s="304"/>
      <c r="AD454" s="305"/>
      <c r="AE454" s="302"/>
      <c r="AF454" s="302"/>
      <c r="AG454" s="302"/>
      <c r="AH454" s="302"/>
      <c r="AI454" s="303"/>
      <c r="AJ454" s="303"/>
      <c r="AK454" s="302"/>
      <c r="AL454" s="314"/>
      <c r="AM454" s="305"/>
      <c r="AN454" s="302"/>
      <c r="AO454" s="302"/>
      <c r="AP454" s="302"/>
      <c r="AQ454" s="302"/>
      <c r="AR454" s="302"/>
      <c r="AS454" s="302"/>
      <c r="AT454" s="302"/>
      <c r="AU454" s="304"/>
      <c r="AV454" s="306"/>
      <c r="AW454" s="303"/>
      <c r="AX454" s="303"/>
      <c r="AY454" s="303"/>
      <c r="AZ454" s="303"/>
      <c r="BA454" s="303"/>
      <c r="BB454" s="303"/>
      <c r="BC454" s="303"/>
      <c r="BD454" s="304"/>
      <c r="BE454" s="305"/>
      <c r="BF454" s="302"/>
      <c r="BG454" s="307"/>
      <c r="BH454" s="308"/>
      <c r="BI454" s="302"/>
      <c r="BJ454" s="307"/>
      <c r="BK454" s="308"/>
      <c r="BL454" s="302"/>
      <c r="BM454" s="303"/>
      <c r="BN454" s="315"/>
      <c r="BO454" s="250">
        <f t="shared" si="41"/>
        <v>0</v>
      </c>
    </row>
    <row r="455" spans="1:67" ht="25.5" customHeight="1" x14ac:dyDescent="0.2">
      <c r="A455" s="142">
        <f t="shared" si="42"/>
        <v>440</v>
      </c>
      <c r="B455" s="251"/>
      <c r="C455" s="252"/>
      <c r="D455" s="253"/>
      <c r="E455" s="254"/>
      <c r="F455" s="278"/>
      <c r="G455" s="256"/>
      <c r="H455" s="257"/>
      <c r="I455" s="231" t="str">
        <f t="shared" si="37"/>
        <v/>
      </c>
      <c r="J455" s="258">
        <f t="shared" si="38"/>
        <v>0</v>
      </c>
      <c r="K455" s="313"/>
      <c r="L455" s="300"/>
      <c r="M455" s="300"/>
      <c r="N455" s="235" t="str">
        <f t="shared" si="39"/>
        <v/>
      </c>
      <c r="O455" s="236" t="str">
        <f>IF('Data Set up'!$G$40="JUNE",IF(OR($N455=7,$N455=8,$N455=9),1,IF(OR($N455=10,$N455=11,$N455=12),2,IF(OR($N455=1,$N455=2,$N455=3),3,IF(OR($N455=4,$N455=5,$N455=6),4,"")))),IF(OR($N455=9,$N455=10,$N455=11),1,IF(OR($N455=12,$N455=1,$N455=2),2,IF(OR($N455=3,$N455=4,$N455=5),3,IF(OR($N455=6,$N455=7,$N455=8),4,"")))))</f>
        <v/>
      </c>
      <c r="P455" s="261"/>
      <c r="Q455" s="305"/>
      <c r="R455" s="302"/>
      <c r="S455" s="264">
        <f t="shared" si="40"/>
        <v>0</v>
      </c>
      <c r="T455" s="302"/>
      <c r="U455" s="302"/>
      <c r="V455" s="302"/>
      <c r="W455" s="302"/>
      <c r="X455" s="302"/>
      <c r="Y455" s="302"/>
      <c r="Z455" s="302"/>
      <c r="AA455" s="302"/>
      <c r="AB455" s="303"/>
      <c r="AC455" s="304"/>
      <c r="AD455" s="305"/>
      <c r="AE455" s="302"/>
      <c r="AF455" s="302"/>
      <c r="AG455" s="302"/>
      <c r="AH455" s="302"/>
      <c r="AI455" s="303"/>
      <c r="AJ455" s="303"/>
      <c r="AK455" s="302"/>
      <c r="AL455" s="314"/>
      <c r="AM455" s="305"/>
      <c r="AN455" s="302"/>
      <c r="AO455" s="302"/>
      <c r="AP455" s="302"/>
      <c r="AQ455" s="302"/>
      <c r="AR455" s="302"/>
      <c r="AS455" s="302"/>
      <c r="AT455" s="302"/>
      <c r="AU455" s="304"/>
      <c r="AV455" s="306"/>
      <c r="AW455" s="303"/>
      <c r="AX455" s="303"/>
      <c r="AY455" s="303"/>
      <c r="AZ455" s="303"/>
      <c r="BA455" s="303"/>
      <c r="BB455" s="303"/>
      <c r="BC455" s="303"/>
      <c r="BD455" s="304"/>
      <c r="BE455" s="305"/>
      <c r="BF455" s="302"/>
      <c r="BG455" s="307"/>
      <c r="BH455" s="308"/>
      <c r="BI455" s="302"/>
      <c r="BJ455" s="307"/>
      <c r="BK455" s="308"/>
      <c r="BL455" s="302"/>
      <c r="BM455" s="303"/>
      <c r="BN455" s="315"/>
      <c r="BO455" s="250">
        <f t="shared" si="41"/>
        <v>0</v>
      </c>
    </row>
    <row r="456" spans="1:67" ht="25.5" customHeight="1" x14ac:dyDescent="0.2">
      <c r="A456" s="142">
        <f t="shared" si="42"/>
        <v>441</v>
      </c>
      <c r="B456" s="251"/>
      <c r="C456" s="252"/>
      <c r="D456" s="253"/>
      <c r="E456" s="254"/>
      <c r="F456" s="278"/>
      <c r="G456" s="256"/>
      <c r="H456" s="257"/>
      <c r="I456" s="231" t="str">
        <f t="shared" si="37"/>
        <v/>
      </c>
      <c r="J456" s="258">
        <f t="shared" si="38"/>
        <v>0</v>
      </c>
      <c r="K456" s="313"/>
      <c r="L456" s="300"/>
      <c r="M456" s="300"/>
      <c r="N456" s="235" t="str">
        <f t="shared" si="39"/>
        <v/>
      </c>
      <c r="O456" s="236" t="str">
        <f>IF('Data Set up'!$G$40="JUNE",IF(OR($N456=7,$N456=8,$N456=9),1,IF(OR($N456=10,$N456=11,$N456=12),2,IF(OR($N456=1,$N456=2,$N456=3),3,IF(OR($N456=4,$N456=5,$N456=6),4,"")))),IF(OR($N456=9,$N456=10,$N456=11),1,IF(OR($N456=12,$N456=1,$N456=2),2,IF(OR($N456=3,$N456=4,$N456=5),3,IF(OR($N456=6,$N456=7,$N456=8),4,"")))))</f>
        <v/>
      </c>
      <c r="P456" s="261"/>
      <c r="Q456" s="305"/>
      <c r="R456" s="302"/>
      <c r="S456" s="264">
        <f t="shared" si="40"/>
        <v>0</v>
      </c>
      <c r="T456" s="302"/>
      <c r="U456" s="302"/>
      <c r="V456" s="302"/>
      <c r="W456" s="302"/>
      <c r="X456" s="302"/>
      <c r="Y456" s="302"/>
      <c r="Z456" s="302"/>
      <c r="AA456" s="302"/>
      <c r="AB456" s="303"/>
      <c r="AC456" s="304"/>
      <c r="AD456" s="305"/>
      <c r="AE456" s="302"/>
      <c r="AF456" s="302"/>
      <c r="AG456" s="302"/>
      <c r="AH456" s="302"/>
      <c r="AI456" s="303"/>
      <c r="AJ456" s="303"/>
      <c r="AK456" s="302"/>
      <c r="AL456" s="314"/>
      <c r="AM456" s="305"/>
      <c r="AN456" s="302"/>
      <c r="AO456" s="302"/>
      <c r="AP456" s="302"/>
      <c r="AQ456" s="302"/>
      <c r="AR456" s="302"/>
      <c r="AS456" s="302"/>
      <c r="AT456" s="302"/>
      <c r="AU456" s="304"/>
      <c r="AV456" s="306"/>
      <c r="AW456" s="303"/>
      <c r="AX456" s="303"/>
      <c r="AY456" s="303"/>
      <c r="AZ456" s="303"/>
      <c r="BA456" s="303"/>
      <c r="BB456" s="303"/>
      <c r="BC456" s="303"/>
      <c r="BD456" s="304"/>
      <c r="BE456" s="305"/>
      <c r="BF456" s="302"/>
      <c r="BG456" s="307"/>
      <c r="BH456" s="308"/>
      <c r="BI456" s="302"/>
      <c r="BJ456" s="307"/>
      <c r="BK456" s="308"/>
      <c r="BL456" s="302"/>
      <c r="BM456" s="303"/>
      <c r="BN456" s="315"/>
      <c r="BO456" s="250">
        <f t="shared" si="41"/>
        <v>0</v>
      </c>
    </row>
    <row r="457" spans="1:67" ht="25.5" customHeight="1" x14ac:dyDescent="0.2">
      <c r="A457" s="142">
        <f t="shared" si="42"/>
        <v>442</v>
      </c>
      <c r="B457" s="251"/>
      <c r="C457" s="252"/>
      <c r="D457" s="253"/>
      <c r="E457" s="254"/>
      <c r="F457" s="278"/>
      <c r="G457" s="256"/>
      <c r="H457" s="257"/>
      <c r="I457" s="231" t="str">
        <f t="shared" si="37"/>
        <v/>
      </c>
      <c r="J457" s="258">
        <f t="shared" si="38"/>
        <v>0</v>
      </c>
      <c r="K457" s="313"/>
      <c r="L457" s="300"/>
      <c r="M457" s="300"/>
      <c r="N457" s="235" t="str">
        <f t="shared" si="39"/>
        <v/>
      </c>
      <c r="O457" s="236" t="str">
        <f>IF('Data Set up'!$G$40="JUNE",IF(OR($N457=7,$N457=8,$N457=9),1,IF(OR($N457=10,$N457=11,$N457=12),2,IF(OR($N457=1,$N457=2,$N457=3),3,IF(OR($N457=4,$N457=5,$N457=6),4,"")))),IF(OR($N457=9,$N457=10,$N457=11),1,IF(OR($N457=12,$N457=1,$N457=2),2,IF(OR($N457=3,$N457=4,$N457=5),3,IF(OR($N457=6,$N457=7,$N457=8),4,"")))))</f>
        <v/>
      </c>
      <c r="P457" s="261"/>
      <c r="Q457" s="305"/>
      <c r="R457" s="302"/>
      <c r="S457" s="264">
        <f t="shared" si="40"/>
        <v>0</v>
      </c>
      <c r="T457" s="302"/>
      <c r="U457" s="302"/>
      <c r="V457" s="302"/>
      <c r="W457" s="302"/>
      <c r="X457" s="302"/>
      <c r="Y457" s="302"/>
      <c r="Z457" s="302"/>
      <c r="AA457" s="302"/>
      <c r="AB457" s="303"/>
      <c r="AC457" s="304"/>
      <c r="AD457" s="305"/>
      <c r="AE457" s="302"/>
      <c r="AF457" s="302"/>
      <c r="AG457" s="302"/>
      <c r="AH457" s="302"/>
      <c r="AI457" s="303"/>
      <c r="AJ457" s="303"/>
      <c r="AK457" s="302"/>
      <c r="AL457" s="314"/>
      <c r="AM457" s="305"/>
      <c r="AN457" s="302"/>
      <c r="AO457" s="302"/>
      <c r="AP457" s="302"/>
      <c r="AQ457" s="302"/>
      <c r="AR457" s="302"/>
      <c r="AS457" s="302"/>
      <c r="AT457" s="302"/>
      <c r="AU457" s="304"/>
      <c r="AV457" s="306"/>
      <c r="AW457" s="303"/>
      <c r="AX457" s="303"/>
      <c r="AY457" s="303"/>
      <c r="AZ457" s="303"/>
      <c r="BA457" s="303"/>
      <c r="BB457" s="303"/>
      <c r="BC457" s="303"/>
      <c r="BD457" s="304"/>
      <c r="BE457" s="305"/>
      <c r="BF457" s="302"/>
      <c r="BG457" s="307"/>
      <c r="BH457" s="308"/>
      <c r="BI457" s="302"/>
      <c r="BJ457" s="307"/>
      <c r="BK457" s="308"/>
      <c r="BL457" s="302"/>
      <c r="BM457" s="303"/>
      <c r="BN457" s="315"/>
      <c r="BO457" s="250">
        <f t="shared" si="41"/>
        <v>0</v>
      </c>
    </row>
    <row r="458" spans="1:67" ht="25.5" customHeight="1" x14ac:dyDescent="0.2">
      <c r="A458" s="142">
        <f t="shared" si="42"/>
        <v>443</v>
      </c>
      <c r="B458" s="251"/>
      <c r="C458" s="252"/>
      <c r="D458" s="253"/>
      <c r="E458" s="254"/>
      <c r="F458" s="278"/>
      <c r="G458" s="256"/>
      <c r="H458" s="257"/>
      <c r="I458" s="231" t="str">
        <f t="shared" si="37"/>
        <v/>
      </c>
      <c r="J458" s="258">
        <f t="shared" si="38"/>
        <v>0</v>
      </c>
      <c r="K458" s="313"/>
      <c r="L458" s="300"/>
      <c r="M458" s="300"/>
      <c r="N458" s="235" t="str">
        <f t="shared" si="39"/>
        <v/>
      </c>
      <c r="O458" s="236" t="str">
        <f>IF('Data Set up'!$G$40="JUNE",IF(OR($N458=7,$N458=8,$N458=9),1,IF(OR($N458=10,$N458=11,$N458=12),2,IF(OR($N458=1,$N458=2,$N458=3),3,IF(OR($N458=4,$N458=5,$N458=6),4,"")))),IF(OR($N458=9,$N458=10,$N458=11),1,IF(OR($N458=12,$N458=1,$N458=2),2,IF(OR($N458=3,$N458=4,$N458=5),3,IF(OR($N458=6,$N458=7,$N458=8),4,"")))))</f>
        <v/>
      </c>
      <c r="P458" s="261"/>
      <c r="Q458" s="305"/>
      <c r="R458" s="302"/>
      <c r="S458" s="264">
        <f t="shared" si="40"/>
        <v>0</v>
      </c>
      <c r="T458" s="302"/>
      <c r="U458" s="302"/>
      <c r="V458" s="302"/>
      <c r="W458" s="302"/>
      <c r="X458" s="302"/>
      <c r="Y458" s="302"/>
      <c r="Z458" s="302"/>
      <c r="AA458" s="302"/>
      <c r="AB458" s="303"/>
      <c r="AC458" s="304"/>
      <c r="AD458" s="305"/>
      <c r="AE458" s="302"/>
      <c r="AF458" s="302"/>
      <c r="AG458" s="302"/>
      <c r="AH458" s="302"/>
      <c r="AI458" s="303"/>
      <c r="AJ458" s="303"/>
      <c r="AK458" s="302"/>
      <c r="AL458" s="314"/>
      <c r="AM458" s="305"/>
      <c r="AN458" s="302"/>
      <c r="AO458" s="302"/>
      <c r="AP458" s="302"/>
      <c r="AQ458" s="302"/>
      <c r="AR458" s="302"/>
      <c r="AS458" s="302"/>
      <c r="AT458" s="302"/>
      <c r="AU458" s="304"/>
      <c r="AV458" s="306"/>
      <c r="AW458" s="303"/>
      <c r="AX458" s="303"/>
      <c r="AY458" s="303"/>
      <c r="AZ458" s="303"/>
      <c r="BA458" s="303"/>
      <c r="BB458" s="303"/>
      <c r="BC458" s="303"/>
      <c r="BD458" s="304"/>
      <c r="BE458" s="305"/>
      <c r="BF458" s="302"/>
      <c r="BG458" s="307"/>
      <c r="BH458" s="308"/>
      <c r="BI458" s="302"/>
      <c r="BJ458" s="307"/>
      <c r="BK458" s="308"/>
      <c r="BL458" s="302"/>
      <c r="BM458" s="303"/>
      <c r="BN458" s="315"/>
      <c r="BO458" s="250">
        <f t="shared" si="41"/>
        <v>0</v>
      </c>
    </row>
    <row r="459" spans="1:67" ht="25.5" customHeight="1" x14ac:dyDescent="0.2">
      <c r="A459" s="142">
        <f t="shared" si="42"/>
        <v>444</v>
      </c>
      <c r="B459" s="251"/>
      <c r="C459" s="252"/>
      <c r="D459" s="253"/>
      <c r="E459" s="254"/>
      <c r="F459" s="278"/>
      <c r="G459" s="256"/>
      <c r="H459" s="257"/>
      <c r="I459" s="231" t="str">
        <f t="shared" si="37"/>
        <v/>
      </c>
      <c r="J459" s="258">
        <f t="shared" si="38"/>
        <v>0</v>
      </c>
      <c r="K459" s="313"/>
      <c r="L459" s="300"/>
      <c r="M459" s="300"/>
      <c r="N459" s="235" t="str">
        <f t="shared" si="39"/>
        <v/>
      </c>
      <c r="O459" s="236" t="str">
        <f>IF('Data Set up'!$G$40="JUNE",IF(OR($N459=7,$N459=8,$N459=9),1,IF(OR($N459=10,$N459=11,$N459=12),2,IF(OR($N459=1,$N459=2,$N459=3),3,IF(OR($N459=4,$N459=5,$N459=6),4,"")))),IF(OR($N459=9,$N459=10,$N459=11),1,IF(OR($N459=12,$N459=1,$N459=2),2,IF(OR($N459=3,$N459=4,$N459=5),3,IF(OR($N459=6,$N459=7,$N459=8),4,"")))))</f>
        <v/>
      </c>
      <c r="P459" s="261"/>
      <c r="Q459" s="305"/>
      <c r="R459" s="302"/>
      <c r="S459" s="264">
        <f t="shared" si="40"/>
        <v>0</v>
      </c>
      <c r="T459" s="302"/>
      <c r="U459" s="302"/>
      <c r="V459" s="302"/>
      <c r="W459" s="302"/>
      <c r="X459" s="302"/>
      <c r="Y459" s="302"/>
      <c r="Z459" s="302"/>
      <c r="AA459" s="302"/>
      <c r="AB459" s="303"/>
      <c r="AC459" s="304"/>
      <c r="AD459" s="305"/>
      <c r="AE459" s="302"/>
      <c r="AF459" s="302"/>
      <c r="AG459" s="302"/>
      <c r="AH459" s="302"/>
      <c r="AI459" s="303"/>
      <c r="AJ459" s="303"/>
      <c r="AK459" s="302"/>
      <c r="AL459" s="314"/>
      <c r="AM459" s="305"/>
      <c r="AN459" s="302"/>
      <c r="AO459" s="302"/>
      <c r="AP459" s="302"/>
      <c r="AQ459" s="302"/>
      <c r="AR459" s="302"/>
      <c r="AS459" s="302"/>
      <c r="AT459" s="302"/>
      <c r="AU459" s="304"/>
      <c r="AV459" s="306"/>
      <c r="AW459" s="303"/>
      <c r="AX459" s="303"/>
      <c r="AY459" s="303"/>
      <c r="AZ459" s="303"/>
      <c r="BA459" s="303"/>
      <c r="BB459" s="303"/>
      <c r="BC459" s="303"/>
      <c r="BD459" s="304"/>
      <c r="BE459" s="305"/>
      <c r="BF459" s="302"/>
      <c r="BG459" s="307"/>
      <c r="BH459" s="308"/>
      <c r="BI459" s="302"/>
      <c r="BJ459" s="307"/>
      <c r="BK459" s="308"/>
      <c r="BL459" s="302"/>
      <c r="BM459" s="303"/>
      <c r="BN459" s="315"/>
      <c r="BO459" s="250">
        <f t="shared" si="41"/>
        <v>0</v>
      </c>
    </row>
    <row r="460" spans="1:67" ht="25.5" customHeight="1" x14ac:dyDescent="0.2">
      <c r="A460" s="142">
        <f t="shared" si="42"/>
        <v>445</v>
      </c>
      <c r="B460" s="251"/>
      <c r="C460" s="252"/>
      <c r="D460" s="253"/>
      <c r="E460" s="254"/>
      <c r="F460" s="278"/>
      <c r="G460" s="256"/>
      <c r="H460" s="257"/>
      <c r="I460" s="231" t="str">
        <f t="shared" si="37"/>
        <v/>
      </c>
      <c r="J460" s="258">
        <f t="shared" si="38"/>
        <v>0</v>
      </c>
      <c r="K460" s="313"/>
      <c r="L460" s="300"/>
      <c r="M460" s="300"/>
      <c r="N460" s="235" t="str">
        <f t="shared" si="39"/>
        <v/>
      </c>
      <c r="O460" s="236" t="str">
        <f>IF('Data Set up'!$G$40="JUNE",IF(OR($N460=7,$N460=8,$N460=9),1,IF(OR($N460=10,$N460=11,$N460=12),2,IF(OR($N460=1,$N460=2,$N460=3),3,IF(OR($N460=4,$N460=5,$N460=6),4,"")))),IF(OR($N460=9,$N460=10,$N460=11),1,IF(OR($N460=12,$N460=1,$N460=2),2,IF(OR($N460=3,$N460=4,$N460=5),3,IF(OR($N460=6,$N460=7,$N460=8),4,"")))))</f>
        <v/>
      </c>
      <c r="P460" s="261"/>
      <c r="Q460" s="305"/>
      <c r="R460" s="302"/>
      <c r="S460" s="264">
        <f t="shared" si="40"/>
        <v>0</v>
      </c>
      <c r="T460" s="302"/>
      <c r="U460" s="302"/>
      <c r="V460" s="302"/>
      <c r="W460" s="302"/>
      <c r="X460" s="302"/>
      <c r="Y460" s="302"/>
      <c r="Z460" s="302"/>
      <c r="AA460" s="302"/>
      <c r="AB460" s="303"/>
      <c r="AC460" s="304"/>
      <c r="AD460" s="305"/>
      <c r="AE460" s="302"/>
      <c r="AF460" s="302"/>
      <c r="AG460" s="302"/>
      <c r="AH460" s="302"/>
      <c r="AI460" s="303"/>
      <c r="AJ460" s="303"/>
      <c r="AK460" s="302"/>
      <c r="AL460" s="314"/>
      <c r="AM460" s="305"/>
      <c r="AN460" s="302"/>
      <c r="AO460" s="302"/>
      <c r="AP460" s="302"/>
      <c r="AQ460" s="302"/>
      <c r="AR460" s="302"/>
      <c r="AS460" s="302"/>
      <c r="AT460" s="302"/>
      <c r="AU460" s="304"/>
      <c r="AV460" s="306"/>
      <c r="AW460" s="303"/>
      <c r="AX460" s="303"/>
      <c r="AY460" s="303"/>
      <c r="AZ460" s="303"/>
      <c r="BA460" s="303"/>
      <c r="BB460" s="303"/>
      <c r="BC460" s="303"/>
      <c r="BD460" s="304"/>
      <c r="BE460" s="305"/>
      <c r="BF460" s="302"/>
      <c r="BG460" s="307"/>
      <c r="BH460" s="308"/>
      <c r="BI460" s="302"/>
      <c r="BJ460" s="307"/>
      <c r="BK460" s="308"/>
      <c r="BL460" s="302"/>
      <c r="BM460" s="303"/>
      <c r="BN460" s="315"/>
      <c r="BO460" s="250">
        <f t="shared" si="41"/>
        <v>0</v>
      </c>
    </row>
    <row r="461" spans="1:67" ht="25.5" customHeight="1" x14ac:dyDescent="0.2">
      <c r="A461" s="142">
        <f t="shared" si="42"/>
        <v>446</v>
      </c>
      <c r="B461" s="251"/>
      <c r="C461" s="252"/>
      <c r="D461" s="253"/>
      <c r="E461" s="254"/>
      <c r="F461" s="278"/>
      <c r="G461" s="256"/>
      <c r="H461" s="257"/>
      <c r="I461" s="231" t="str">
        <f t="shared" si="37"/>
        <v/>
      </c>
      <c r="J461" s="258">
        <f t="shared" si="38"/>
        <v>0</v>
      </c>
      <c r="K461" s="313"/>
      <c r="L461" s="300"/>
      <c r="M461" s="300"/>
      <c r="N461" s="235" t="str">
        <f t="shared" si="39"/>
        <v/>
      </c>
      <c r="O461" s="236" t="str">
        <f>IF('Data Set up'!$G$40="JUNE",IF(OR($N461=7,$N461=8,$N461=9),1,IF(OR($N461=10,$N461=11,$N461=12),2,IF(OR($N461=1,$N461=2,$N461=3),3,IF(OR($N461=4,$N461=5,$N461=6),4,"")))),IF(OR($N461=9,$N461=10,$N461=11),1,IF(OR($N461=12,$N461=1,$N461=2),2,IF(OR($N461=3,$N461=4,$N461=5),3,IF(OR($N461=6,$N461=7,$N461=8),4,"")))))</f>
        <v/>
      </c>
      <c r="P461" s="261"/>
      <c r="Q461" s="305"/>
      <c r="R461" s="302"/>
      <c r="S461" s="264">
        <f t="shared" si="40"/>
        <v>0</v>
      </c>
      <c r="T461" s="302"/>
      <c r="U461" s="302"/>
      <c r="V461" s="302"/>
      <c r="W461" s="302"/>
      <c r="X461" s="302"/>
      <c r="Y461" s="302"/>
      <c r="Z461" s="302"/>
      <c r="AA461" s="302"/>
      <c r="AB461" s="303"/>
      <c r="AC461" s="304"/>
      <c r="AD461" s="305"/>
      <c r="AE461" s="302"/>
      <c r="AF461" s="302"/>
      <c r="AG461" s="302"/>
      <c r="AH461" s="302"/>
      <c r="AI461" s="303"/>
      <c r="AJ461" s="303"/>
      <c r="AK461" s="302"/>
      <c r="AL461" s="314"/>
      <c r="AM461" s="305"/>
      <c r="AN461" s="302"/>
      <c r="AO461" s="302"/>
      <c r="AP461" s="302"/>
      <c r="AQ461" s="302"/>
      <c r="AR461" s="302"/>
      <c r="AS461" s="302"/>
      <c r="AT461" s="302"/>
      <c r="AU461" s="304"/>
      <c r="AV461" s="306"/>
      <c r="AW461" s="303"/>
      <c r="AX461" s="303"/>
      <c r="AY461" s="303"/>
      <c r="AZ461" s="303"/>
      <c r="BA461" s="303"/>
      <c r="BB461" s="303"/>
      <c r="BC461" s="303"/>
      <c r="BD461" s="304"/>
      <c r="BE461" s="305"/>
      <c r="BF461" s="302"/>
      <c r="BG461" s="307"/>
      <c r="BH461" s="308"/>
      <c r="BI461" s="302"/>
      <c r="BJ461" s="307"/>
      <c r="BK461" s="308"/>
      <c r="BL461" s="302"/>
      <c r="BM461" s="303"/>
      <c r="BN461" s="315"/>
      <c r="BO461" s="250">
        <f t="shared" si="41"/>
        <v>0</v>
      </c>
    </row>
    <row r="462" spans="1:67" ht="25.5" customHeight="1" x14ac:dyDescent="0.2">
      <c r="A462" s="142">
        <f t="shared" si="42"/>
        <v>447</v>
      </c>
      <c r="B462" s="251"/>
      <c r="C462" s="252"/>
      <c r="D462" s="253"/>
      <c r="E462" s="254"/>
      <c r="F462" s="278"/>
      <c r="G462" s="256"/>
      <c r="H462" s="257"/>
      <c r="I462" s="231" t="str">
        <f t="shared" si="37"/>
        <v/>
      </c>
      <c r="J462" s="258">
        <f t="shared" si="38"/>
        <v>0</v>
      </c>
      <c r="K462" s="313"/>
      <c r="L462" s="300"/>
      <c r="M462" s="300"/>
      <c r="N462" s="235" t="str">
        <f t="shared" si="39"/>
        <v/>
      </c>
      <c r="O462" s="236" t="str">
        <f>IF('Data Set up'!$G$40="JUNE",IF(OR($N462=7,$N462=8,$N462=9),1,IF(OR($N462=10,$N462=11,$N462=12),2,IF(OR($N462=1,$N462=2,$N462=3),3,IF(OR($N462=4,$N462=5,$N462=6),4,"")))),IF(OR($N462=9,$N462=10,$N462=11),1,IF(OR($N462=12,$N462=1,$N462=2),2,IF(OR($N462=3,$N462=4,$N462=5),3,IF(OR($N462=6,$N462=7,$N462=8),4,"")))))</f>
        <v/>
      </c>
      <c r="P462" s="261"/>
      <c r="Q462" s="305"/>
      <c r="R462" s="302"/>
      <c r="S462" s="264">
        <f t="shared" si="40"/>
        <v>0</v>
      </c>
      <c r="T462" s="302"/>
      <c r="U462" s="302"/>
      <c r="V462" s="302"/>
      <c r="W462" s="302"/>
      <c r="X462" s="302"/>
      <c r="Y462" s="302"/>
      <c r="Z462" s="302"/>
      <c r="AA462" s="302"/>
      <c r="AB462" s="303"/>
      <c r="AC462" s="304"/>
      <c r="AD462" s="305"/>
      <c r="AE462" s="302"/>
      <c r="AF462" s="302"/>
      <c r="AG462" s="302"/>
      <c r="AH462" s="302"/>
      <c r="AI462" s="303"/>
      <c r="AJ462" s="303"/>
      <c r="AK462" s="302"/>
      <c r="AL462" s="314"/>
      <c r="AM462" s="305"/>
      <c r="AN462" s="302"/>
      <c r="AO462" s="302"/>
      <c r="AP462" s="302"/>
      <c r="AQ462" s="302"/>
      <c r="AR462" s="302"/>
      <c r="AS462" s="302"/>
      <c r="AT462" s="302"/>
      <c r="AU462" s="304"/>
      <c r="AV462" s="306"/>
      <c r="AW462" s="303"/>
      <c r="AX462" s="303"/>
      <c r="AY462" s="303"/>
      <c r="AZ462" s="303"/>
      <c r="BA462" s="303"/>
      <c r="BB462" s="303"/>
      <c r="BC462" s="303"/>
      <c r="BD462" s="304"/>
      <c r="BE462" s="305"/>
      <c r="BF462" s="302"/>
      <c r="BG462" s="307"/>
      <c r="BH462" s="308"/>
      <c r="BI462" s="302"/>
      <c r="BJ462" s="307"/>
      <c r="BK462" s="308"/>
      <c r="BL462" s="302"/>
      <c r="BM462" s="303"/>
      <c r="BN462" s="315"/>
      <c r="BO462" s="250">
        <f t="shared" si="41"/>
        <v>0</v>
      </c>
    </row>
    <row r="463" spans="1:67" ht="25.5" customHeight="1" x14ac:dyDescent="0.2">
      <c r="A463" s="142">
        <f t="shared" si="42"/>
        <v>448</v>
      </c>
      <c r="B463" s="251"/>
      <c r="C463" s="252"/>
      <c r="D463" s="253"/>
      <c r="E463" s="254"/>
      <c r="F463" s="278"/>
      <c r="G463" s="256"/>
      <c r="H463" s="257"/>
      <c r="I463" s="231" t="str">
        <f t="shared" si="37"/>
        <v/>
      </c>
      <c r="J463" s="258">
        <f t="shared" si="38"/>
        <v>0</v>
      </c>
      <c r="K463" s="313"/>
      <c r="L463" s="300"/>
      <c r="M463" s="300"/>
      <c r="N463" s="235" t="str">
        <f t="shared" si="39"/>
        <v/>
      </c>
      <c r="O463" s="236" t="str">
        <f>IF('Data Set up'!$G$40="JUNE",IF(OR($N463=7,$N463=8,$N463=9),1,IF(OR($N463=10,$N463=11,$N463=12),2,IF(OR($N463=1,$N463=2,$N463=3),3,IF(OR($N463=4,$N463=5,$N463=6),4,"")))),IF(OR($N463=9,$N463=10,$N463=11),1,IF(OR($N463=12,$N463=1,$N463=2),2,IF(OR($N463=3,$N463=4,$N463=5),3,IF(OR($N463=6,$N463=7,$N463=8),4,"")))))</f>
        <v/>
      </c>
      <c r="P463" s="261"/>
      <c r="Q463" s="305"/>
      <c r="R463" s="302"/>
      <c r="S463" s="264">
        <f t="shared" si="40"/>
        <v>0</v>
      </c>
      <c r="T463" s="302"/>
      <c r="U463" s="302"/>
      <c r="V463" s="302"/>
      <c r="W463" s="302"/>
      <c r="X463" s="302"/>
      <c r="Y463" s="302"/>
      <c r="Z463" s="302"/>
      <c r="AA463" s="302"/>
      <c r="AB463" s="303"/>
      <c r="AC463" s="304"/>
      <c r="AD463" s="305"/>
      <c r="AE463" s="302"/>
      <c r="AF463" s="302"/>
      <c r="AG463" s="302"/>
      <c r="AH463" s="302"/>
      <c r="AI463" s="303"/>
      <c r="AJ463" s="303"/>
      <c r="AK463" s="302"/>
      <c r="AL463" s="314"/>
      <c r="AM463" s="305"/>
      <c r="AN463" s="302"/>
      <c r="AO463" s="302"/>
      <c r="AP463" s="302"/>
      <c r="AQ463" s="302"/>
      <c r="AR463" s="302"/>
      <c r="AS463" s="302"/>
      <c r="AT463" s="302"/>
      <c r="AU463" s="304"/>
      <c r="AV463" s="306"/>
      <c r="AW463" s="303"/>
      <c r="AX463" s="303"/>
      <c r="AY463" s="303"/>
      <c r="AZ463" s="303"/>
      <c r="BA463" s="303"/>
      <c r="BB463" s="303"/>
      <c r="BC463" s="303"/>
      <c r="BD463" s="304"/>
      <c r="BE463" s="305"/>
      <c r="BF463" s="302"/>
      <c r="BG463" s="307"/>
      <c r="BH463" s="308"/>
      <c r="BI463" s="302"/>
      <c r="BJ463" s="307"/>
      <c r="BK463" s="308"/>
      <c r="BL463" s="302"/>
      <c r="BM463" s="303"/>
      <c r="BN463" s="315"/>
      <c r="BO463" s="250">
        <f t="shared" si="41"/>
        <v>0</v>
      </c>
    </row>
    <row r="464" spans="1:67" ht="25.5" customHeight="1" x14ac:dyDescent="0.2">
      <c r="A464" s="142">
        <f t="shared" si="42"/>
        <v>449</v>
      </c>
      <c r="B464" s="251"/>
      <c r="C464" s="252"/>
      <c r="D464" s="253"/>
      <c r="E464" s="254"/>
      <c r="F464" s="278"/>
      <c r="G464" s="256"/>
      <c r="H464" s="257"/>
      <c r="I464" s="231" t="str">
        <f t="shared" ref="I464:I515" si="43">LEFT(H464,4)</f>
        <v/>
      </c>
      <c r="J464" s="258">
        <f t="shared" ref="J464:J515" si="44">G464-BO464</f>
        <v>0</v>
      </c>
      <c r="K464" s="313"/>
      <c r="L464" s="300"/>
      <c r="M464" s="300"/>
      <c r="N464" s="235" t="str">
        <f t="shared" ref="N464:N515" si="45">IF($E464="","",MONTH($E464))</f>
        <v/>
      </c>
      <c r="O464" s="236" t="str">
        <f>IF('Data Set up'!$G$40="JUNE",IF(OR($N464=7,$N464=8,$N464=9),1,IF(OR($N464=10,$N464=11,$N464=12),2,IF(OR($N464=1,$N464=2,$N464=3),3,IF(OR($N464=4,$N464=5,$N464=6),4,"")))),IF(OR($N464=9,$N464=10,$N464=11),1,IF(OR($N464=12,$N464=1,$N464=2),2,IF(OR($N464=3,$N464=4,$N464=5),3,IF(OR($N464=6,$N464=7,$N464=8),4,"")))))</f>
        <v/>
      </c>
      <c r="P464" s="261"/>
      <c r="Q464" s="305"/>
      <c r="R464" s="302"/>
      <c r="S464" s="264">
        <f t="shared" ref="S464:S515" si="46">SUM(T464:W464)</f>
        <v>0</v>
      </c>
      <c r="T464" s="302"/>
      <c r="U464" s="302"/>
      <c r="V464" s="302"/>
      <c r="W464" s="302"/>
      <c r="X464" s="302"/>
      <c r="Y464" s="302"/>
      <c r="Z464" s="302"/>
      <c r="AA464" s="302"/>
      <c r="AB464" s="303"/>
      <c r="AC464" s="304"/>
      <c r="AD464" s="305"/>
      <c r="AE464" s="302"/>
      <c r="AF464" s="302"/>
      <c r="AG464" s="302"/>
      <c r="AH464" s="302"/>
      <c r="AI464" s="303"/>
      <c r="AJ464" s="303"/>
      <c r="AK464" s="302"/>
      <c r="AL464" s="314"/>
      <c r="AM464" s="305"/>
      <c r="AN464" s="302"/>
      <c r="AO464" s="302"/>
      <c r="AP464" s="302"/>
      <c r="AQ464" s="302"/>
      <c r="AR464" s="302"/>
      <c r="AS464" s="302"/>
      <c r="AT464" s="302"/>
      <c r="AU464" s="304"/>
      <c r="AV464" s="306"/>
      <c r="AW464" s="303"/>
      <c r="AX464" s="303"/>
      <c r="AY464" s="303"/>
      <c r="AZ464" s="303"/>
      <c r="BA464" s="303"/>
      <c r="BB464" s="303"/>
      <c r="BC464" s="303"/>
      <c r="BD464" s="304"/>
      <c r="BE464" s="305"/>
      <c r="BF464" s="302"/>
      <c r="BG464" s="307"/>
      <c r="BH464" s="308"/>
      <c r="BI464" s="302"/>
      <c r="BJ464" s="307"/>
      <c r="BK464" s="308"/>
      <c r="BL464" s="302"/>
      <c r="BM464" s="303"/>
      <c r="BN464" s="315"/>
      <c r="BO464" s="250">
        <f t="shared" ref="BO464:BO515" si="47">SUM(Q464:R464,T464:BN464)</f>
        <v>0</v>
      </c>
    </row>
    <row r="465" spans="1:67" ht="25.5" customHeight="1" x14ac:dyDescent="0.2">
      <c r="A465" s="142">
        <f t="shared" ref="A465:A515" si="48">$A464+1</f>
        <v>450</v>
      </c>
      <c r="B465" s="251"/>
      <c r="C465" s="252"/>
      <c r="D465" s="253"/>
      <c r="E465" s="254"/>
      <c r="F465" s="278"/>
      <c r="G465" s="256"/>
      <c r="H465" s="257"/>
      <c r="I465" s="231" t="str">
        <f t="shared" si="43"/>
        <v/>
      </c>
      <c r="J465" s="258">
        <f t="shared" si="44"/>
        <v>0</v>
      </c>
      <c r="K465" s="313"/>
      <c r="L465" s="300"/>
      <c r="M465" s="300"/>
      <c r="N465" s="235" t="str">
        <f t="shared" si="45"/>
        <v/>
      </c>
      <c r="O465" s="236" t="str">
        <f>IF('Data Set up'!$G$40="JUNE",IF(OR($N465=7,$N465=8,$N465=9),1,IF(OR($N465=10,$N465=11,$N465=12),2,IF(OR($N465=1,$N465=2,$N465=3),3,IF(OR($N465=4,$N465=5,$N465=6),4,"")))),IF(OR($N465=9,$N465=10,$N465=11),1,IF(OR($N465=12,$N465=1,$N465=2),2,IF(OR($N465=3,$N465=4,$N465=5),3,IF(OR($N465=6,$N465=7,$N465=8),4,"")))))</f>
        <v/>
      </c>
      <c r="P465" s="261"/>
      <c r="Q465" s="305"/>
      <c r="R465" s="302"/>
      <c r="S465" s="264">
        <f t="shared" si="46"/>
        <v>0</v>
      </c>
      <c r="T465" s="302"/>
      <c r="U465" s="302"/>
      <c r="V465" s="302"/>
      <c r="W465" s="302"/>
      <c r="X465" s="302"/>
      <c r="Y465" s="302"/>
      <c r="Z465" s="302"/>
      <c r="AA465" s="302"/>
      <c r="AB465" s="303"/>
      <c r="AC465" s="304"/>
      <c r="AD465" s="305"/>
      <c r="AE465" s="302"/>
      <c r="AF465" s="302"/>
      <c r="AG465" s="302"/>
      <c r="AH465" s="302"/>
      <c r="AI465" s="303"/>
      <c r="AJ465" s="303"/>
      <c r="AK465" s="302"/>
      <c r="AL465" s="314"/>
      <c r="AM465" s="305"/>
      <c r="AN465" s="302"/>
      <c r="AO465" s="302"/>
      <c r="AP465" s="302"/>
      <c r="AQ465" s="302"/>
      <c r="AR465" s="302"/>
      <c r="AS465" s="302"/>
      <c r="AT465" s="302"/>
      <c r="AU465" s="304"/>
      <c r="AV465" s="306"/>
      <c r="AW465" s="303"/>
      <c r="AX465" s="303"/>
      <c r="AY465" s="303"/>
      <c r="AZ465" s="303"/>
      <c r="BA465" s="303"/>
      <c r="BB465" s="303"/>
      <c r="BC465" s="303"/>
      <c r="BD465" s="304"/>
      <c r="BE465" s="305"/>
      <c r="BF465" s="302"/>
      <c r="BG465" s="307"/>
      <c r="BH465" s="308"/>
      <c r="BI465" s="302"/>
      <c r="BJ465" s="307"/>
      <c r="BK465" s="308"/>
      <c r="BL465" s="302"/>
      <c r="BM465" s="303"/>
      <c r="BN465" s="315"/>
      <c r="BO465" s="250">
        <f t="shared" si="47"/>
        <v>0</v>
      </c>
    </row>
    <row r="466" spans="1:67" ht="25.5" customHeight="1" x14ac:dyDescent="0.2">
      <c r="A466" s="142">
        <f t="shared" si="48"/>
        <v>451</v>
      </c>
      <c r="B466" s="251"/>
      <c r="C466" s="252"/>
      <c r="D466" s="253"/>
      <c r="E466" s="254"/>
      <c r="F466" s="278"/>
      <c r="G466" s="256"/>
      <c r="H466" s="257"/>
      <c r="I466" s="231" t="str">
        <f t="shared" si="43"/>
        <v/>
      </c>
      <c r="J466" s="258">
        <f t="shared" si="44"/>
        <v>0</v>
      </c>
      <c r="K466" s="313"/>
      <c r="L466" s="300"/>
      <c r="M466" s="300"/>
      <c r="N466" s="235" t="str">
        <f t="shared" si="45"/>
        <v/>
      </c>
      <c r="O466" s="236" t="str">
        <f>IF('Data Set up'!$G$40="JUNE",IF(OR($N466=7,$N466=8,$N466=9),1,IF(OR($N466=10,$N466=11,$N466=12),2,IF(OR($N466=1,$N466=2,$N466=3),3,IF(OR($N466=4,$N466=5,$N466=6),4,"")))),IF(OR($N466=9,$N466=10,$N466=11),1,IF(OR($N466=12,$N466=1,$N466=2),2,IF(OR($N466=3,$N466=4,$N466=5),3,IF(OR($N466=6,$N466=7,$N466=8),4,"")))))</f>
        <v/>
      </c>
      <c r="P466" s="261"/>
      <c r="Q466" s="305"/>
      <c r="R466" s="302"/>
      <c r="S466" s="264">
        <f t="shared" si="46"/>
        <v>0</v>
      </c>
      <c r="T466" s="302"/>
      <c r="U466" s="302"/>
      <c r="V466" s="302"/>
      <c r="W466" s="302"/>
      <c r="X466" s="302"/>
      <c r="Y466" s="302"/>
      <c r="Z466" s="302"/>
      <c r="AA466" s="302"/>
      <c r="AB466" s="303"/>
      <c r="AC466" s="304"/>
      <c r="AD466" s="305"/>
      <c r="AE466" s="302"/>
      <c r="AF466" s="302"/>
      <c r="AG466" s="302"/>
      <c r="AH466" s="302"/>
      <c r="AI466" s="303"/>
      <c r="AJ466" s="303"/>
      <c r="AK466" s="302"/>
      <c r="AL466" s="314"/>
      <c r="AM466" s="305"/>
      <c r="AN466" s="302"/>
      <c r="AO466" s="302"/>
      <c r="AP466" s="302"/>
      <c r="AQ466" s="302"/>
      <c r="AR466" s="302"/>
      <c r="AS466" s="302"/>
      <c r="AT466" s="302"/>
      <c r="AU466" s="304"/>
      <c r="AV466" s="306"/>
      <c r="AW466" s="303"/>
      <c r="AX466" s="303"/>
      <c r="AY466" s="303"/>
      <c r="AZ466" s="303"/>
      <c r="BA466" s="303"/>
      <c r="BB466" s="303"/>
      <c r="BC466" s="303"/>
      <c r="BD466" s="304"/>
      <c r="BE466" s="305"/>
      <c r="BF466" s="302"/>
      <c r="BG466" s="307"/>
      <c r="BH466" s="308"/>
      <c r="BI466" s="302"/>
      <c r="BJ466" s="307"/>
      <c r="BK466" s="308"/>
      <c r="BL466" s="302"/>
      <c r="BM466" s="303"/>
      <c r="BN466" s="315"/>
      <c r="BO466" s="250">
        <f t="shared" si="47"/>
        <v>0</v>
      </c>
    </row>
    <row r="467" spans="1:67" ht="25.5" customHeight="1" x14ac:dyDescent="0.2">
      <c r="A467" s="142">
        <f t="shared" si="48"/>
        <v>452</v>
      </c>
      <c r="B467" s="251"/>
      <c r="C467" s="252"/>
      <c r="D467" s="253"/>
      <c r="E467" s="254"/>
      <c r="F467" s="278"/>
      <c r="G467" s="256"/>
      <c r="H467" s="257"/>
      <c r="I467" s="231" t="str">
        <f t="shared" si="43"/>
        <v/>
      </c>
      <c r="J467" s="258">
        <f t="shared" si="44"/>
        <v>0</v>
      </c>
      <c r="K467" s="313"/>
      <c r="L467" s="300"/>
      <c r="M467" s="300"/>
      <c r="N467" s="235" t="str">
        <f t="shared" si="45"/>
        <v/>
      </c>
      <c r="O467" s="236" t="str">
        <f>IF('Data Set up'!$G$40="JUNE",IF(OR($N467=7,$N467=8,$N467=9),1,IF(OR($N467=10,$N467=11,$N467=12),2,IF(OR($N467=1,$N467=2,$N467=3),3,IF(OR($N467=4,$N467=5,$N467=6),4,"")))),IF(OR($N467=9,$N467=10,$N467=11),1,IF(OR($N467=12,$N467=1,$N467=2),2,IF(OR($N467=3,$N467=4,$N467=5),3,IF(OR($N467=6,$N467=7,$N467=8),4,"")))))</f>
        <v/>
      </c>
      <c r="P467" s="261"/>
      <c r="Q467" s="305"/>
      <c r="R467" s="302"/>
      <c r="S467" s="264">
        <f t="shared" si="46"/>
        <v>0</v>
      </c>
      <c r="T467" s="302"/>
      <c r="U467" s="302"/>
      <c r="V467" s="302"/>
      <c r="W467" s="302"/>
      <c r="X467" s="302"/>
      <c r="Y467" s="302"/>
      <c r="Z467" s="302"/>
      <c r="AA467" s="302"/>
      <c r="AB467" s="303"/>
      <c r="AC467" s="304"/>
      <c r="AD467" s="305"/>
      <c r="AE467" s="302"/>
      <c r="AF467" s="302"/>
      <c r="AG467" s="302"/>
      <c r="AH467" s="302"/>
      <c r="AI467" s="303"/>
      <c r="AJ467" s="303"/>
      <c r="AK467" s="302"/>
      <c r="AL467" s="314"/>
      <c r="AM467" s="305"/>
      <c r="AN467" s="302"/>
      <c r="AO467" s="302"/>
      <c r="AP467" s="302"/>
      <c r="AQ467" s="302"/>
      <c r="AR467" s="302"/>
      <c r="AS467" s="302"/>
      <c r="AT467" s="302"/>
      <c r="AU467" s="304"/>
      <c r="AV467" s="306"/>
      <c r="AW467" s="303"/>
      <c r="AX467" s="303"/>
      <c r="AY467" s="303"/>
      <c r="AZ467" s="303"/>
      <c r="BA467" s="303"/>
      <c r="BB467" s="303"/>
      <c r="BC467" s="303"/>
      <c r="BD467" s="304"/>
      <c r="BE467" s="305"/>
      <c r="BF467" s="302"/>
      <c r="BG467" s="307"/>
      <c r="BH467" s="308"/>
      <c r="BI467" s="302"/>
      <c r="BJ467" s="307"/>
      <c r="BK467" s="308"/>
      <c r="BL467" s="302"/>
      <c r="BM467" s="303"/>
      <c r="BN467" s="315"/>
      <c r="BO467" s="250">
        <f t="shared" si="47"/>
        <v>0</v>
      </c>
    </row>
    <row r="468" spans="1:67" ht="25.5" customHeight="1" x14ac:dyDescent="0.2">
      <c r="A468" s="142">
        <f t="shared" si="48"/>
        <v>453</v>
      </c>
      <c r="B468" s="251"/>
      <c r="C468" s="252"/>
      <c r="D468" s="253"/>
      <c r="E468" s="254"/>
      <c r="F468" s="278"/>
      <c r="G468" s="256"/>
      <c r="H468" s="257"/>
      <c r="I468" s="231" t="str">
        <f t="shared" si="43"/>
        <v/>
      </c>
      <c r="J468" s="258">
        <f t="shared" si="44"/>
        <v>0</v>
      </c>
      <c r="K468" s="313"/>
      <c r="L468" s="300"/>
      <c r="M468" s="300"/>
      <c r="N468" s="235" t="str">
        <f t="shared" si="45"/>
        <v/>
      </c>
      <c r="O468" s="236" t="str">
        <f>IF('Data Set up'!$G$40="JUNE",IF(OR($N468=7,$N468=8,$N468=9),1,IF(OR($N468=10,$N468=11,$N468=12),2,IF(OR($N468=1,$N468=2,$N468=3),3,IF(OR($N468=4,$N468=5,$N468=6),4,"")))),IF(OR($N468=9,$N468=10,$N468=11),1,IF(OR($N468=12,$N468=1,$N468=2),2,IF(OR($N468=3,$N468=4,$N468=5),3,IF(OR($N468=6,$N468=7,$N468=8),4,"")))))</f>
        <v/>
      </c>
      <c r="P468" s="261"/>
      <c r="Q468" s="305"/>
      <c r="R468" s="302"/>
      <c r="S468" s="264">
        <f t="shared" si="46"/>
        <v>0</v>
      </c>
      <c r="T468" s="302"/>
      <c r="U468" s="302"/>
      <c r="V468" s="302"/>
      <c r="W468" s="302"/>
      <c r="X468" s="302"/>
      <c r="Y468" s="302"/>
      <c r="Z468" s="302"/>
      <c r="AA468" s="302"/>
      <c r="AB468" s="303"/>
      <c r="AC468" s="304"/>
      <c r="AD468" s="305"/>
      <c r="AE468" s="302"/>
      <c r="AF468" s="302"/>
      <c r="AG468" s="302"/>
      <c r="AH468" s="302"/>
      <c r="AI468" s="303"/>
      <c r="AJ468" s="303"/>
      <c r="AK468" s="302"/>
      <c r="AL468" s="314"/>
      <c r="AM468" s="305"/>
      <c r="AN468" s="302"/>
      <c r="AO468" s="302"/>
      <c r="AP468" s="302"/>
      <c r="AQ468" s="302"/>
      <c r="AR468" s="302"/>
      <c r="AS468" s="302"/>
      <c r="AT468" s="302"/>
      <c r="AU468" s="304"/>
      <c r="AV468" s="306"/>
      <c r="AW468" s="303"/>
      <c r="AX468" s="303"/>
      <c r="AY468" s="303"/>
      <c r="AZ468" s="303"/>
      <c r="BA468" s="303"/>
      <c r="BB468" s="303"/>
      <c r="BC468" s="303"/>
      <c r="BD468" s="304"/>
      <c r="BE468" s="305"/>
      <c r="BF468" s="302"/>
      <c r="BG468" s="307"/>
      <c r="BH468" s="308"/>
      <c r="BI468" s="302"/>
      <c r="BJ468" s="307"/>
      <c r="BK468" s="308"/>
      <c r="BL468" s="302"/>
      <c r="BM468" s="303"/>
      <c r="BN468" s="315"/>
      <c r="BO468" s="250">
        <f t="shared" si="47"/>
        <v>0</v>
      </c>
    </row>
    <row r="469" spans="1:67" ht="25.5" customHeight="1" x14ac:dyDescent="0.2">
      <c r="A469" s="142">
        <f t="shared" si="48"/>
        <v>454</v>
      </c>
      <c r="B469" s="251"/>
      <c r="C469" s="252"/>
      <c r="D469" s="253"/>
      <c r="E469" s="254"/>
      <c r="F469" s="278"/>
      <c r="G469" s="256"/>
      <c r="H469" s="257"/>
      <c r="I469" s="231" t="str">
        <f t="shared" si="43"/>
        <v/>
      </c>
      <c r="J469" s="258">
        <f t="shared" si="44"/>
        <v>0</v>
      </c>
      <c r="K469" s="313"/>
      <c r="L469" s="300"/>
      <c r="M469" s="300"/>
      <c r="N469" s="235" t="str">
        <f t="shared" si="45"/>
        <v/>
      </c>
      <c r="O469" s="236" t="str">
        <f>IF('Data Set up'!$G$40="JUNE",IF(OR($N469=7,$N469=8,$N469=9),1,IF(OR($N469=10,$N469=11,$N469=12),2,IF(OR($N469=1,$N469=2,$N469=3),3,IF(OR($N469=4,$N469=5,$N469=6),4,"")))),IF(OR($N469=9,$N469=10,$N469=11),1,IF(OR($N469=12,$N469=1,$N469=2),2,IF(OR($N469=3,$N469=4,$N469=5),3,IF(OR($N469=6,$N469=7,$N469=8),4,"")))))</f>
        <v/>
      </c>
      <c r="P469" s="261"/>
      <c r="Q469" s="305"/>
      <c r="R469" s="302"/>
      <c r="S469" s="264">
        <f t="shared" si="46"/>
        <v>0</v>
      </c>
      <c r="T469" s="302"/>
      <c r="U469" s="302"/>
      <c r="V469" s="302"/>
      <c r="W469" s="302"/>
      <c r="X469" s="302"/>
      <c r="Y469" s="302"/>
      <c r="Z469" s="302"/>
      <c r="AA469" s="302"/>
      <c r="AB469" s="303"/>
      <c r="AC469" s="304"/>
      <c r="AD469" s="305"/>
      <c r="AE469" s="302"/>
      <c r="AF469" s="302"/>
      <c r="AG469" s="302"/>
      <c r="AH469" s="302"/>
      <c r="AI469" s="303"/>
      <c r="AJ469" s="303"/>
      <c r="AK469" s="302"/>
      <c r="AL469" s="314"/>
      <c r="AM469" s="305"/>
      <c r="AN469" s="302"/>
      <c r="AO469" s="302"/>
      <c r="AP469" s="302"/>
      <c r="AQ469" s="302"/>
      <c r="AR469" s="302"/>
      <c r="AS469" s="302"/>
      <c r="AT469" s="302"/>
      <c r="AU469" s="304"/>
      <c r="AV469" s="306"/>
      <c r="AW469" s="303"/>
      <c r="AX469" s="303"/>
      <c r="AY469" s="303"/>
      <c r="AZ469" s="303"/>
      <c r="BA469" s="303"/>
      <c r="BB469" s="303"/>
      <c r="BC469" s="303"/>
      <c r="BD469" s="304"/>
      <c r="BE469" s="305"/>
      <c r="BF469" s="302"/>
      <c r="BG469" s="307"/>
      <c r="BH469" s="308"/>
      <c r="BI469" s="302"/>
      <c r="BJ469" s="307"/>
      <c r="BK469" s="308"/>
      <c r="BL469" s="302"/>
      <c r="BM469" s="303"/>
      <c r="BN469" s="315"/>
      <c r="BO469" s="250">
        <f t="shared" si="47"/>
        <v>0</v>
      </c>
    </row>
    <row r="470" spans="1:67" ht="25.5" customHeight="1" x14ac:dyDescent="0.2">
      <c r="A470" s="142">
        <f t="shared" si="48"/>
        <v>455</v>
      </c>
      <c r="B470" s="251"/>
      <c r="C470" s="252"/>
      <c r="D470" s="253"/>
      <c r="E470" s="254"/>
      <c r="F470" s="278"/>
      <c r="G470" s="256"/>
      <c r="H470" s="257"/>
      <c r="I470" s="231" t="str">
        <f t="shared" si="43"/>
        <v/>
      </c>
      <c r="J470" s="258">
        <f t="shared" si="44"/>
        <v>0</v>
      </c>
      <c r="K470" s="313"/>
      <c r="L470" s="300"/>
      <c r="M470" s="300"/>
      <c r="N470" s="235" t="str">
        <f t="shared" si="45"/>
        <v/>
      </c>
      <c r="O470" s="236" t="str">
        <f>IF('Data Set up'!$G$40="JUNE",IF(OR($N470=7,$N470=8,$N470=9),1,IF(OR($N470=10,$N470=11,$N470=12),2,IF(OR($N470=1,$N470=2,$N470=3),3,IF(OR($N470=4,$N470=5,$N470=6),4,"")))),IF(OR($N470=9,$N470=10,$N470=11),1,IF(OR($N470=12,$N470=1,$N470=2),2,IF(OR($N470=3,$N470=4,$N470=5),3,IF(OR($N470=6,$N470=7,$N470=8),4,"")))))</f>
        <v/>
      </c>
      <c r="P470" s="261"/>
      <c r="Q470" s="305"/>
      <c r="R470" s="302"/>
      <c r="S470" s="264">
        <f t="shared" si="46"/>
        <v>0</v>
      </c>
      <c r="T470" s="302"/>
      <c r="U470" s="302"/>
      <c r="V470" s="302"/>
      <c r="W470" s="302"/>
      <c r="X470" s="302"/>
      <c r="Y470" s="302"/>
      <c r="Z470" s="302"/>
      <c r="AA470" s="302"/>
      <c r="AB470" s="303"/>
      <c r="AC470" s="304"/>
      <c r="AD470" s="305"/>
      <c r="AE470" s="302"/>
      <c r="AF470" s="302"/>
      <c r="AG470" s="302"/>
      <c r="AH470" s="302"/>
      <c r="AI470" s="303"/>
      <c r="AJ470" s="303"/>
      <c r="AK470" s="302"/>
      <c r="AL470" s="314"/>
      <c r="AM470" s="305"/>
      <c r="AN470" s="302"/>
      <c r="AO470" s="302"/>
      <c r="AP470" s="302"/>
      <c r="AQ470" s="302"/>
      <c r="AR470" s="302"/>
      <c r="AS470" s="302"/>
      <c r="AT470" s="302"/>
      <c r="AU470" s="304"/>
      <c r="AV470" s="306"/>
      <c r="AW470" s="303"/>
      <c r="AX470" s="303"/>
      <c r="AY470" s="303"/>
      <c r="AZ470" s="303"/>
      <c r="BA470" s="303"/>
      <c r="BB470" s="303"/>
      <c r="BC470" s="303"/>
      <c r="BD470" s="304"/>
      <c r="BE470" s="305"/>
      <c r="BF470" s="302"/>
      <c r="BG470" s="307"/>
      <c r="BH470" s="308"/>
      <c r="BI470" s="302"/>
      <c r="BJ470" s="307"/>
      <c r="BK470" s="308"/>
      <c r="BL470" s="302"/>
      <c r="BM470" s="303"/>
      <c r="BN470" s="315"/>
      <c r="BO470" s="250">
        <f t="shared" si="47"/>
        <v>0</v>
      </c>
    </row>
    <row r="471" spans="1:67" ht="25.5" customHeight="1" x14ac:dyDescent="0.2">
      <c r="A471" s="142">
        <f t="shared" si="48"/>
        <v>456</v>
      </c>
      <c r="B471" s="251"/>
      <c r="C471" s="252"/>
      <c r="D471" s="253"/>
      <c r="E471" s="254"/>
      <c r="F471" s="278"/>
      <c r="G471" s="256"/>
      <c r="H471" s="257"/>
      <c r="I471" s="231" t="str">
        <f t="shared" si="43"/>
        <v/>
      </c>
      <c r="J471" s="258">
        <f t="shared" si="44"/>
        <v>0</v>
      </c>
      <c r="K471" s="313"/>
      <c r="L471" s="300"/>
      <c r="M471" s="300"/>
      <c r="N471" s="235" t="str">
        <f t="shared" si="45"/>
        <v/>
      </c>
      <c r="O471" s="236" t="str">
        <f>IF('Data Set up'!$G$40="JUNE",IF(OR($N471=7,$N471=8,$N471=9),1,IF(OR($N471=10,$N471=11,$N471=12),2,IF(OR($N471=1,$N471=2,$N471=3),3,IF(OR($N471=4,$N471=5,$N471=6),4,"")))),IF(OR($N471=9,$N471=10,$N471=11),1,IF(OR($N471=12,$N471=1,$N471=2),2,IF(OR($N471=3,$N471=4,$N471=5),3,IF(OR($N471=6,$N471=7,$N471=8),4,"")))))</f>
        <v/>
      </c>
      <c r="P471" s="261"/>
      <c r="Q471" s="305"/>
      <c r="R471" s="302"/>
      <c r="S471" s="264">
        <f t="shared" si="46"/>
        <v>0</v>
      </c>
      <c r="T471" s="302"/>
      <c r="U471" s="302"/>
      <c r="V471" s="302"/>
      <c r="W471" s="302"/>
      <c r="X471" s="302"/>
      <c r="Y471" s="302"/>
      <c r="Z471" s="302"/>
      <c r="AA471" s="302"/>
      <c r="AB471" s="303"/>
      <c r="AC471" s="304"/>
      <c r="AD471" s="305"/>
      <c r="AE471" s="302"/>
      <c r="AF471" s="302"/>
      <c r="AG471" s="302"/>
      <c r="AH471" s="302"/>
      <c r="AI471" s="303"/>
      <c r="AJ471" s="303"/>
      <c r="AK471" s="302"/>
      <c r="AL471" s="314"/>
      <c r="AM471" s="305"/>
      <c r="AN471" s="302"/>
      <c r="AO471" s="302"/>
      <c r="AP471" s="302"/>
      <c r="AQ471" s="302"/>
      <c r="AR471" s="302"/>
      <c r="AS471" s="302"/>
      <c r="AT471" s="302"/>
      <c r="AU471" s="304"/>
      <c r="AV471" s="306"/>
      <c r="AW471" s="303"/>
      <c r="AX471" s="303"/>
      <c r="AY471" s="303"/>
      <c r="AZ471" s="303"/>
      <c r="BA471" s="303"/>
      <c r="BB471" s="303"/>
      <c r="BC471" s="303"/>
      <c r="BD471" s="304"/>
      <c r="BE471" s="305"/>
      <c r="BF471" s="302"/>
      <c r="BG471" s="307"/>
      <c r="BH471" s="308"/>
      <c r="BI471" s="302"/>
      <c r="BJ471" s="307"/>
      <c r="BK471" s="308"/>
      <c r="BL471" s="302"/>
      <c r="BM471" s="303"/>
      <c r="BN471" s="315"/>
      <c r="BO471" s="250">
        <f t="shared" si="47"/>
        <v>0</v>
      </c>
    </row>
    <row r="472" spans="1:67" ht="25.5" customHeight="1" x14ac:dyDescent="0.2">
      <c r="A472" s="142">
        <f t="shared" si="48"/>
        <v>457</v>
      </c>
      <c r="B472" s="251"/>
      <c r="C472" s="252"/>
      <c r="D472" s="253"/>
      <c r="E472" s="254"/>
      <c r="F472" s="278"/>
      <c r="G472" s="256"/>
      <c r="H472" s="257"/>
      <c r="I472" s="231" t="str">
        <f t="shared" si="43"/>
        <v/>
      </c>
      <c r="J472" s="258">
        <f t="shared" si="44"/>
        <v>0</v>
      </c>
      <c r="K472" s="313"/>
      <c r="L472" s="300"/>
      <c r="M472" s="300"/>
      <c r="N472" s="235" t="str">
        <f t="shared" si="45"/>
        <v/>
      </c>
      <c r="O472" s="236" t="str">
        <f>IF('Data Set up'!$G$40="JUNE",IF(OR($N472=7,$N472=8,$N472=9),1,IF(OR($N472=10,$N472=11,$N472=12),2,IF(OR($N472=1,$N472=2,$N472=3),3,IF(OR($N472=4,$N472=5,$N472=6),4,"")))),IF(OR($N472=9,$N472=10,$N472=11),1,IF(OR($N472=12,$N472=1,$N472=2),2,IF(OR($N472=3,$N472=4,$N472=5),3,IF(OR($N472=6,$N472=7,$N472=8),4,"")))))</f>
        <v/>
      </c>
      <c r="P472" s="261"/>
      <c r="Q472" s="305"/>
      <c r="R472" s="302"/>
      <c r="S472" s="264">
        <f t="shared" si="46"/>
        <v>0</v>
      </c>
      <c r="T472" s="302"/>
      <c r="U472" s="302"/>
      <c r="V472" s="302"/>
      <c r="W472" s="302"/>
      <c r="X472" s="302"/>
      <c r="Y472" s="302"/>
      <c r="Z472" s="302"/>
      <c r="AA472" s="302"/>
      <c r="AB472" s="303"/>
      <c r="AC472" s="304"/>
      <c r="AD472" s="305"/>
      <c r="AE472" s="302"/>
      <c r="AF472" s="302"/>
      <c r="AG472" s="302"/>
      <c r="AH472" s="302"/>
      <c r="AI472" s="303"/>
      <c r="AJ472" s="303"/>
      <c r="AK472" s="302"/>
      <c r="AL472" s="314"/>
      <c r="AM472" s="305"/>
      <c r="AN472" s="302"/>
      <c r="AO472" s="302"/>
      <c r="AP472" s="302"/>
      <c r="AQ472" s="302"/>
      <c r="AR472" s="302"/>
      <c r="AS472" s="302"/>
      <c r="AT472" s="302"/>
      <c r="AU472" s="304"/>
      <c r="AV472" s="306"/>
      <c r="AW472" s="303"/>
      <c r="AX472" s="303"/>
      <c r="AY472" s="303"/>
      <c r="AZ472" s="303"/>
      <c r="BA472" s="303"/>
      <c r="BB472" s="303"/>
      <c r="BC472" s="303"/>
      <c r="BD472" s="304"/>
      <c r="BE472" s="305"/>
      <c r="BF472" s="302"/>
      <c r="BG472" s="307"/>
      <c r="BH472" s="308"/>
      <c r="BI472" s="302"/>
      <c r="BJ472" s="307"/>
      <c r="BK472" s="308"/>
      <c r="BL472" s="302"/>
      <c r="BM472" s="303"/>
      <c r="BN472" s="315"/>
      <c r="BO472" s="250">
        <f t="shared" si="47"/>
        <v>0</v>
      </c>
    </row>
    <row r="473" spans="1:67" ht="25.5" customHeight="1" x14ac:dyDescent="0.2">
      <c r="A473" s="142">
        <f t="shared" si="48"/>
        <v>458</v>
      </c>
      <c r="B473" s="251"/>
      <c r="C473" s="252"/>
      <c r="D473" s="253"/>
      <c r="E473" s="254"/>
      <c r="F473" s="278"/>
      <c r="G473" s="256"/>
      <c r="H473" s="257"/>
      <c r="I473" s="231" t="str">
        <f t="shared" si="43"/>
        <v/>
      </c>
      <c r="J473" s="258">
        <f t="shared" si="44"/>
        <v>0</v>
      </c>
      <c r="K473" s="313"/>
      <c r="L473" s="300"/>
      <c r="M473" s="300"/>
      <c r="N473" s="235" t="str">
        <f t="shared" si="45"/>
        <v/>
      </c>
      <c r="O473" s="236" t="str">
        <f>IF('Data Set up'!$G$40="JUNE",IF(OR($N473=7,$N473=8,$N473=9),1,IF(OR($N473=10,$N473=11,$N473=12),2,IF(OR($N473=1,$N473=2,$N473=3),3,IF(OR($N473=4,$N473=5,$N473=6),4,"")))),IF(OR($N473=9,$N473=10,$N473=11),1,IF(OR($N473=12,$N473=1,$N473=2),2,IF(OR($N473=3,$N473=4,$N473=5),3,IF(OR($N473=6,$N473=7,$N473=8),4,"")))))</f>
        <v/>
      </c>
      <c r="P473" s="261"/>
      <c r="Q473" s="305"/>
      <c r="R473" s="302"/>
      <c r="S473" s="264">
        <f t="shared" si="46"/>
        <v>0</v>
      </c>
      <c r="T473" s="302"/>
      <c r="U473" s="302"/>
      <c r="V473" s="302"/>
      <c r="W473" s="302"/>
      <c r="X473" s="302"/>
      <c r="Y473" s="302"/>
      <c r="Z473" s="302"/>
      <c r="AA473" s="302"/>
      <c r="AB473" s="303"/>
      <c r="AC473" s="304"/>
      <c r="AD473" s="305"/>
      <c r="AE473" s="302"/>
      <c r="AF473" s="302"/>
      <c r="AG473" s="302"/>
      <c r="AH473" s="302"/>
      <c r="AI473" s="303"/>
      <c r="AJ473" s="303"/>
      <c r="AK473" s="302"/>
      <c r="AL473" s="314"/>
      <c r="AM473" s="305"/>
      <c r="AN473" s="302"/>
      <c r="AO473" s="302"/>
      <c r="AP473" s="302"/>
      <c r="AQ473" s="302"/>
      <c r="AR473" s="302"/>
      <c r="AS473" s="302"/>
      <c r="AT473" s="302"/>
      <c r="AU473" s="304"/>
      <c r="AV473" s="306"/>
      <c r="AW473" s="303"/>
      <c r="AX473" s="303"/>
      <c r="AY473" s="303"/>
      <c r="AZ473" s="303"/>
      <c r="BA473" s="303"/>
      <c r="BB473" s="303"/>
      <c r="BC473" s="303"/>
      <c r="BD473" s="304"/>
      <c r="BE473" s="305"/>
      <c r="BF473" s="302"/>
      <c r="BG473" s="307"/>
      <c r="BH473" s="308"/>
      <c r="BI473" s="302"/>
      <c r="BJ473" s="307"/>
      <c r="BK473" s="308"/>
      <c r="BL473" s="302"/>
      <c r="BM473" s="303"/>
      <c r="BN473" s="315"/>
      <c r="BO473" s="250">
        <f t="shared" si="47"/>
        <v>0</v>
      </c>
    </row>
    <row r="474" spans="1:67" ht="25.5" customHeight="1" x14ac:dyDescent="0.2">
      <c r="A474" s="142">
        <f t="shared" si="48"/>
        <v>459</v>
      </c>
      <c r="B474" s="251"/>
      <c r="C474" s="252"/>
      <c r="D474" s="253"/>
      <c r="E474" s="254"/>
      <c r="F474" s="278"/>
      <c r="G474" s="256"/>
      <c r="H474" s="257"/>
      <c r="I474" s="231" t="str">
        <f t="shared" si="43"/>
        <v/>
      </c>
      <c r="J474" s="258">
        <f t="shared" si="44"/>
        <v>0</v>
      </c>
      <c r="K474" s="313"/>
      <c r="L474" s="300"/>
      <c r="M474" s="300"/>
      <c r="N474" s="235" t="str">
        <f t="shared" si="45"/>
        <v/>
      </c>
      <c r="O474" s="236" t="str">
        <f>IF('Data Set up'!$G$40="JUNE",IF(OR($N474=7,$N474=8,$N474=9),1,IF(OR($N474=10,$N474=11,$N474=12),2,IF(OR($N474=1,$N474=2,$N474=3),3,IF(OR($N474=4,$N474=5,$N474=6),4,"")))),IF(OR($N474=9,$N474=10,$N474=11),1,IF(OR($N474=12,$N474=1,$N474=2),2,IF(OR($N474=3,$N474=4,$N474=5),3,IF(OR($N474=6,$N474=7,$N474=8),4,"")))))</f>
        <v/>
      </c>
      <c r="P474" s="261"/>
      <c r="Q474" s="305"/>
      <c r="R474" s="302"/>
      <c r="S474" s="264">
        <f t="shared" si="46"/>
        <v>0</v>
      </c>
      <c r="T474" s="302"/>
      <c r="U474" s="302"/>
      <c r="V474" s="302"/>
      <c r="W474" s="302"/>
      <c r="X474" s="302"/>
      <c r="Y474" s="302"/>
      <c r="Z474" s="302"/>
      <c r="AA474" s="302"/>
      <c r="AB474" s="303"/>
      <c r="AC474" s="304"/>
      <c r="AD474" s="305"/>
      <c r="AE474" s="302"/>
      <c r="AF474" s="302"/>
      <c r="AG474" s="302"/>
      <c r="AH474" s="302"/>
      <c r="AI474" s="303"/>
      <c r="AJ474" s="303"/>
      <c r="AK474" s="302"/>
      <c r="AL474" s="314"/>
      <c r="AM474" s="305"/>
      <c r="AN474" s="302"/>
      <c r="AO474" s="302"/>
      <c r="AP474" s="302"/>
      <c r="AQ474" s="302"/>
      <c r="AR474" s="302"/>
      <c r="AS474" s="302"/>
      <c r="AT474" s="302"/>
      <c r="AU474" s="304"/>
      <c r="AV474" s="306"/>
      <c r="AW474" s="303"/>
      <c r="AX474" s="303"/>
      <c r="AY474" s="303"/>
      <c r="AZ474" s="303"/>
      <c r="BA474" s="303"/>
      <c r="BB474" s="303"/>
      <c r="BC474" s="303"/>
      <c r="BD474" s="304"/>
      <c r="BE474" s="305"/>
      <c r="BF474" s="302"/>
      <c r="BG474" s="307"/>
      <c r="BH474" s="308"/>
      <c r="BI474" s="302"/>
      <c r="BJ474" s="307"/>
      <c r="BK474" s="308"/>
      <c r="BL474" s="302"/>
      <c r="BM474" s="303"/>
      <c r="BN474" s="315"/>
      <c r="BO474" s="250">
        <f t="shared" si="47"/>
        <v>0</v>
      </c>
    </row>
    <row r="475" spans="1:67" ht="25.5" customHeight="1" x14ac:dyDescent="0.2">
      <c r="A475" s="142">
        <f t="shared" si="48"/>
        <v>460</v>
      </c>
      <c r="B475" s="251"/>
      <c r="C475" s="252"/>
      <c r="D475" s="253"/>
      <c r="E475" s="254"/>
      <c r="F475" s="278"/>
      <c r="G475" s="256"/>
      <c r="H475" s="257"/>
      <c r="I475" s="231" t="str">
        <f t="shared" si="43"/>
        <v/>
      </c>
      <c r="J475" s="258">
        <f t="shared" si="44"/>
        <v>0</v>
      </c>
      <c r="K475" s="313"/>
      <c r="L475" s="300"/>
      <c r="M475" s="300"/>
      <c r="N475" s="235" t="str">
        <f t="shared" si="45"/>
        <v/>
      </c>
      <c r="O475" s="236" t="str">
        <f>IF('Data Set up'!$G$40="JUNE",IF(OR($N475=7,$N475=8,$N475=9),1,IF(OR($N475=10,$N475=11,$N475=12),2,IF(OR($N475=1,$N475=2,$N475=3),3,IF(OR($N475=4,$N475=5,$N475=6),4,"")))),IF(OR($N475=9,$N475=10,$N475=11),1,IF(OR($N475=12,$N475=1,$N475=2),2,IF(OR($N475=3,$N475=4,$N475=5),3,IF(OR($N475=6,$N475=7,$N475=8),4,"")))))</f>
        <v/>
      </c>
      <c r="P475" s="261"/>
      <c r="Q475" s="305"/>
      <c r="R475" s="302"/>
      <c r="S475" s="264">
        <f t="shared" si="46"/>
        <v>0</v>
      </c>
      <c r="T475" s="302"/>
      <c r="U475" s="302"/>
      <c r="V475" s="302"/>
      <c r="W475" s="302"/>
      <c r="X475" s="302"/>
      <c r="Y475" s="302"/>
      <c r="Z475" s="302"/>
      <c r="AA475" s="302"/>
      <c r="AB475" s="303"/>
      <c r="AC475" s="304"/>
      <c r="AD475" s="305"/>
      <c r="AE475" s="302"/>
      <c r="AF475" s="302"/>
      <c r="AG475" s="302"/>
      <c r="AH475" s="302"/>
      <c r="AI475" s="303"/>
      <c r="AJ475" s="303"/>
      <c r="AK475" s="302"/>
      <c r="AL475" s="314"/>
      <c r="AM475" s="305"/>
      <c r="AN475" s="302"/>
      <c r="AO475" s="302"/>
      <c r="AP475" s="302"/>
      <c r="AQ475" s="302"/>
      <c r="AR475" s="302"/>
      <c r="AS475" s="302"/>
      <c r="AT475" s="302"/>
      <c r="AU475" s="304"/>
      <c r="AV475" s="306"/>
      <c r="AW475" s="303"/>
      <c r="AX475" s="303"/>
      <c r="AY475" s="303"/>
      <c r="AZ475" s="303"/>
      <c r="BA475" s="303"/>
      <c r="BB475" s="303"/>
      <c r="BC475" s="303"/>
      <c r="BD475" s="304"/>
      <c r="BE475" s="305"/>
      <c r="BF475" s="302"/>
      <c r="BG475" s="307"/>
      <c r="BH475" s="308"/>
      <c r="BI475" s="302"/>
      <c r="BJ475" s="307"/>
      <c r="BK475" s="308"/>
      <c r="BL475" s="302"/>
      <c r="BM475" s="303"/>
      <c r="BN475" s="315"/>
      <c r="BO475" s="250">
        <f t="shared" si="47"/>
        <v>0</v>
      </c>
    </row>
    <row r="476" spans="1:67" ht="25.5" customHeight="1" x14ac:dyDescent="0.2">
      <c r="A476" s="142">
        <f t="shared" si="48"/>
        <v>461</v>
      </c>
      <c r="B476" s="251"/>
      <c r="C476" s="252"/>
      <c r="D476" s="253"/>
      <c r="E476" s="254"/>
      <c r="F476" s="278"/>
      <c r="G476" s="256"/>
      <c r="H476" s="257"/>
      <c r="I476" s="231" t="str">
        <f t="shared" si="43"/>
        <v/>
      </c>
      <c r="J476" s="258">
        <f t="shared" si="44"/>
        <v>0</v>
      </c>
      <c r="K476" s="313"/>
      <c r="L476" s="300"/>
      <c r="M476" s="300"/>
      <c r="N476" s="235" t="str">
        <f t="shared" si="45"/>
        <v/>
      </c>
      <c r="O476" s="236" t="str">
        <f>IF('Data Set up'!$G$40="JUNE",IF(OR($N476=7,$N476=8,$N476=9),1,IF(OR($N476=10,$N476=11,$N476=12),2,IF(OR($N476=1,$N476=2,$N476=3),3,IF(OR($N476=4,$N476=5,$N476=6),4,"")))),IF(OR($N476=9,$N476=10,$N476=11),1,IF(OR($N476=12,$N476=1,$N476=2),2,IF(OR($N476=3,$N476=4,$N476=5),3,IF(OR($N476=6,$N476=7,$N476=8),4,"")))))</f>
        <v/>
      </c>
      <c r="P476" s="261"/>
      <c r="Q476" s="305"/>
      <c r="R476" s="302"/>
      <c r="S476" s="264">
        <f t="shared" si="46"/>
        <v>0</v>
      </c>
      <c r="T476" s="302"/>
      <c r="U476" s="302"/>
      <c r="V476" s="302"/>
      <c r="W476" s="302"/>
      <c r="X476" s="302"/>
      <c r="Y476" s="302"/>
      <c r="Z476" s="302"/>
      <c r="AA476" s="302"/>
      <c r="AB476" s="303"/>
      <c r="AC476" s="304"/>
      <c r="AD476" s="305"/>
      <c r="AE476" s="302"/>
      <c r="AF476" s="302"/>
      <c r="AG476" s="302"/>
      <c r="AH476" s="302"/>
      <c r="AI476" s="303"/>
      <c r="AJ476" s="303"/>
      <c r="AK476" s="302"/>
      <c r="AL476" s="314"/>
      <c r="AM476" s="305"/>
      <c r="AN476" s="302"/>
      <c r="AO476" s="302"/>
      <c r="AP476" s="302"/>
      <c r="AQ476" s="302"/>
      <c r="AR476" s="302"/>
      <c r="AS476" s="302"/>
      <c r="AT476" s="302"/>
      <c r="AU476" s="304"/>
      <c r="AV476" s="306"/>
      <c r="AW476" s="303"/>
      <c r="AX476" s="303"/>
      <c r="AY476" s="303"/>
      <c r="AZ476" s="303"/>
      <c r="BA476" s="303"/>
      <c r="BB476" s="303"/>
      <c r="BC476" s="303"/>
      <c r="BD476" s="304"/>
      <c r="BE476" s="305"/>
      <c r="BF476" s="302"/>
      <c r="BG476" s="307"/>
      <c r="BH476" s="308"/>
      <c r="BI476" s="302"/>
      <c r="BJ476" s="307"/>
      <c r="BK476" s="308"/>
      <c r="BL476" s="302"/>
      <c r="BM476" s="303"/>
      <c r="BN476" s="315"/>
      <c r="BO476" s="250">
        <f t="shared" si="47"/>
        <v>0</v>
      </c>
    </row>
    <row r="477" spans="1:67" ht="25.5" customHeight="1" x14ac:dyDescent="0.2">
      <c r="A477" s="142">
        <f t="shared" si="48"/>
        <v>462</v>
      </c>
      <c r="B477" s="251"/>
      <c r="C477" s="252"/>
      <c r="D477" s="253"/>
      <c r="E477" s="254"/>
      <c r="F477" s="278"/>
      <c r="G477" s="256"/>
      <c r="H477" s="257"/>
      <c r="I477" s="231" t="str">
        <f t="shared" si="43"/>
        <v/>
      </c>
      <c r="J477" s="258">
        <f t="shared" si="44"/>
        <v>0</v>
      </c>
      <c r="K477" s="313"/>
      <c r="L477" s="300"/>
      <c r="M477" s="300"/>
      <c r="N477" s="235" t="str">
        <f t="shared" si="45"/>
        <v/>
      </c>
      <c r="O477" s="236" t="str">
        <f>IF('Data Set up'!$G$40="JUNE",IF(OR($N477=7,$N477=8,$N477=9),1,IF(OR($N477=10,$N477=11,$N477=12),2,IF(OR($N477=1,$N477=2,$N477=3),3,IF(OR($N477=4,$N477=5,$N477=6),4,"")))),IF(OR($N477=9,$N477=10,$N477=11),1,IF(OR($N477=12,$N477=1,$N477=2),2,IF(OR($N477=3,$N477=4,$N477=5),3,IF(OR($N477=6,$N477=7,$N477=8),4,"")))))</f>
        <v/>
      </c>
      <c r="P477" s="261"/>
      <c r="Q477" s="305"/>
      <c r="R477" s="302"/>
      <c r="S477" s="264">
        <f t="shared" si="46"/>
        <v>0</v>
      </c>
      <c r="T477" s="302"/>
      <c r="U477" s="302"/>
      <c r="V477" s="302"/>
      <c r="W477" s="302"/>
      <c r="X477" s="302"/>
      <c r="Y477" s="302"/>
      <c r="Z477" s="302"/>
      <c r="AA477" s="302"/>
      <c r="AB477" s="303"/>
      <c r="AC477" s="304"/>
      <c r="AD477" s="305"/>
      <c r="AE477" s="302"/>
      <c r="AF477" s="302"/>
      <c r="AG477" s="302"/>
      <c r="AH477" s="302"/>
      <c r="AI477" s="303"/>
      <c r="AJ477" s="303"/>
      <c r="AK477" s="302"/>
      <c r="AL477" s="314"/>
      <c r="AM477" s="305"/>
      <c r="AN477" s="302"/>
      <c r="AO477" s="302"/>
      <c r="AP477" s="302"/>
      <c r="AQ477" s="302"/>
      <c r="AR477" s="302"/>
      <c r="AS477" s="302"/>
      <c r="AT477" s="302"/>
      <c r="AU477" s="304"/>
      <c r="AV477" s="306"/>
      <c r="AW477" s="303"/>
      <c r="AX477" s="303"/>
      <c r="AY477" s="303"/>
      <c r="AZ477" s="303"/>
      <c r="BA477" s="303"/>
      <c r="BB477" s="303"/>
      <c r="BC477" s="303"/>
      <c r="BD477" s="304"/>
      <c r="BE477" s="305"/>
      <c r="BF477" s="302"/>
      <c r="BG477" s="307"/>
      <c r="BH477" s="308"/>
      <c r="BI477" s="302"/>
      <c r="BJ477" s="307"/>
      <c r="BK477" s="308"/>
      <c r="BL477" s="302"/>
      <c r="BM477" s="303"/>
      <c r="BN477" s="315"/>
      <c r="BO477" s="250">
        <f t="shared" si="47"/>
        <v>0</v>
      </c>
    </row>
    <row r="478" spans="1:67" ht="25.5" customHeight="1" x14ac:dyDescent="0.2">
      <c r="A478" s="142">
        <f t="shared" si="48"/>
        <v>463</v>
      </c>
      <c r="B478" s="251"/>
      <c r="C478" s="252"/>
      <c r="D478" s="253"/>
      <c r="E478" s="254"/>
      <c r="F478" s="278"/>
      <c r="G478" s="256"/>
      <c r="H478" s="257"/>
      <c r="I478" s="231" t="str">
        <f t="shared" si="43"/>
        <v/>
      </c>
      <c r="J478" s="258">
        <f t="shared" si="44"/>
        <v>0</v>
      </c>
      <c r="K478" s="313"/>
      <c r="L478" s="300"/>
      <c r="M478" s="300"/>
      <c r="N478" s="235" t="str">
        <f t="shared" si="45"/>
        <v/>
      </c>
      <c r="O478" s="236" t="str">
        <f>IF('Data Set up'!$G$40="JUNE",IF(OR($N478=7,$N478=8,$N478=9),1,IF(OR($N478=10,$N478=11,$N478=12),2,IF(OR($N478=1,$N478=2,$N478=3),3,IF(OR($N478=4,$N478=5,$N478=6),4,"")))),IF(OR($N478=9,$N478=10,$N478=11),1,IF(OR($N478=12,$N478=1,$N478=2),2,IF(OR($N478=3,$N478=4,$N478=5),3,IF(OR($N478=6,$N478=7,$N478=8),4,"")))))</f>
        <v/>
      </c>
      <c r="P478" s="261"/>
      <c r="Q478" s="305"/>
      <c r="R478" s="302"/>
      <c r="S478" s="264">
        <f t="shared" si="46"/>
        <v>0</v>
      </c>
      <c r="T478" s="302"/>
      <c r="U478" s="302"/>
      <c r="V478" s="302"/>
      <c r="W478" s="302"/>
      <c r="X478" s="302"/>
      <c r="Y478" s="302"/>
      <c r="Z478" s="302"/>
      <c r="AA478" s="302"/>
      <c r="AB478" s="303"/>
      <c r="AC478" s="304"/>
      <c r="AD478" s="305"/>
      <c r="AE478" s="302"/>
      <c r="AF478" s="302"/>
      <c r="AG478" s="302"/>
      <c r="AH478" s="302"/>
      <c r="AI478" s="303"/>
      <c r="AJ478" s="303"/>
      <c r="AK478" s="302"/>
      <c r="AL478" s="314"/>
      <c r="AM478" s="305"/>
      <c r="AN478" s="302"/>
      <c r="AO478" s="302"/>
      <c r="AP478" s="302"/>
      <c r="AQ478" s="302"/>
      <c r="AR478" s="302"/>
      <c r="AS478" s="302"/>
      <c r="AT478" s="302"/>
      <c r="AU478" s="304"/>
      <c r="AV478" s="306"/>
      <c r="AW478" s="303"/>
      <c r="AX478" s="303"/>
      <c r="AY478" s="303"/>
      <c r="AZ478" s="303"/>
      <c r="BA478" s="303"/>
      <c r="BB478" s="303"/>
      <c r="BC478" s="303"/>
      <c r="BD478" s="304"/>
      <c r="BE478" s="305"/>
      <c r="BF478" s="302"/>
      <c r="BG478" s="307"/>
      <c r="BH478" s="308"/>
      <c r="BI478" s="302"/>
      <c r="BJ478" s="307"/>
      <c r="BK478" s="308"/>
      <c r="BL478" s="302"/>
      <c r="BM478" s="303"/>
      <c r="BN478" s="315"/>
      <c r="BO478" s="250">
        <f t="shared" si="47"/>
        <v>0</v>
      </c>
    </row>
    <row r="479" spans="1:67" ht="25.5" customHeight="1" x14ac:dyDescent="0.2">
      <c r="A479" s="142">
        <f t="shared" si="48"/>
        <v>464</v>
      </c>
      <c r="B479" s="251"/>
      <c r="C479" s="252"/>
      <c r="D479" s="253"/>
      <c r="E479" s="254"/>
      <c r="F479" s="278"/>
      <c r="G479" s="256"/>
      <c r="H479" s="257"/>
      <c r="I479" s="231" t="str">
        <f t="shared" si="43"/>
        <v/>
      </c>
      <c r="J479" s="258">
        <f t="shared" si="44"/>
        <v>0</v>
      </c>
      <c r="K479" s="313"/>
      <c r="L479" s="300"/>
      <c r="M479" s="300"/>
      <c r="N479" s="235" t="str">
        <f t="shared" si="45"/>
        <v/>
      </c>
      <c r="O479" s="236" t="str">
        <f>IF('Data Set up'!$G$40="JUNE",IF(OR($N479=7,$N479=8,$N479=9),1,IF(OR($N479=10,$N479=11,$N479=12),2,IF(OR($N479=1,$N479=2,$N479=3),3,IF(OR($N479=4,$N479=5,$N479=6),4,"")))),IF(OR($N479=9,$N479=10,$N479=11),1,IF(OR($N479=12,$N479=1,$N479=2),2,IF(OR($N479=3,$N479=4,$N479=5),3,IF(OR($N479=6,$N479=7,$N479=8),4,"")))))</f>
        <v/>
      </c>
      <c r="P479" s="261"/>
      <c r="Q479" s="305"/>
      <c r="R479" s="302"/>
      <c r="S479" s="264">
        <f t="shared" si="46"/>
        <v>0</v>
      </c>
      <c r="T479" s="302"/>
      <c r="U479" s="302"/>
      <c r="V479" s="302"/>
      <c r="W479" s="302"/>
      <c r="X479" s="302"/>
      <c r="Y479" s="302"/>
      <c r="Z479" s="302"/>
      <c r="AA479" s="302"/>
      <c r="AB479" s="303"/>
      <c r="AC479" s="304"/>
      <c r="AD479" s="305"/>
      <c r="AE479" s="302"/>
      <c r="AF479" s="302"/>
      <c r="AG479" s="302"/>
      <c r="AH479" s="302"/>
      <c r="AI479" s="303"/>
      <c r="AJ479" s="303"/>
      <c r="AK479" s="302"/>
      <c r="AL479" s="314"/>
      <c r="AM479" s="305"/>
      <c r="AN479" s="302"/>
      <c r="AO479" s="302"/>
      <c r="AP479" s="302"/>
      <c r="AQ479" s="302"/>
      <c r="AR479" s="302"/>
      <c r="AS479" s="302"/>
      <c r="AT479" s="302"/>
      <c r="AU479" s="304"/>
      <c r="AV479" s="306"/>
      <c r="AW479" s="303"/>
      <c r="AX479" s="303"/>
      <c r="AY479" s="303"/>
      <c r="AZ479" s="303"/>
      <c r="BA479" s="303"/>
      <c r="BB479" s="303"/>
      <c r="BC479" s="303"/>
      <c r="BD479" s="304"/>
      <c r="BE479" s="305"/>
      <c r="BF479" s="302"/>
      <c r="BG479" s="307"/>
      <c r="BH479" s="308"/>
      <c r="BI479" s="302"/>
      <c r="BJ479" s="307"/>
      <c r="BK479" s="308"/>
      <c r="BL479" s="302"/>
      <c r="BM479" s="303"/>
      <c r="BN479" s="315"/>
      <c r="BO479" s="250">
        <f t="shared" si="47"/>
        <v>0</v>
      </c>
    </row>
    <row r="480" spans="1:67" ht="25.5" customHeight="1" x14ac:dyDescent="0.2">
      <c r="A480" s="142">
        <f t="shared" si="48"/>
        <v>465</v>
      </c>
      <c r="B480" s="251"/>
      <c r="C480" s="252"/>
      <c r="D480" s="253"/>
      <c r="E480" s="254"/>
      <c r="F480" s="278"/>
      <c r="G480" s="256"/>
      <c r="H480" s="257"/>
      <c r="I480" s="231" t="str">
        <f t="shared" si="43"/>
        <v/>
      </c>
      <c r="J480" s="258">
        <f t="shared" si="44"/>
        <v>0</v>
      </c>
      <c r="K480" s="313"/>
      <c r="L480" s="300"/>
      <c r="M480" s="300"/>
      <c r="N480" s="235" t="str">
        <f t="shared" si="45"/>
        <v/>
      </c>
      <c r="O480" s="236" t="str">
        <f>IF('Data Set up'!$G$40="JUNE",IF(OR($N480=7,$N480=8,$N480=9),1,IF(OR($N480=10,$N480=11,$N480=12),2,IF(OR($N480=1,$N480=2,$N480=3),3,IF(OR($N480=4,$N480=5,$N480=6),4,"")))),IF(OR($N480=9,$N480=10,$N480=11),1,IF(OR($N480=12,$N480=1,$N480=2),2,IF(OR($N480=3,$N480=4,$N480=5),3,IF(OR($N480=6,$N480=7,$N480=8),4,"")))))</f>
        <v/>
      </c>
      <c r="P480" s="261"/>
      <c r="Q480" s="305"/>
      <c r="R480" s="302"/>
      <c r="S480" s="264">
        <f t="shared" si="46"/>
        <v>0</v>
      </c>
      <c r="T480" s="302"/>
      <c r="U480" s="302"/>
      <c r="V480" s="302"/>
      <c r="W480" s="302"/>
      <c r="X480" s="302"/>
      <c r="Y480" s="302"/>
      <c r="Z480" s="302"/>
      <c r="AA480" s="302"/>
      <c r="AB480" s="303"/>
      <c r="AC480" s="304"/>
      <c r="AD480" s="305"/>
      <c r="AE480" s="302"/>
      <c r="AF480" s="302"/>
      <c r="AG480" s="302"/>
      <c r="AH480" s="302"/>
      <c r="AI480" s="303"/>
      <c r="AJ480" s="303"/>
      <c r="AK480" s="302"/>
      <c r="AL480" s="314"/>
      <c r="AM480" s="305"/>
      <c r="AN480" s="302"/>
      <c r="AO480" s="302"/>
      <c r="AP480" s="302"/>
      <c r="AQ480" s="302"/>
      <c r="AR480" s="302"/>
      <c r="AS480" s="302"/>
      <c r="AT480" s="302"/>
      <c r="AU480" s="304"/>
      <c r="AV480" s="306"/>
      <c r="AW480" s="303"/>
      <c r="AX480" s="303"/>
      <c r="AY480" s="303"/>
      <c r="AZ480" s="303"/>
      <c r="BA480" s="303"/>
      <c r="BB480" s="303"/>
      <c r="BC480" s="303"/>
      <c r="BD480" s="304"/>
      <c r="BE480" s="305"/>
      <c r="BF480" s="302"/>
      <c r="BG480" s="307"/>
      <c r="BH480" s="308"/>
      <c r="BI480" s="302"/>
      <c r="BJ480" s="307"/>
      <c r="BK480" s="308"/>
      <c r="BL480" s="302"/>
      <c r="BM480" s="303"/>
      <c r="BN480" s="315"/>
      <c r="BO480" s="250">
        <f t="shared" si="47"/>
        <v>0</v>
      </c>
    </row>
    <row r="481" spans="1:67" ht="25.5" customHeight="1" x14ac:dyDescent="0.2">
      <c r="A481" s="142">
        <f t="shared" si="48"/>
        <v>466</v>
      </c>
      <c r="B481" s="251"/>
      <c r="C481" s="252"/>
      <c r="D481" s="253"/>
      <c r="E481" s="254"/>
      <c r="F481" s="278"/>
      <c r="G481" s="256"/>
      <c r="H481" s="257"/>
      <c r="I481" s="231" t="str">
        <f t="shared" si="43"/>
        <v/>
      </c>
      <c r="J481" s="258">
        <f t="shared" si="44"/>
        <v>0</v>
      </c>
      <c r="K481" s="313"/>
      <c r="L481" s="300"/>
      <c r="M481" s="300"/>
      <c r="N481" s="235" t="str">
        <f t="shared" si="45"/>
        <v/>
      </c>
      <c r="O481" s="236" t="str">
        <f>IF('Data Set up'!$G$40="JUNE",IF(OR($N481=7,$N481=8,$N481=9),1,IF(OR($N481=10,$N481=11,$N481=12),2,IF(OR($N481=1,$N481=2,$N481=3),3,IF(OR($N481=4,$N481=5,$N481=6),4,"")))),IF(OR($N481=9,$N481=10,$N481=11),1,IF(OR($N481=12,$N481=1,$N481=2),2,IF(OR($N481=3,$N481=4,$N481=5),3,IF(OR($N481=6,$N481=7,$N481=8),4,"")))))</f>
        <v/>
      </c>
      <c r="P481" s="261"/>
      <c r="Q481" s="305"/>
      <c r="R481" s="302"/>
      <c r="S481" s="264">
        <f t="shared" si="46"/>
        <v>0</v>
      </c>
      <c r="T481" s="302"/>
      <c r="U481" s="302"/>
      <c r="V481" s="302"/>
      <c r="W481" s="302"/>
      <c r="X481" s="302"/>
      <c r="Y481" s="302"/>
      <c r="Z481" s="302"/>
      <c r="AA481" s="302"/>
      <c r="AB481" s="303"/>
      <c r="AC481" s="304"/>
      <c r="AD481" s="305"/>
      <c r="AE481" s="302"/>
      <c r="AF481" s="302"/>
      <c r="AG481" s="302"/>
      <c r="AH481" s="302"/>
      <c r="AI481" s="303"/>
      <c r="AJ481" s="303"/>
      <c r="AK481" s="302"/>
      <c r="AL481" s="314"/>
      <c r="AM481" s="305"/>
      <c r="AN481" s="302"/>
      <c r="AO481" s="302"/>
      <c r="AP481" s="302"/>
      <c r="AQ481" s="302"/>
      <c r="AR481" s="302"/>
      <c r="AS481" s="302"/>
      <c r="AT481" s="302"/>
      <c r="AU481" s="304"/>
      <c r="AV481" s="306"/>
      <c r="AW481" s="303"/>
      <c r="AX481" s="303"/>
      <c r="AY481" s="303"/>
      <c r="AZ481" s="303"/>
      <c r="BA481" s="303"/>
      <c r="BB481" s="303"/>
      <c r="BC481" s="303"/>
      <c r="BD481" s="304"/>
      <c r="BE481" s="305"/>
      <c r="BF481" s="302"/>
      <c r="BG481" s="307"/>
      <c r="BH481" s="308"/>
      <c r="BI481" s="302"/>
      <c r="BJ481" s="307"/>
      <c r="BK481" s="308"/>
      <c r="BL481" s="302"/>
      <c r="BM481" s="303"/>
      <c r="BN481" s="315"/>
      <c r="BO481" s="250">
        <f t="shared" si="47"/>
        <v>0</v>
      </c>
    </row>
    <row r="482" spans="1:67" ht="25.5" customHeight="1" x14ac:dyDescent="0.2">
      <c r="A482" s="142">
        <f t="shared" si="48"/>
        <v>467</v>
      </c>
      <c r="B482" s="251"/>
      <c r="C482" s="252"/>
      <c r="D482" s="253"/>
      <c r="E482" s="254"/>
      <c r="F482" s="278"/>
      <c r="G482" s="256"/>
      <c r="H482" s="257"/>
      <c r="I482" s="231" t="str">
        <f t="shared" si="43"/>
        <v/>
      </c>
      <c r="J482" s="258">
        <f t="shared" si="44"/>
        <v>0</v>
      </c>
      <c r="K482" s="313"/>
      <c r="L482" s="300"/>
      <c r="M482" s="300"/>
      <c r="N482" s="235" t="str">
        <f t="shared" si="45"/>
        <v/>
      </c>
      <c r="O482" s="236" t="str">
        <f>IF('Data Set up'!$G$40="JUNE",IF(OR($N482=7,$N482=8,$N482=9),1,IF(OR($N482=10,$N482=11,$N482=12),2,IF(OR($N482=1,$N482=2,$N482=3),3,IF(OR($N482=4,$N482=5,$N482=6),4,"")))),IF(OR($N482=9,$N482=10,$N482=11),1,IF(OR($N482=12,$N482=1,$N482=2),2,IF(OR($N482=3,$N482=4,$N482=5),3,IF(OR($N482=6,$N482=7,$N482=8),4,"")))))</f>
        <v/>
      </c>
      <c r="P482" s="261"/>
      <c r="Q482" s="305"/>
      <c r="R482" s="302"/>
      <c r="S482" s="264">
        <f t="shared" si="46"/>
        <v>0</v>
      </c>
      <c r="T482" s="302"/>
      <c r="U482" s="302"/>
      <c r="V482" s="302"/>
      <c r="W482" s="302"/>
      <c r="X482" s="302"/>
      <c r="Y482" s="302"/>
      <c r="Z482" s="302"/>
      <c r="AA482" s="302"/>
      <c r="AB482" s="303"/>
      <c r="AC482" s="304"/>
      <c r="AD482" s="305"/>
      <c r="AE482" s="302"/>
      <c r="AF482" s="302"/>
      <c r="AG482" s="302"/>
      <c r="AH482" s="302"/>
      <c r="AI482" s="303"/>
      <c r="AJ482" s="303"/>
      <c r="AK482" s="302"/>
      <c r="AL482" s="314"/>
      <c r="AM482" s="305"/>
      <c r="AN482" s="302"/>
      <c r="AO482" s="302"/>
      <c r="AP482" s="302"/>
      <c r="AQ482" s="302"/>
      <c r="AR482" s="302"/>
      <c r="AS482" s="302"/>
      <c r="AT482" s="302"/>
      <c r="AU482" s="304"/>
      <c r="AV482" s="306"/>
      <c r="AW482" s="303"/>
      <c r="AX482" s="303"/>
      <c r="AY482" s="303"/>
      <c r="AZ482" s="303"/>
      <c r="BA482" s="303"/>
      <c r="BB482" s="303"/>
      <c r="BC482" s="303"/>
      <c r="BD482" s="304"/>
      <c r="BE482" s="305"/>
      <c r="BF482" s="302"/>
      <c r="BG482" s="307"/>
      <c r="BH482" s="308"/>
      <c r="BI482" s="302"/>
      <c r="BJ482" s="307"/>
      <c r="BK482" s="308"/>
      <c r="BL482" s="302"/>
      <c r="BM482" s="303"/>
      <c r="BN482" s="315"/>
      <c r="BO482" s="250">
        <f t="shared" si="47"/>
        <v>0</v>
      </c>
    </row>
    <row r="483" spans="1:67" ht="25.5" customHeight="1" x14ac:dyDescent="0.2">
      <c r="A483" s="142">
        <f t="shared" si="48"/>
        <v>468</v>
      </c>
      <c r="B483" s="251"/>
      <c r="C483" s="252"/>
      <c r="D483" s="253"/>
      <c r="E483" s="254"/>
      <c r="F483" s="278"/>
      <c r="G483" s="256"/>
      <c r="H483" s="257"/>
      <c r="I483" s="231" t="str">
        <f t="shared" si="43"/>
        <v/>
      </c>
      <c r="J483" s="258">
        <f t="shared" si="44"/>
        <v>0</v>
      </c>
      <c r="K483" s="313"/>
      <c r="L483" s="300"/>
      <c r="M483" s="300"/>
      <c r="N483" s="235" t="str">
        <f t="shared" si="45"/>
        <v/>
      </c>
      <c r="O483" s="236" t="str">
        <f>IF('Data Set up'!$G$40="JUNE",IF(OR($N483=7,$N483=8,$N483=9),1,IF(OR($N483=10,$N483=11,$N483=12),2,IF(OR($N483=1,$N483=2,$N483=3),3,IF(OR($N483=4,$N483=5,$N483=6),4,"")))),IF(OR($N483=9,$N483=10,$N483=11),1,IF(OR($N483=12,$N483=1,$N483=2),2,IF(OR($N483=3,$N483=4,$N483=5),3,IF(OR($N483=6,$N483=7,$N483=8),4,"")))))</f>
        <v/>
      </c>
      <c r="P483" s="261"/>
      <c r="Q483" s="305"/>
      <c r="R483" s="302"/>
      <c r="S483" s="264">
        <f t="shared" si="46"/>
        <v>0</v>
      </c>
      <c r="T483" s="302"/>
      <c r="U483" s="302"/>
      <c r="V483" s="302"/>
      <c r="W483" s="302"/>
      <c r="X483" s="302"/>
      <c r="Y483" s="302"/>
      <c r="Z483" s="302"/>
      <c r="AA483" s="302"/>
      <c r="AB483" s="303"/>
      <c r="AC483" s="304"/>
      <c r="AD483" s="305"/>
      <c r="AE483" s="302"/>
      <c r="AF483" s="302"/>
      <c r="AG483" s="302"/>
      <c r="AH483" s="302"/>
      <c r="AI483" s="303"/>
      <c r="AJ483" s="303"/>
      <c r="AK483" s="302"/>
      <c r="AL483" s="314"/>
      <c r="AM483" s="305"/>
      <c r="AN483" s="302"/>
      <c r="AO483" s="302"/>
      <c r="AP483" s="302"/>
      <c r="AQ483" s="302"/>
      <c r="AR483" s="302"/>
      <c r="AS483" s="302"/>
      <c r="AT483" s="302"/>
      <c r="AU483" s="304"/>
      <c r="AV483" s="306"/>
      <c r="AW483" s="303"/>
      <c r="AX483" s="303"/>
      <c r="AY483" s="303"/>
      <c r="AZ483" s="303"/>
      <c r="BA483" s="303"/>
      <c r="BB483" s="303"/>
      <c r="BC483" s="303"/>
      <c r="BD483" s="304"/>
      <c r="BE483" s="305"/>
      <c r="BF483" s="302"/>
      <c r="BG483" s="307"/>
      <c r="BH483" s="308"/>
      <c r="BI483" s="302"/>
      <c r="BJ483" s="307"/>
      <c r="BK483" s="308"/>
      <c r="BL483" s="302"/>
      <c r="BM483" s="303"/>
      <c r="BN483" s="315"/>
      <c r="BO483" s="250">
        <f t="shared" si="47"/>
        <v>0</v>
      </c>
    </row>
    <row r="484" spans="1:67" ht="25.5" customHeight="1" x14ac:dyDescent="0.2">
      <c r="A484" s="142">
        <f t="shared" si="48"/>
        <v>469</v>
      </c>
      <c r="B484" s="251"/>
      <c r="C484" s="252"/>
      <c r="D484" s="253"/>
      <c r="E484" s="254"/>
      <c r="F484" s="278"/>
      <c r="G484" s="256"/>
      <c r="H484" s="257"/>
      <c r="I484" s="231" t="str">
        <f t="shared" si="43"/>
        <v/>
      </c>
      <c r="J484" s="258">
        <f t="shared" si="44"/>
        <v>0</v>
      </c>
      <c r="K484" s="313"/>
      <c r="L484" s="300"/>
      <c r="M484" s="300"/>
      <c r="N484" s="235" t="str">
        <f t="shared" si="45"/>
        <v/>
      </c>
      <c r="O484" s="236" t="str">
        <f>IF('Data Set up'!$G$40="JUNE",IF(OR($N484=7,$N484=8,$N484=9),1,IF(OR($N484=10,$N484=11,$N484=12),2,IF(OR($N484=1,$N484=2,$N484=3),3,IF(OR($N484=4,$N484=5,$N484=6),4,"")))),IF(OR($N484=9,$N484=10,$N484=11),1,IF(OR($N484=12,$N484=1,$N484=2),2,IF(OR($N484=3,$N484=4,$N484=5),3,IF(OR($N484=6,$N484=7,$N484=8),4,"")))))</f>
        <v/>
      </c>
      <c r="P484" s="261"/>
      <c r="Q484" s="305"/>
      <c r="R484" s="302"/>
      <c r="S484" s="264">
        <f t="shared" si="46"/>
        <v>0</v>
      </c>
      <c r="T484" s="302"/>
      <c r="U484" s="302"/>
      <c r="V484" s="302"/>
      <c r="W484" s="302"/>
      <c r="X484" s="302"/>
      <c r="Y484" s="302"/>
      <c r="Z484" s="302"/>
      <c r="AA484" s="302"/>
      <c r="AB484" s="303"/>
      <c r="AC484" s="304"/>
      <c r="AD484" s="305"/>
      <c r="AE484" s="302"/>
      <c r="AF484" s="302"/>
      <c r="AG484" s="302"/>
      <c r="AH484" s="302"/>
      <c r="AI484" s="303"/>
      <c r="AJ484" s="303"/>
      <c r="AK484" s="302"/>
      <c r="AL484" s="314"/>
      <c r="AM484" s="305"/>
      <c r="AN484" s="302"/>
      <c r="AO484" s="302"/>
      <c r="AP484" s="302"/>
      <c r="AQ484" s="302"/>
      <c r="AR484" s="302"/>
      <c r="AS484" s="302"/>
      <c r="AT484" s="302"/>
      <c r="AU484" s="304"/>
      <c r="AV484" s="306"/>
      <c r="AW484" s="303"/>
      <c r="AX484" s="303"/>
      <c r="AY484" s="303"/>
      <c r="AZ484" s="303"/>
      <c r="BA484" s="303"/>
      <c r="BB484" s="303"/>
      <c r="BC484" s="303"/>
      <c r="BD484" s="304"/>
      <c r="BE484" s="305"/>
      <c r="BF484" s="302"/>
      <c r="BG484" s="307"/>
      <c r="BH484" s="308"/>
      <c r="BI484" s="302"/>
      <c r="BJ484" s="307"/>
      <c r="BK484" s="308"/>
      <c r="BL484" s="302"/>
      <c r="BM484" s="303"/>
      <c r="BN484" s="315"/>
      <c r="BO484" s="250">
        <f t="shared" si="47"/>
        <v>0</v>
      </c>
    </row>
    <row r="485" spans="1:67" ht="25.5" customHeight="1" x14ac:dyDescent="0.2">
      <c r="A485" s="142">
        <f t="shared" si="48"/>
        <v>470</v>
      </c>
      <c r="B485" s="251"/>
      <c r="C485" s="252"/>
      <c r="D485" s="253"/>
      <c r="E485" s="254"/>
      <c r="F485" s="278"/>
      <c r="G485" s="256"/>
      <c r="H485" s="257"/>
      <c r="I485" s="231" t="str">
        <f t="shared" si="43"/>
        <v/>
      </c>
      <c r="J485" s="258">
        <f t="shared" si="44"/>
        <v>0</v>
      </c>
      <c r="K485" s="313"/>
      <c r="L485" s="300"/>
      <c r="M485" s="300"/>
      <c r="N485" s="235" t="str">
        <f t="shared" si="45"/>
        <v/>
      </c>
      <c r="O485" s="236" t="str">
        <f>IF('Data Set up'!$G$40="JUNE",IF(OR($N485=7,$N485=8,$N485=9),1,IF(OR($N485=10,$N485=11,$N485=12),2,IF(OR($N485=1,$N485=2,$N485=3),3,IF(OR($N485=4,$N485=5,$N485=6),4,"")))),IF(OR($N485=9,$N485=10,$N485=11),1,IF(OR($N485=12,$N485=1,$N485=2),2,IF(OR($N485=3,$N485=4,$N485=5),3,IF(OR($N485=6,$N485=7,$N485=8),4,"")))))</f>
        <v/>
      </c>
      <c r="P485" s="261"/>
      <c r="Q485" s="305"/>
      <c r="R485" s="302"/>
      <c r="S485" s="264">
        <f t="shared" si="46"/>
        <v>0</v>
      </c>
      <c r="T485" s="302"/>
      <c r="U485" s="302"/>
      <c r="V485" s="302"/>
      <c r="W485" s="302"/>
      <c r="X485" s="302"/>
      <c r="Y485" s="302"/>
      <c r="Z485" s="302"/>
      <c r="AA485" s="302"/>
      <c r="AB485" s="303"/>
      <c r="AC485" s="304"/>
      <c r="AD485" s="305"/>
      <c r="AE485" s="302"/>
      <c r="AF485" s="302"/>
      <c r="AG485" s="302"/>
      <c r="AH485" s="302"/>
      <c r="AI485" s="303"/>
      <c r="AJ485" s="303"/>
      <c r="AK485" s="302"/>
      <c r="AL485" s="314"/>
      <c r="AM485" s="305"/>
      <c r="AN485" s="302"/>
      <c r="AO485" s="302"/>
      <c r="AP485" s="302"/>
      <c r="AQ485" s="302"/>
      <c r="AR485" s="302"/>
      <c r="AS485" s="302"/>
      <c r="AT485" s="302"/>
      <c r="AU485" s="304"/>
      <c r="AV485" s="306"/>
      <c r="AW485" s="303"/>
      <c r="AX485" s="303"/>
      <c r="AY485" s="303"/>
      <c r="AZ485" s="303"/>
      <c r="BA485" s="303"/>
      <c r="BB485" s="303"/>
      <c r="BC485" s="303"/>
      <c r="BD485" s="304"/>
      <c r="BE485" s="305"/>
      <c r="BF485" s="302"/>
      <c r="BG485" s="307"/>
      <c r="BH485" s="308"/>
      <c r="BI485" s="302"/>
      <c r="BJ485" s="307"/>
      <c r="BK485" s="308"/>
      <c r="BL485" s="302"/>
      <c r="BM485" s="303"/>
      <c r="BN485" s="315"/>
      <c r="BO485" s="250">
        <f t="shared" si="47"/>
        <v>0</v>
      </c>
    </row>
    <row r="486" spans="1:67" ht="25.5" customHeight="1" x14ac:dyDescent="0.2">
      <c r="A486" s="142">
        <f t="shared" si="48"/>
        <v>471</v>
      </c>
      <c r="B486" s="251"/>
      <c r="C486" s="252"/>
      <c r="D486" s="253"/>
      <c r="E486" s="254"/>
      <c r="F486" s="278"/>
      <c r="G486" s="256"/>
      <c r="H486" s="257"/>
      <c r="I486" s="231" t="str">
        <f t="shared" si="43"/>
        <v/>
      </c>
      <c r="J486" s="258">
        <f t="shared" si="44"/>
        <v>0</v>
      </c>
      <c r="K486" s="313"/>
      <c r="L486" s="300"/>
      <c r="M486" s="300"/>
      <c r="N486" s="235" t="str">
        <f t="shared" si="45"/>
        <v/>
      </c>
      <c r="O486" s="236" t="str">
        <f>IF('Data Set up'!$G$40="JUNE",IF(OR($N486=7,$N486=8,$N486=9),1,IF(OR($N486=10,$N486=11,$N486=12),2,IF(OR($N486=1,$N486=2,$N486=3),3,IF(OR($N486=4,$N486=5,$N486=6),4,"")))),IF(OR($N486=9,$N486=10,$N486=11),1,IF(OR($N486=12,$N486=1,$N486=2),2,IF(OR($N486=3,$N486=4,$N486=5),3,IF(OR($N486=6,$N486=7,$N486=8),4,"")))))</f>
        <v/>
      </c>
      <c r="P486" s="261"/>
      <c r="Q486" s="305"/>
      <c r="R486" s="302"/>
      <c r="S486" s="264">
        <f t="shared" si="46"/>
        <v>0</v>
      </c>
      <c r="T486" s="302"/>
      <c r="U486" s="302"/>
      <c r="V486" s="302"/>
      <c r="W486" s="302"/>
      <c r="X486" s="302"/>
      <c r="Y486" s="302"/>
      <c r="Z486" s="302"/>
      <c r="AA486" s="302"/>
      <c r="AB486" s="303"/>
      <c r="AC486" s="304"/>
      <c r="AD486" s="305"/>
      <c r="AE486" s="302"/>
      <c r="AF486" s="302"/>
      <c r="AG486" s="302"/>
      <c r="AH486" s="302"/>
      <c r="AI486" s="303"/>
      <c r="AJ486" s="303"/>
      <c r="AK486" s="302"/>
      <c r="AL486" s="314"/>
      <c r="AM486" s="305"/>
      <c r="AN486" s="302"/>
      <c r="AO486" s="302"/>
      <c r="AP486" s="302"/>
      <c r="AQ486" s="302"/>
      <c r="AR486" s="302"/>
      <c r="AS486" s="302"/>
      <c r="AT486" s="302"/>
      <c r="AU486" s="304"/>
      <c r="AV486" s="306"/>
      <c r="AW486" s="303"/>
      <c r="AX486" s="303"/>
      <c r="AY486" s="303"/>
      <c r="AZ486" s="303"/>
      <c r="BA486" s="303"/>
      <c r="BB486" s="303"/>
      <c r="BC486" s="303"/>
      <c r="BD486" s="304"/>
      <c r="BE486" s="305"/>
      <c r="BF486" s="302"/>
      <c r="BG486" s="307"/>
      <c r="BH486" s="308"/>
      <c r="BI486" s="302"/>
      <c r="BJ486" s="307"/>
      <c r="BK486" s="308"/>
      <c r="BL486" s="302"/>
      <c r="BM486" s="303"/>
      <c r="BN486" s="315"/>
      <c r="BO486" s="250">
        <f t="shared" si="47"/>
        <v>0</v>
      </c>
    </row>
    <row r="487" spans="1:67" ht="25.5" customHeight="1" x14ac:dyDescent="0.2">
      <c r="A487" s="142">
        <f t="shared" si="48"/>
        <v>472</v>
      </c>
      <c r="B487" s="251"/>
      <c r="C487" s="252"/>
      <c r="D487" s="253"/>
      <c r="E487" s="254"/>
      <c r="F487" s="278"/>
      <c r="G487" s="256"/>
      <c r="H487" s="257"/>
      <c r="I487" s="231" t="str">
        <f t="shared" si="43"/>
        <v/>
      </c>
      <c r="J487" s="258">
        <f t="shared" si="44"/>
        <v>0</v>
      </c>
      <c r="K487" s="313"/>
      <c r="L487" s="300"/>
      <c r="M487" s="300"/>
      <c r="N487" s="235" t="str">
        <f t="shared" si="45"/>
        <v/>
      </c>
      <c r="O487" s="236" t="str">
        <f>IF('Data Set up'!$G$40="JUNE",IF(OR($N487=7,$N487=8,$N487=9),1,IF(OR($N487=10,$N487=11,$N487=12),2,IF(OR($N487=1,$N487=2,$N487=3),3,IF(OR($N487=4,$N487=5,$N487=6),4,"")))),IF(OR($N487=9,$N487=10,$N487=11),1,IF(OR($N487=12,$N487=1,$N487=2),2,IF(OR($N487=3,$N487=4,$N487=5),3,IF(OR($N487=6,$N487=7,$N487=8),4,"")))))</f>
        <v/>
      </c>
      <c r="P487" s="261"/>
      <c r="Q487" s="305"/>
      <c r="R487" s="302"/>
      <c r="S487" s="264">
        <f t="shared" si="46"/>
        <v>0</v>
      </c>
      <c r="T487" s="302"/>
      <c r="U487" s="302"/>
      <c r="V487" s="302"/>
      <c r="W487" s="302"/>
      <c r="X487" s="302"/>
      <c r="Y487" s="302"/>
      <c r="Z487" s="302"/>
      <c r="AA487" s="302"/>
      <c r="AB487" s="303"/>
      <c r="AC487" s="304"/>
      <c r="AD487" s="305"/>
      <c r="AE487" s="302"/>
      <c r="AF487" s="302"/>
      <c r="AG487" s="302"/>
      <c r="AH487" s="302"/>
      <c r="AI487" s="303"/>
      <c r="AJ487" s="303"/>
      <c r="AK487" s="302"/>
      <c r="AL487" s="314"/>
      <c r="AM487" s="305"/>
      <c r="AN487" s="302"/>
      <c r="AO487" s="302"/>
      <c r="AP487" s="302"/>
      <c r="AQ487" s="302"/>
      <c r="AR487" s="302"/>
      <c r="AS487" s="302"/>
      <c r="AT487" s="302"/>
      <c r="AU487" s="304"/>
      <c r="AV487" s="306"/>
      <c r="AW487" s="303"/>
      <c r="AX487" s="303"/>
      <c r="AY487" s="303"/>
      <c r="AZ487" s="303"/>
      <c r="BA487" s="303"/>
      <c r="BB487" s="303"/>
      <c r="BC487" s="303"/>
      <c r="BD487" s="304"/>
      <c r="BE487" s="305"/>
      <c r="BF487" s="302"/>
      <c r="BG487" s="307"/>
      <c r="BH487" s="308"/>
      <c r="BI487" s="302"/>
      <c r="BJ487" s="307"/>
      <c r="BK487" s="308"/>
      <c r="BL487" s="302"/>
      <c r="BM487" s="303"/>
      <c r="BN487" s="315"/>
      <c r="BO487" s="250">
        <f t="shared" si="47"/>
        <v>0</v>
      </c>
    </row>
    <row r="488" spans="1:67" ht="25.5" customHeight="1" x14ac:dyDescent="0.2">
      <c r="A488" s="142">
        <f t="shared" si="48"/>
        <v>473</v>
      </c>
      <c r="B488" s="251"/>
      <c r="C488" s="252"/>
      <c r="D488" s="253"/>
      <c r="E488" s="254"/>
      <c r="F488" s="278"/>
      <c r="G488" s="256"/>
      <c r="H488" s="257"/>
      <c r="I488" s="231" t="str">
        <f t="shared" si="43"/>
        <v/>
      </c>
      <c r="J488" s="258">
        <f t="shared" si="44"/>
        <v>0</v>
      </c>
      <c r="K488" s="313"/>
      <c r="L488" s="300"/>
      <c r="M488" s="300"/>
      <c r="N488" s="235" t="str">
        <f t="shared" si="45"/>
        <v/>
      </c>
      <c r="O488" s="236" t="str">
        <f>IF('Data Set up'!$G$40="JUNE",IF(OR($N488=7,$N488=8,$N488=9),1,IF(OR($N488=10,$N488=11,$N488=12),2,IF(OR($N488=1,$N488=2,$N488=3),3,IF(OR($N488=4,$N488=5,$N488=6),4,"")))),IF(OR($N488=9,$N488=10,$N488=11),1,IF(OR($N488=12,$N488=1,$N488=2),2,IF(OR($N488=3,$N488=4,$N488=5),3,IF(OR($N488=6,$N488=7,$N488=8),4,"")))))</f>
        <v/>
      </c>
      <c r="P488" s="261"/>
      <c r="Q488" s="305"/>
      <c r="R488" s="302"/>
      <c r="S488" s="264">
        <f t="shared" si="46"/>
        <v>0</v>
      </c>
      <c r="T488" s="302"/>
      <c r="U488" s="302"/>
      <c r="V488" s="302"/>
      <c r="W488" s="302"/>
      <c r="X488" s="302"/>
      <c r="Y488" s="302"/>
      <c r="Z488" s="302"/>
      <c r="AA488" s="302"/>
      <c r="AB488" s="303"/>
      <c r="AC488" s="304"/>
      <c r="AD488" s="305"/>
      <c r="AE488" s="302"/>
      <c r="AF488" s="302"/>
      <c r="AG488" s="302"/>
      <c r="AH488" s="302"/>
      <c r="AI488" s="303"/>
      <c r="AJ488" s="303"/>
      <c r="AK488" s="302"/>
      <c r="AL488" s="314"/>
      <c r="AM488" s="305"/>
      <c r="AN488" s="302"/>
      <c r="AO488" s="302"/>
      <c r="AP488" s="302"/>
      <c r="AQ488" s="302"/>
      <c r="AR488" s="302"/>
      <c r="AS488" s="302"/>
      <c r="AT488" s="302"/>
      <c r="AU488" s="304"/>
      <c r="AV488" s="306"/>
      <c r="AW488" s="303"/>
      <c r="AX488" s="303"/>
      <c r="AY488" s="303"/>
      <c r="AZ488" s="303"/>
      <c r="BA488" s="303"/>
      <c r="BB488" s="303"/>
      <c r="BC488" s="303"/>
      <c r="BD488" s="304"/>
      <c r="BE488" s="305"/>
      <c r="BF488" s="302"/>
      <c r="BG488" s="307"/>
      <c r="BH488" s="308"/>
      <c r="BI488" s="302"/>
      <c r="BJ488" s="307"/>
      <c r="BK488" s="308"/>
      <c r="BL488" s="302"/>
      <c r="BM488" s="303"/>
      <c r="BN488" s="315"/>
      <c r="BO488" s="250">
        <f t="shared" si="47"/>
        <v>0</v>
      </c>
    </row>
    <row r="489" spans="1:67" ht="25.5" customHeight="1" x14ac:dyDescent="0.2">
      <c r="A489" s="142">
        <f t="shared" si="48"/>
        <v>474</v>
      </c>
      <c r="B489" s="251"/>
      <c r="C489" s="252"/>
      <c r="D489" s="253"/>
      <c r="E489" s="254"/>
      <c r="F489" s="278"/>
      <c r="G489" s="256"/>
      <c r="H489" s="257"/>
      <c r="I489" s="231" t="str">
        <f t="shared" si="43"/>
        <v/>
      </c>
      <c r="J489" s="258">
        <f t="shared" si="44"/>
        <v>0</v>
      </c>
      <c r="K489" s="313"/>
      <c r="L489" s="300"/>
      <c r="M489" s="300"/>
      <c r="N489" s="235" t="str">
        <f t="shared" si="45"/>
        <v/>
      </c>
      <c r="O489" s="236" t="str">
        <f>IF('Data Set up'!$G$40="JUNE",IF(OR($N489=7,$N489=8,$N489=9),1,IF(OR($N489=10,$N489=11,$N489=12),2,IF(OR($N489=1,$N489=2,$N489=3),3,IF(OR($N489=4,$N489=5,$N489=6),4,"")))),IF(OR($N489=9,$N489=10,$N489=11),1,IF(OR($N489=12,$N489=1,$N489=2),2,IF(OR($N489=3,$N489=4,$N489=5),3,IF(OR($N489=6,$N489=7,$N489=8),4,"")))))</f>
        <v/>
      </c>
      <c r="P489" s="261"/>
      <c r="Q489" s="305"/>
      <c r="R489" s="302"/>
      <c r="S489" s="264">
        <f t="shared" si="46"/>
        <v>0</v>
      </c>
      <c r="T489" s="302"/>
      <c r="U489" s="302"/>
      <c r="V489" s="302"/>
      <c r="W489" s="302"/>
      <c r="X489" s="302"/>
      <c r="Y489" s="302"/>
      <c r="Z489" s="302"/>
      <c r="AA489" s="302"/>
      <c r="AB489" s="303"/>
      <c r="AC489" s="304"/>
      <c r="AD489" s="305"/>
      <c r="AE489" s="302"/>
      <c r="AF489" s="302"/>
      <c r="AG489" s="302"/>
      <c r="AH489" s="302"/>
      <c r="AI489" s="303"/>
      <c r="AJ489" s="303"/>
      <c r="AK489" s="302"/>
      <c r="AL489" s="314"/>
      <c r="AM489" s="305"/>
      <c r="AN489" s="302"/>
      <c r="AO489" s="302"/>
      <c r="AP489" s="302"/>
      <c r="AQ489" s="302"/>
      <c r="AR489" s="302"/>
      <c r="AS489" s="302"/>
      <c r="AT489" s="302"/>
      <c r="AU489" s="304"/>
      <c r="AV489" s="306"/>
      <c r="AW489" s="303"/>
      <c r="AX489" s="303"/>
      <c r="AY489" s="303"/>
      <c r="AZ489" s="303"/>
      <c r="BA489" s="303"/>
      <c r="BB489" s="303"/>
      <c r="BC489" s="303"/>
      <c r="BD489" s="304"/>
      <c r="BE489" s="305"/>
      <c r="BF489" s="302"/>
      <c r="BG489" s="307"/>
      <c r="BH489" s="308"/>
      <c r="BI489" s="302"/>
      <c r="BJ489" s="307"/>
      <c r="BK489" s="308"/>
      <c r="BL489" s="302"/>
      <c r="BM489" s="303"/>
      <c r="BN489" s="315"/>
      <c r="BO489" s="250">
        <f t="shared" si="47"/>
        <v>0</v>
      </c>
    </row>
    <row r="490" spans="1:67" ht="25.5" customHeight="1" x14ac:dyDescent="0.2">
      <c r="A490" s="142">
        <f t="shared" si="48"/>
        <v>475</v>
      </c>
      <c r="B490" s="251"/>
      <c r="C490" s="252"/>
      <c r="D490" s="253"/>
      <c r="E490" s="254"/>
      <c r="F490" s="278"/>
      <c r="G490" s="256"/>
      <c r="H490" s="257"/>
      <c r="I490" s="231" t="str">
        <f t="shared" si="43"/>
        <v/>
      </c>
      <c r="J490" s="258">
        <f t="shared" si="44"/>
        <v>0</v>
      </c>
      <c r="K490" s="313"/>
      <c r="L490" s="300"/>
      <c r="M490" s="300"/>
      <c r="N490" s="235" t="str">
        <f t="shared" si="45"/>
        <v/>
      </c>
      <c r="O490" s="236" t="str">
        <f>IF('Data Set up'!$G$40="JUNE",IF(OR($N490=7,$N490=8,$N490=9),1,IF(OR($N490=10,$N490=11,$N490=12),2,IF(OR($N490=1,$N490=2,$N490=3),3,IF(OR($N490=4,$N490=5,$N490=6),4,"")))),IF(OR($N490=9,$N490=10,$N490=11),1,IF(OR($N490=12,$N490=1,$N490=2),2,IF(OR($N490=3,$N490=4,$N490=5),3,IF(OR($N490=6,$N490=7,$N490=8),4,"")))))</f>
        <v/>
      </c>
      <c r="P490" s="261"/>
      <c r="Q490" s="305"/>
      <c r="R490" s="302"/>
      <c r="S490" s="264">
        <f t="shared" si="46"/>
        <v>0</v>
      </c>
      <c r="T490" s="302"/>
      <c r="U490" s="302"/>
      <c r="V490" s="302"/>
      <c r="W490" s="302"/>
      <c r="X490" s="302"/>
      <c r="Y490" s="302"/>
      <c r="Z490" s="302"/>
      <c r="AA490" s="302"/>
      <c r="AB490" s="303"/>
      <c r="AC490" s="304"/>
      <c r="AD490" s="305"/>
      <c r="AE490" s="302"/>
      <c r="AF490" s="302"/>
      <c r="AG490" s="302"/>
      <c r="AH490" s="302"/>
      <c r="AI490" s="303"/>
      <c r="AJ490" s="303"/>
      <c r="AK490" s="302"/>
      <c r="AL490" s="314"/>
      <c r="AM490" s="305"/>
      <c r="AN490" s="302"/>
      <c r="AO490" s="302"/>
      <c r="AP490" s="302"/>
      <c r="AQ490" s="302"/>
      <c r="AR490" s="302"/>
      <c r="AS490" s="302"/>
      <c r="AT490" s="302"/>
      <c r="AU490" s="304"/>
      <c r="AV490" s="306"/>
      <c r="AW490" s="303"/>
      <c r="AX490" s="303"/>
      <c r="AY490" s="303"/>
      <c r="AZ490" s="303"/>
      <c r="BA490" s="303"/>
      <c r="BB490" s="303"/>
      <c r="BC490" s="303"/>
      <c r="BD490" s="304"/>
      <c r="BE490" s="305"/>
      <c r="BF490" s="302"/>
      <c r="BG490" s="307"/>
      <c r="BH490" s="308"/>
      <c r="BI490" s="302"/>
      <c r="BJ490" s="307"/>
      <c r="BK490" s="308"/>
      <c r="BL490" s="302"/>
      <c r="BM490" s="303"/>
      <c r="BN490" s="315"/>
      <c r="BO490" s="250">
        <f t="shared" si="47"/>
        <v>0</v>
      </c>
    </row>
    <row r="491" spans="1:67" ht="25.5" customHeight="1" x14ac:dyDescent="0.2">
      <c r="A491" s="142">
        <f t="shared" si="48"/>
        <v>476</v>
      </c>
      <c r="B491" s="251"/>
      <c r="C491" s="252"/>
      <c r="D491" s="253"/>
      <c r="E491" s="254"/>
      <c r="F491" s="278"/>
      <c r="G491" s="256"/>
      <c r="H491" s="257"/>
      <c r="I491" s="231" t="str">
        <f t="shared" si="43"/>
        <v/>
      </c>
      <c r="J491" s="258">
        <f t="shared" si="44"/>
        <v>0</v>
      </c>
      <c r="K491" s="313"/>
      <c r="L491" s="300"/>
      <c r="M491" s="300"/>
      <c r="N491" s="235" t="str">
        <f t="shared" si="45"/>
        <v/>
      </c>
      <c r="O491" s="236" t="str">
        <f>IF('Data Set up'!$G$40="JUNE",IF(OR($N491=7,$N491=8,$N491=9),1,IF(OR($N491=10,$N491=11,$N491=12),2,IF(OR($N491=1,$N491=2,$N491=3),3,IF(OR($N491=4,$N491=5,$N491=6),4,"")))),IF(OR($N491=9,$N491=10,$N491=11),1,IF(OR($N491=12,$N491=1,$N491=2),2,IF(OR($N491=3,$N491=4,$N491=5),3,IF(OR($N491=6,$N491=7,$N491=8),4,"")))))</f>
        <v/>
      </c>
      <c r="P491" s="261"/>
      <c r="Q491" s="305"/>
      <c r="R491" s="302"/>
      <c r="S491" s="264">
        <f t="shared" si="46"/>
        <v>0</v>
      </c>
      <c r="T491" s="302"/>
      <c r="U491" s="302"/>
      <c r="V491" s="302"/>
      <c r="W491" s="302"/>
      <c r="X491" s="302"/>
      <c r="Y491" s="302"/>
      <c r="Z491" s="302"/>
      <c r="AA491" s="302"/>
      <c r="AB491" s="303"/>
      <c r="AC491" s="304"/>
      <c r="AD491" s="305"/>
      <c r="AE491" s="302"/>
      <c r="AF491" s="302"/>
      <c r="AG491" s="302"/>
      <c r="AH491" s="302"/>
      <c r="AI491" s="303"/>
      <c r="AJ491" s="303"/>
      <c r="AK491" s="302"/>
      <c r="AL491" s="314"/>
      <c r="AM491" s="305"/>
      <c r="AN491" s="302"/>
      <c r="AO491" s="302"/>
      <c r="AP491" s="302"/>
      <c r="AQ491" s="302"/>
      <c r="AR491" s="302"/>
      <c r="AS491" s="302"/>
      <c r="AT491" s="302"/>
      <c r="AU491" s="304"/>
      <c r="AV491" s="306"/>
      <c r="AW491" s="303"/>
      <c r="AX491" s="303"/>
      <c r="AY491" s="303"/>
      <c r="AZ491" s="303"/>
      <c r="BA491" s="303"/>
      <c r="BB491" s="303"/>
      <c r="BC491" s="303"/>
      <c r="BD491" s="304"/>
      <c r="BE491" s="305"/>
      <c r="BF491" s="302"/>
      <c r="BG491" s="307"/>
      <c r="BH491" s="308"/>
      <c r="BI491" s="302"/>
      <c r="BJ491" s="307"/>
      <c r="BK491" s="308"/>
      <c r="BL491" s="302"/>
      <c r="BM491" s="303"/>
      <c r="BN491" s="315"/>
      <c r="BO491" s="250">
        <f t="shared" si="47"/>
        <v>0</v>
      </c>
    </row>
    <row r="492" spans="1:67" ht="25.5" customHeight="1" x14ac:dyDescent="0.2">
      <c r="A492" s="142">
        <f t="shared" si="48"/>
        <v>477</v>
      </c>
      <c r="B492" s="251"/>
      <c r="C492" s="252"/>
      <c r="D492" s="253"/>
      <c r="E492" s="254"/>
      <c r="F492" s="278"/>
      <c r="G492" s="256"/>
      <c r="H492" s="257"/>
      <c r="I492" s="231" t="str">
        <f t="shared" si="43"/>
        <v/>
      </c>
      <c r="J492" s="258">
        <f t="shared" si="44"/>
        <v>0</v>
      </c>
      <c r="K492" s="313"/>
      <c r="L492" s="300"/>
      <c r="M492" s="300"/>
      <c r="N492" s="235" t="str">
        <f t="shared" si="45"/>
        <v/>
      </c>
      <c r="O492" s="236" t="str">
        <f>IF('Data Set up'!$G$40="JUNE",IF(OR($N492=7,$N492=8,$N492=9),1,IF(OR($N492=10,$N492=11,$N492=12),2,IF(OR($N492=1,$N492=2,$N492=3),3,IF(OR($N492=4,$N492=5,$N492=6),4,"")))),IF(OR($N492=9,$N492=10,$N492=11),1,IF(OR($N492=12,$N492=1,$N492=2),2,IF(OR($N492=3,$N492=4,$N492=5),3,IF(OR($N492=6,$N492=7,$N492=8),4,"")))))</f>
        <v/>
      </c>
      <c r="P492" s="261"/>
      <c r="Q492" s="305"/>
      <c r="R492" s="302"/>
      <c r="S492" s="264">
        <f t="shared" si="46"/>
        <v>0</v>
      </c>
      <c r="T492" s="302"/>
      <c r="U492" s="302"/>
      <c r="V492" s="302"/>
      <c r="W492" s="302"/>
      <c r="X492" s="302"/>
      <c r="Y492" s="302"/>
      <c r="Z492" s="302"/>
      <c r="AA492" s="302"/>
      <c r="AB492" s="303"/>
      <c r="AC492" s="304"/>
      <c r="AD492" s="305"/>
      <c r="AE492" s="302"/>
      <c r="AF492" s="302"/>
      <c r="AG492" s="302"/>
      <c r="AH492" s="302"/>
      <c r="AI492" s="303"/>
      <c r="AJ492" s="303"/>
      <c r="AK492" s="302"/>
      <c r="AL492" s="314"/>
      <c r="AM492" s="305"/>
      <c r="AN492" s="302"/>
      <c r="AO492" s="302"/>
      <c r="AP492" s="302"/>
      <c r="AQ492" s="302"/>
      <c r="AR492" s="302"/>
      <c r="AS492" s="302"/>
      <c r="AT492" s="302"/>
      <c r="AU492" s="304"/>
      <c r="AV492" s="306"/>
      <c r="AW492" s="303"/>
      <c r="AX492" s="303"/>
      <c r="AY492" s="303"/>
      <c r="AZ492" s="303"/>
      <c r="BA492" s="303"/>
      <c r="BB492" s="303"/>
      <c r="BC492" s="303"/>
      <c r="BD492" s="304"/>
      <c r="BE492" s="305"/>
      <c r="BF492" s="302"/>
      <c r="BG492" s="307"/>
      <c r="BH492" s="308"/>
      <c r="BI492" s="302"/>
      <c r="BJ492" s="307"/>
      <c r="BK492" s="308"/>
      <c r="BL492" s="302"/>
      <c r="BM492" s="303"/>
      <c r="BN492" s="315"/>
      <c r="BO492" s="250">
        <f t="shared" si="47"/>
        <v>0</v>
      </c>
    </row>
    <row r="493" spans="1:67" ht="25.5" customHeight="1" x14ac:dyDescent="0.2">
      <c r="A493" s="142">
        <f t="shared" si="48"/>
        <v>478</v>
      </c>
      <c r="B493" s="251"/>
      <c r="C493" s="252"/>
      <c r="D493" s="253"/>
      <c r="E493" s="254"/>
      <c r="F493" s="278"/>
      <c r="G493" s="256"/>
      <c r="H493" s="257"/>
      <c r="I493" s="231" t="str">
        <f t="shared" si="43"/>
        <v/>
      </c>
      <c r="J493" s="258">
        <f t="shared" si="44"/>
        <v>0</v>
      </c>
      <c r="K493" s="313"/>
      <c r="L493" s="300"/>
      <c r="M493" s="300"/>
      <c r="N493" s="235" t="str">
        <f t="shared" si="45"/>
        <v/>
      </c>
      <c r="O493" s="236" t="str">
        <f>IF('Data Set up'!$G$40="JUNE",IF(OR($N493=7,$N493=8,$N493=9),1,IF(OR($N493=10,$N493=11,$N493=12),2,IF(OR($N493=1,$N493=2,$N493=3),3,IF(OR($N493=4,$N493=5,$N493=6),4,"")))),IF(OR($N493=9,$N493=10,$N493=11),1,IF(OR($N493=12,$N493=1,$N493=2),2,IF(OR($N493=3,$N493=4,$N493=5),3,IF(OR($N493=6,$N493=7,$N493=8),4,"")))))</f>
        <v/>
      </c>
      <c r="P493" s="261"/>
      <c r="Q493" s="305"/>
      <c r="R493" s="302"/>
      <c r="S493" s="264">
        <f t="shared" si="46"/>
        <v>0</v>
      </c>
      <c r="T493" s="302"/>
      <c r="U493" s="302"/>
      <c r="V493" s="302"/>
      <c r="W493" s="302"/>
      <c r="X493" s="302"/>
      <c r="Y493" s="302"/>
      <c r="Z493" s="302"/>
      <c r="AA493" s="302"/>
      <c r="AB493" s="303"/>
      <c r="AC493" s="304"/>
      <c r="AD493" s="305"/>
      <c r="AE493" s="302"/>
      <c r="AF493" s="302"/>
      <c r="AG493" s="302"/>
      <c r="AH493" s="302"/>
      <c r="AI493" s="303"/>
      <c r="AJ493" s="303"/>
      <c r="AK493" s="302"/>
      <c r="AL493" s="314"/>
      <c r="AM493" s="305"/>
      <c r="AN493" s="302"/>
      <c r="AO493" s="302"/>
      <c r="AP493" s="302"/>
      <c r="AQ493" s="302"/>
      <c r="AR493" s="302"/>
      <c r="AS493" s="302"/>
      <c r="AT493" s="302"/>
      <c r="AU493" s="304"/>
      <c r="AV493" s="306"/>
      <c r="AW493" s="303"/>
      <c r="AX493" s="303"/>
      <c r="AY493" s="303"/>
      <c r="AZ493" s="303"/>
      <c r="BA493" s="303"/>
      <c r="BB493" s="303"/>
      <c r="BC493" s="303"/>
      <c r="BD493" s="304"/>
      <c r="BE493" s="305"/>
      <c r="BF493" s="302"/>
      <c r="BG493" s="307"/>
      <c r="BH493" s="308"/>
      <c r="BI493" s="302"/>
      <c r="BJ493" s="307"/>
      <c r="BK493" s="308"/>
      <c r="BL493" s="302"/>
      <c r="BM493" s="303"/>
      <c r="BN493" s="315"/>
      <c r="BO493" s="250">
        <f t="shared" si="47"/>
        <v>0</v>
      </c>
    </row>
    <row r="494" spans="1:67" ht="25.5" customHeight="1" x14ac:dyDescent="0.2">
      <c r="A494" s="142">
        <f t="shared" si="48"/>
        <v>479</v>
      </c>
      <c r="B494" s="251"/>
      <c r="C494" s="252"/>
      <c r="D494" s="253"/>
      <c r="E494" s="254"/>
      <c r="F494" s="278"/>
      <c r="G494" s="256"/>
      <c r="H494" s="257"/>
      <c r="I494" s="231" t="str">
        <f t="shared" si="43"/>
        <v/>
      </c>
      <c r="J494" s="258">
        <f t="shared" si="44"/>
        <v>0</v>
      </c>
      <c r="K494" s="313"/>
      <c r="L494" s="300"/>
      <c r="M494" s="300"/>
      <c r="N494" s="235" t="str">
        <f t="shared" si="45"/>
        <v/>
      </c>
      <c r="O494" s="236" t="str">
        <f>IF('Data Set up'!$G$40="JUNE",IF(OR($N494=7,$N494=8,$N494=9),1,IF(OR($N494=10,$N494=11,$N494=12),2,IF(OR($N494=1,$N494=2,$N494=3),3,IF(OR($N494=4,$N494=5,$N494=6),4,"")))),IF(OR($N494=9,$N494=10,$N494=11),1,IF(OR($N494=12,$N494=1,$N494=2),2,IF(OR($N494=3,$N494=4,$N494=5),3,IF(OR($N494=6,$N494=7,$N494=8),4,"")))))</f>
        <v/>
      </c>
      <c r="P494" s="261"/>
      <c r="Q494" s="305"/>
      <c r="R494" s="302"/>
      <c r="S494" s="264">
        <f t="shared" si="46"/>
        <v>0</v>
      </c>
      <c r="T494" s="302"/>
      <c r="U494" s="302"/>
      <c r="V494" s="302"/>
      <c r="W494" s="302"/>
      <c r="X494" s="302"/>
      <c r="Y494" s="302"/>
      <c r="Z494" s="302"/>
      <c r="AA494" s="302"/>
      <c r="AB494" s="303"/>
      <c r="AC494" s="304"/>
      <c r="AD494" s="305"/>
      <c r="AE494" s="302"/>
      <c r="AF494" s="302"/>
      <c r="AG494" s="302"/>
      <c r="AH494" s="302"/>
      <c r="AI494" s="303"/>
      <c r="AJ494" s="303"/>
      <c r="AK494" s="302"/>
      <c r="AL494" s="314"/>
      <c r="AM494" s="305"/>
      <c r="AN494" s="302"/>
      <c r="AO494" s="302"/>
      <c r="AP494" s="302"/>
      <c r="AQ494" s="302"/>
      <c r="AR494" s="302"/>
      <c r="AS494" s="302"/>
      <c r="AT494" s="302"/>
      <c r="AU494" s="304"/>
      <c r="AV494" s="306"/>
      <c r="AW494" s="303"/>
      <c r="AX494" s="303"/>
      <c r="AY494" s="303"/>
      <c r="AZ494" s="303"/>
      <c r="BA494" s="303"/>
      <c r="BB494" s="303"/>
      <c r="BC494" s="303"/>
      <c r="BD494" s="304"/>
      <c r="BE494" s="305"/>
      <c r="BF494" s="302"/>
      <c r="BG494" s="307"/>
      <c r="BH494" s="308"/>
      <c r="BI494" s="302"/>
      <c r="BJ494" s="307"/>
      <c r="BK494" s="308"/>
      <c r="BL494" s="302"/>
      <c r="BM494" s="303"/>
      <c r="BN494" s="315"/>
      <c r="BO494" s="250">
        <f t="shared" si="47"/>
        <v>0</v>
      </c>
    </row>
    <row r="495" spans="1:67" ht="25.5" customHeight="1" x14ac:dyDescent="0.2">
      <c r="A495" s="142">
        <f t="shared" si="48"/>
        <v>480</v>
      </c>
      <c r="B495" s="251"/>
      <c r="C495" s="252"/>
      <c r="D495" s="253"/>
      <c r="E495" s="254"/>
      <c r="F495" s="278"/>
      <c r="G495" s="256"/>
      <c r="H495" s="257"/>
      <c r="I495" s="231" t="str">
        <f t="shared" si="43"/>
        <v/>
      </c>
      <c r="J495" s="258">
        <f t="shared" si="44"/>
        <v>0</v>
      </c>
      <c r="K495" s="313"/>
      <c r="L495" s="300"/>
      <c r="M495" s="300"/>
      <c r="N495" s="235" t="str">
        <f t="shared" si="45"/>
        <v/>
      </c>
      <c r="O495" s="236" t="str">
        <f>IF('Data Set up'!$G$40="JUNE",IF(OR($N495=7,$N495=8,$N495=9),1,IF(OR($N495=10,$N495=11,$N495=12),2,IF(OR($N495=1,$N495=2,$N495=3),3,IF(OR($N495=4,$N495=5,$N495=6),4,"")))),IF(OR($N495=9,$N495=10,$N495=11),1,IF(OR($N495=12,$N495=1,$N495=2),2,IF(OR($N495=3,$N495=4,$N495=5),3,IF(OR($N495=6,$N495=7,$N495=8),4,"")))))</f>
        <v/>
      </c>
      <c r="P495" s="261"/>
      <c r="Q495" s="305"/>
      <c r="R495" s="302"/>
      <c r="S495" s="264">
        <f t="shared" si="46"/>
        <v>0</v>
      </c>
      <c r="T495" s="302"/>
      <c r="U495" s="302"/>
      <c r="V495" s="302"/>
      <c r="W495" s="302"/>
      <c r="X495" s="302"/>
      <c r="Y495" s="302"/>
      <c r="Z495" s="302"/>
      <c r="AA495" s="302"/>
      <c r="AB495" s="303"/>
      <c r="AC495" s="304"/>
      <c r="AD495" s="305"/>
      <c r="AE495" s="302"/>
      <c r="AF495" s="302"/>
      <c r="AG495" s="302"/>
      <c r="AH495" s="302"/>
      <c r="AI495" s="303"/>
      <c r="AJ495" s="303"/>
      <c r="AK495" s="302"/>
      <c r="AL495" s="314"/>
      <c r="AM495" s="305"/>
      <c r="AN495" s="302"/>
      <c r="AO495" s="302"/>
      <c r="AP495" s="302"/>
      <c r="AQ495" s="302"/>
      <c r="AR495" s="302"/>
      <c r="AS495" s="302"/>
      <c r="AT495" s="302"/>
      <c r="AU495" s="304"/>
      <c r="AV495" s="306"/>
      <c r="AW495" s="303"/>
      <c r="AX495" s="303"/>
      <c r="AY495" s="303"/>
      <c r="AZ495" s="303"/>
      <c r="BA495" s="303"/>
      <c r="BB495" s="303"/>
      <c r="BC495" s="303"/>
      <c r="BD495" s="304"/>
      <c r="BE495" s="305"/>
      <c r="BF495" s="302"/>
      <c r="BG495" s="307"/>
      <c r="BH495" s="308"/>
      <c r="BI495" s="302"/>
      <c r="BJ495" s="307"/>
      <c r="BK495" s="308"/>
      <c r="BL495" s="302"/>
      <c r="BM495" s="303"/>
      <c r="BN495" s="315"/>
      <c r="BO495" s="250">
        <f t="shared" si="47"/>
        <v>0</v>
      </c>
    </row>
    <row r="496" spans="1:67" ht="25.5" customHeight="1" x14ac:dyDescent="0.2">
      <c r="A496" s="142">
        <f t="shared" si="48"/>
        <v>481</v>
      </c>
      <c r="B496" s="251"/>
      <c r="C496" s="252"/>
      <c r="D496" s="253"/>
      <c r="E496" s="254"/>
      <c r="F496" s="278"/>
      <c r="G496" s="256"/>
      <c r="H496" s="257"/>
      <c r="I496" s="231" t="str">
        <f t="shared" si="43"/>
        <v/>
      </c>
      <c r="J496" s="258">
        <f t="shared" si="44"/>
        <v>0</v>
      </c>
      <c r="K496" s="313"/>
      <c r="L496" s="300"/>
      <c r="M496" s="300"/>
      <c r="N496" s="235" t="str">
        <f t="shared" si="45"/>
        <v/>
      </c>
      <c r="O496" s="236" t="str">
        <f>IF('Data Set up'!$G$40="JUNE",IF(OR($N496=7,$N496=8,$N496=9),1,IF(OR($N496=10,$N496=11,$N496=12),2,IF(OR($N496=1,$N496=2,$N496=3),3,IF(OR($N496=4,$N496=5,$N496=6),4,"")))),IF(OR($N496=9,$N496=10,$N496=11),1,IF(OR($N496=12,$N496=1,$N496=2),2,IF(OR($N496=3,$N496=4,$N496=5),3,IF(OR($N496=6,$N496=7,$N496=8),4,"")))))</f>
        <v/>
      </c>
      <c r="P496" s="261"/>
      <c r="Q496" s="305"/>
      <c r="R496" s="302"/>
      <c r="S496" s="264">
        <f t="shared" si="46"/>
        <v>0</v>
      </c>
      <c r="T496" s="302"/>
      <c r="U496" s="302"/>
      <c r="V496" s="302"/>
      <c r="W496" s="302"/>
      <c r="X496" s="302"/>
      <c r="Y496" s="302"/>
      <c r="Z496" s="302"/>
      <c r="AA496" s="302"/>
      <c r="AB496" s="303"/>
      <c r="AC496" s="304"/>
      <c r="AD496" s="305"/>
      <c r="AE496" s="302"/>
      <c r="AF496" s="302"/>
      <c r="AG496" s="302"/>
      <c r="AH496" s="302"/>
      <c r="AI496" s="303"/>
      <c r="AJ496" s="303"/>
      <c r="AK496" s="302"/>
      <c r="AL496" s="314"/>
      <c r="AM496" s="305"/>
      <c r="AN496" s="302"/>
      <c r="AO496" s="302"/>
      <c r="AP496" s="302"/>
      <c r="AQ496" s="302"/>
      <c r="AR496" s="302"/>
      <c r="AS496" s="302"/>
      <c r="AT496" s="302"/>
      <c r="AU496" s="304"/>
      <c r="AV496" s="306"/>
      <c r="AW496" s="303"/>
      <c r="AX496" s="303"/>
      <c r="AY496" s="303"/>
      <c r="AZ496" s="303"/>
      <c r="BA496" s="303"/>
      <c r="BB496" s="303"/>
      <c r="BC496" s="303"/>
      <c r="BD496" s="304"/>
      <c r="BE496" s="305"/>
      <c r="BF496" s="302"/>
      <c r="BG496" s="307"/>
      <c r="BH496" s="308"/>
      <c r="BI496" s="302"/>
      <c r="BJ496" s="307"/>
      <c r="BK496" s="308"/>
      <c r="BL496" s="302"/>
      <c r="BM496" s="303"/>
      <c r="BN496" s="315"/>
      <c r="BO496" s="250">
        <f t="shared" si="47"/>
        <v>0</v>
      </c>
    </row>
    <row r="497" spans="1:67" ht="25.5" customHeight="1" x14ac:dyDescent="0.2">
      <c r="A497" s="142">
        <f t="shared" si="48"/>
        <v>482</v>
      </c>
      <c r="B497" s="251"/>
      <c r="C497" s="252"/>
      <c r="D497" s="253"/>
      <c r="E497" s="254"/>
      <c r="F497" s="278"/>
      <c r="G497" s="256"/>
      <c r="H497" s="257"/>
      <c r="I497" s="231" t="str">
        <f t="shared" si="43"/>
        <v/>
      </c>
      <c r="J497" s="258">
        <f t="shared" si="44"/>
        <v>0</v>
      </c>
      <c r="K497" s="313"/>
      <c r="L497" s="300"/>
      <c r="M497" s="300"/>
      <c r="N497" s="235" t="str">
        <f t="shared" si="45"/>
        <v/>
      </c>
      <c r="O497" s="236" t="str">
        <f>IF('Data Set up'!$G$40="JUNE",IF(OR($N497=7,$N497=8,$N497=9),1,IF(OR($N497=10,$N497=11,$N497=12),2,IF(OR($N497=1,$N497=2,$N497=3),3,IF(OR($N497=4,$N497=5,$N497=6),4,"")))),IF(OR($N497=9,$N497=10,$N497=11),1,IF(OR($N497=12,$N497=1,$N497=2),2,IF(OR($N497=3,$N497=4,$N497=5),3,IF(OR($N497=6,$N497=7,$N497=8),4,"")))))</f>
        <v/>
      </c>
      <c r="P497" s="261"/>
      <c r="Q497" s="305"/>
      <c r="R497" s="302"/>
      <c r="S497" s="264">
        <f t="shared" si="46"/>
        <v>0</v>
      </c>
      <c r="T497" s="302"/>
      <c r="U497" s="302"/>
      <c r="V497" s="302"/>
      <c r="W497" s="302"/>
      <c r="X497" s="302"/>
      <c r="Y497" s="302"/>
      <c r="Z497" s="302"/>
      <c r="AA497" s="302"/>
      <c r="AB497" s="303"/>
      <c r="AC497" s="304"/>
      <c r="AD497" s="305"/>
      <c r="AE497" s="302"/>
      <c r="AF497" s="302"/>
      <c r="AG497" s="302"/>
      <c r="AH497" s="302"/>
      <c r="AI497" s="303"/>
      <c r="AJ497" s="303"/>
      <c r="AK497" s="302"/>
      <c r="AL497" s="314"/>
      <c r="AM497" s="305"/>
      <c r="AN497" s="302"/>
      <c r="AO497" s="302"/>
      <c r="AP497" s="302"/>
      <c r="AQ497" s="302"/>
      <c r="AR497" s="302"/>
      <c r="AS497" s="302"/>
      <c r="AT497" s="302"/>
      <c r="AU497" s="304"/>
      <c r="AV497" s="306"/>
      <c r="AW497" s="303"/>
      <c r="AX497" s="303"/>
      <c r="AY497" s="303"/>
      <c r="AZ497" s="303"/>
      <c r="BA497" s="303"/>
      <c r="BB497" s="303"/>
      <c r="BC497" s="303"/>
      <c r="BD497" s="304"/>
      <c r="BE497" s="305"/>
      <c r="BF497" s="302"/>
      <c r="BG497" s="307"/>
      <c r="BH497" s="308"/>
      <c r="BI497" s="302"/>
      <c r="BJ497" s="307"/>
      <c r="BK497" s="308"/>
      <c r="BL497" s="302"/>
      <c r="BM497" s="303"/>
      <c r="BN497" s="315"/>
      <c r="BO497" s="250">
        <f t="shared" si="47"/>
        <v>0</v>
      </c>
    </row>
    <row r="498" spans="1:67" ht="25.5" customHeight="1" x14ac:dyDescent="0.2">
      <c r="A498" s="142">
        <f t="shared" si="48"/>
        <v>483</v>
      </c>
      <c r="B498" s="251"/>
      <c r="C498" s="252"/>
      <c r="D498" s="253"/>
      <c r="E498" s="254"/>
      <c r="F498" s="278"/>
      <c r="G498" s="256"/>
      <c r="H498" s="257"/>
      <c r="I498" s="231" t="str">
        <f t="shared" si="43"/>
        <v/>
      </c>
      <c r="J498" s="258">
        <f t="shared" si="44"/>
        <v>0</v>
      </c>
      <c r="K498" s="313"/>
      <c r="L498" s="300"/>
      <c r="M498" s="300"/>
      <c r="N498" s="235" t="str">
        <f t="shared" si="45"/>
        <v/>
      </c>
      <c r="O498" s="236" t="str">
        <f>IF('Data Set up'!$G$40="JUNE",IF(OR($N498=7,$N498=8,$N498=9),1,IF(OR($N498=10,$N498=11,$N498=12),2,IF(OR($N498=1,$N498=2,$N498=3),3,IF(OR($N498=4,$N498=5,$N498=6),4,"")))),IF(OR($N498=9,$N498=10,$N498=11),1,IF(OR($N498=12,$N498=1,$N498=2),2,IF(OR($N498=3,$N498=4,$N498=5),3,IF(OR($N498=6,$N498=7,$N498=8),4,"")))))</f>
        <v/>
      </c>
      <c r="P498" s="261"/>
      <c r="Q498" s="305"/>
      <c r="R498" s="302"/>
      <c r="S498" s="264">
        <f t="shared" si="46"/>
        <v>0</v>
      </c>
      <c r="T498" s="302"/>
      <c r="U498" s="302"/>
      <c r="V498" s="302"/>
      <c r="W498" s="302"/>
      <c r="X498" s="302"/>
      <c r="Y498" s="302"/>
      <c r="Z498" s="302"/>
      <c r="AA498" s="302"/>
      <c r="AB498" s="303"/>
      <c r="AC498" s="304"/>
      <c r="AD498" s="305"/>
      <c r="AE498" s="302"/>
      <c r="AF498" s="302"/>
      <c r="AG498" s="302"/>
      <c r="AH498" s="302"/>
      <c r="AI498" s="303"/>
      <c r="AJ498" s="303"/>
      <c r="AK498" s="302"/>
      <c r="AL498" s="314"/>
      <c r="AM498" s="305"/>
      <c r="AN498" s="302"/>
      <c r="AO498" s="302"/>
      <c r="AP498" s="302"/>
      <c r="AQ498" s="302"/>
      <c r="AR498" s="302"/>
      <c r="AS498" s="302"/>
      <c r="AT498" s="302"/>
      <c r="AU498" s="304"/>
      <c r="AV498" s="306"/>
      <c r="AW498" s="303"/>
      <c r="AX498" s="303"/>
      <c r="AY498" s="303"/>
      <c r="AZ498" s="303"/>
      <c r="BA498" s="303"/>
      <c r="BB498" s="303"/>
      <c r="BC498" s="303"/>
      <c r="BD498" s="304"/>
      <c r="BE498" s="305"/>
      <c r="BF498" s="302"/>
      <c r="BG498" s="307"/>
      <c r="BH498" s="308"/>
      <c r="BI498" s="302"/>
      <c r="BJ498" s="307"/>
      <c r="BK498" s="308"/>
      <c r="BL498" s="302"/>
      <c r="BM498" s="303"/>
      <c r="BN498" s="315"/>
      <c r="BO498" s="250">
        <f t="shared" si="47"/>
        <v>0</v>
      </c>
    </row>
    <row r="499" spans="1:67" ht="25.5" customHeight="1" x14ac:dyDescent="0.2">
      <c r="A499" s="142">
        <f t="shared" si="48"/>
        <v>484</v>
      </c>
      <c r="B499" s="251"/>
      <c r="C499" s="252"/>
      <c r="D499" s="253"/>
      <c r="E499" s="254"/>
      <c r="F499" s="278"/>
      <c r="G499" s="256"/>
      <c r="H499" s="257"/>
      <c r="I499" s="231" t="str">
        <f t="shared" si="43"/>
        <v/>
      </c>
      <c r="J499" s="258">
        <f t="shared" si="44"/>
        <v>0</v>
      </c>
      <c r="K499" s="313"/>
      <c r="L499" s="300"/>
      <c r="M499" s="300"/>
      <c r="N499" s="235" t="str">
        <f t="shared" si="45"/>
        <v/>
      </c>
      <c r="O499" s="236" t="str">
        <f>IF('Data Set up'!$G$40="JUNE",IF(OR($N499=7,$N499=8,$N499=9),1,IF(OR($N499=10,$N499=11,$N499=12),2,IF(OR($N499=1,$N499=2,$N499=3),3,IF(OR($N499=4,$N499=5,$N499=6),4,"")))),IF(OR($N499=9,$N499=10,$N499=11),1,IF(OR($N499=12,$N499=1,$N499=2),2,IF(OR($N499=3,$N499=4,$N499=5),3,IF(OR($N499=6,$N499=7,$N499=8),4,"")))))</f>
        <v/>
      </c>
      <c r="P499" s="261"/>
      <c r="Q499" s="305"/>
      <c r="R499" s="302"/>
      <c r="S499" s="264">
        <f t="shared" si="46"/>
        <v>0</v>
      </c>
      <c r="T499" s="302"/>
      <c r="U499" s="302"/>
      <c r="V499" s="302"/>
      <c r="W499" s="302"/>
      <c r="X499" s="302"/>
      <c r="Y499" s="302"/>
      <c r="Z499" s="302"/>
      <c r="AA499" s="302"/>
      <c r="AB499" s="303"/>
      <c r="AC499" s="304"/>
      <c r="AD499" s="305"/>
      <c r="AE499" s="302"/>
      <c r="AF499" s="302"/>
      <c r="AG499" s="302"/>
      <c r="AH499" s="302"/>
      <c r="AI499" s="303"/>
      <c r="AJ499" s="303"/>
      <c r="AK499" s="302"/>
      <c r="AL499" s="314"/>
      <c r="AM499" s="305"/>
      <c r="AN499" s="302"/>
      <c r="AO499" s="302"/>
      <c r="AP499" s="302"/>
      <c r="AQ499" s="302"/>
      <c r="AR499" s="302"/>
      <c r="AS499" s="302"/>
      <c r="AT499" s="302"/>
      <c r="AU499" s="304"/>
      <c r="AV499" s="306"/>
      <c r="AW499" s="303"/>
      <c r="AX499" s="303"/>
      <c r="AY499" s="303"/>
      <c r="AZ499" s="303"/>
      <c r="BA499" s="303"/>
      <c r="BB499" s="303"/>
      <c r="BC499" s="303"/>
      <c r="BD499" s="304"/>
      <c r="BE499" s="305"/>
      <c r="BF499" s="302"/>
      <c r="BG499" s="307"/>
      <c r="BH499" s="308"/>
      <c r="BI499" s="302"/>
      <c r="BJ499" s="307"/>
      <c r="BK499" s="308"/>
      <c r="BL499" s="302"/>
      <c r="BM499" s="303"/>
      <c r="BN499" s="315"/>
      <c r="BO499" s="250">
        <f t="shared" si="47"/>
        <v>0</v>
      </c>
    </row>
    <row r="500" spans="1:67" ht="25.5" customHeight="1" x14ac:dyDescent="0.2">
      <c r="A500" s="142">
        <f t="shared" si="48"/>
        <v>485</v>
      </c>
      <c r="B500" s="251"/>
      <c r="C500" s="252"/>
      <c r="D500" s="253"/>
      <c r="E500" s="254"/>
      <c r="F500" s="278"/>
      <c r="G500" s="256"/>
      <c r="H500" s="257"/>
      <c r="I500" s="231" t="str">
        <f t="shared" si="43"/>
        <v/>
      </c>
      <c r="J500" s="258">
        <f t="shared" si="44"/>
        <v>0</v>
      </c>
      <c r="K500" s="313"/>
      <c r="L500" s="300"/>
      <c r="M500" s="300"/>
      <c r="N500" s="235" t="str">
        <f t="shared" si="45"/>
        <v/>
      </c>
      <c r="O500" s="236" t="str">
        <f>IF('Data Set up'!$G$40="JUNE",IF(OR($N500=7,$N500=8,$N500=9),1,IF(OR($N500=10,$N500=11,$N500=12),2,IF(OR($N500=1,$N500=2,$N500=3),3,IF(OR($N500=4,$N500=5,$N500=6),4,"")))),IF(OR($N500=9,$N500=10,$N500=11),1,IF(OR($N500=12,$N500=1,$N500=2),2,IF(OR($N500=3,$N500=4,$N500=5),3,IF(OR($N500=6,$N500=7,$N500=8),4,"")))))</f>
        <v/>
      </c>
      <c r="P500" s="261"/>
      <c r="Q500" s="305"/>
      <c r="R500" s="302"/>
      <c r="S500" s="264">
        <f t="shared" si="46"/>
        <v>0</v>
      </c>
      <c r="T500" s="302"/>
      <c r="U500" s="302"/>
      <c r="V500" s="302"/>
      <c r="W500" s="302"/>
      <c r="X500" s="302"/>
      <c r="Y500" s="302"/>
      <c r="Z500" s="302"/>
      <c r="AA500" s="302"/>
      <c r="AB500" s="303"/>
      <c r="AC500" s="304"/>
      <c r="AD500" s="305"/>
      <c r="AE500" s="302"/>
      <c r="AF500" s="302"/>
      <c r="AG500" s="302"/>
      <c r="AH500" s="302"/>
      <c r="AI500" s="303"/>
      <c r="AJ500" s="303"/>
      <c r="AK500" s="302"/>
      <c r="AL500" s="314"/>
      <c r="AM500" s="305"/>
      <c r="AN500" s="302"/>
      <c r="AO500" s="302"/>
      <c r="AP500" s="302"/>
      <c r="AQ500" s="302"/>
      <c r="AR500" s="302"/>
      <c r="AS500" s="302"/>
      <c r="AT500" s="302"/>
      <c r="AU500" s="304"/>
      <c r="AV500" s="306"/>
      <c r="AW500" s="303"/>
      <c r="AX500" s="303"/>
      <c r="AY500" s="303"/>
      <c r="AZ500" s="303"/>
      <c r="BA500" s="303"/>
      <c r="BB500" s="303"/>
      <c r="BC500" s="303"/>
      <c r="BD500" s="304"/>
      <c r="BE500" s="305"/>
      <c r="BF500" s="302"/>
      <c r="BG500" s="307"/>
      <c r="BH500" s="308"/>
      <c r="BI500" s="302"/>
      <c r="BJ500" s="307"/>
      <c r="BK500" s="308"/>
      <c r="BL500" s="302"/>
      <c r="BM500" s="303"/>
      <c r="BN500" s="315"/>
      <c r="BO500" s="250">
        <f t="shared" si="47"/>
        <v>0</v>
      </c>
    </row>
    <row r="501" spans="1:67" ht="25.5" customHeight="1" x14ac:dyDescent="0.2">
      <c r="A501" s="142">
        <f t="shared" si="48"/>
        <v>486</v>
      </c>
      <c r="B501" s="251"/>
      <c r="C501" s="252"/>
      <c r="D501" s="253"/>
      <c r="E501" s="254"/>
      <c r="F501" s="278"/>
      <c r="G501" s="256"/>
      <c r="H501" s="257"/>
      <c r="I501" s="231" t="str">
        <f t="shared" si="43"/>
        <v/>
      </c>
      <c r="J501" s="258">
        <f t="shared" si="44"/>
        <v>0</v>
      </c>
      <c r="K501" s="313"/>
      <c r="L501" s="300"/>
      <c r="M501" s="300"/>
      <c r="N501" s="235" t="str">
        <f t="shared" si="45"/>
        <v/>
      </c>
      <c r="O501" s="236" t="str">
        <f>IF('Data Set up'!$G$40="JUNE",IF(OR($N501=7,$N501=8,$N501=9),1,IF(OR($N501=10,$N501=11,$N501=12),2,IF(OR($N501=1,$N501=2,$N501=3),3,IF(OR($N501=4,$N501=5,$N501=6),4,"")))),IF(OR($N501=9,$N501=10,$N501=11),1,IF(OR($N501=12,$N501=1,$N501=2),2,IF(OR($N501=3,$N501=4,$N501=5),3,IF(OR($N501=6,$N501=7,$N501=8),4,"")))))</f>
        <v/>
      </c>
      <c r="P501" s="261"/>
      <c r="Q501" s="305"/>
      <c r="R501" s="302"/>
      <c r="S501" s="264">
        <f t="shared" si="46"/>
        <v>0</v>
      </c>
      <c r="T501" s="302"/>
      <c r="U501" s="302"/>
      <c r="V501" s="302"/>
      <c r="W501" s="302"/>
      <c r="X501" s="302"/>
      <c r="Y501" s="302"/>
      <c r="Z501" s="302"/>
      <c r="AA501" s="302"/>
      <c r="AB501" s="303"/>
      <c r="AC501" s="304"/>
      <c r="AD501" s="305"/>
      <c r="AE501" s="302"/>
      <c r="AF501" s="302"/>
      <c r="AG501" s="302"/>
      <c r="AH501" s="302"/>
      <c r="AI501" s="303"/>
      <c r="AJ501" s="303"/>
      <c r="AK501" s="302"/>
      <c r="AL501" s="314"/>
      <c r="AM501" s="305"/>
      <c r="AN501" s="302"/>
      <c r="AO501" s="302"/>
      <c r="AP501" s="302"/>
      <c r="AQ501" s="302"/>
      <c r="AR501" s="302"/>
      <c r="AS501" s="302"/>
      <c r="AT501" s="302"/>
      <c r="AU501" s="304"/>
      <c r="AV501" s="306"/>
      <c r="AW501" s="303"/>
      <c r="AX501" s="303"/>
      <c r="AY501" s="303"/>
      <c r="AZ501" s="303"/>
      <c r="BA501" s="303"/>
      <c r="BB501" s="303"/>
      <c r="BC501" s="303"/>
      <c r="BD501" s="304"/>
      <c r="BE501" s="305"/>
      <c r="BF501" s="302"/>
      <c r="BG501" s="307"/>
      <c r="BH501" s="308"/>
      <c r="BI501" s="302"/>
      <c r="BJ501" s="307"/>
      <c r="BK501" s="308"/>
      <c r="BL501" s="302"/>
      <c r="BM501" s="303"/>
      <c r="BN501" s="315"/>
      <c r="BO501" s="250">
        <f t="shared" si="47"/>
        <v>0</v>
      </c>
    </row>
    <row r="502" spans="1:67" ht="25.5" customHeight="1" x14ac:dyDescent="0.2">
      <c r="A502" s="142">
        <f t="shared" si="48"/>
        <v>487</v>
      </c>
      <c r="B502" s="251"/>
      <c r="C502" s="252"/>
      <c r="D502" s="253"/>
      <c r="E502" s="254"/>
      <c r="F502" s="278"/>
      <c r="G502" s="256"/>
      <c r="H502" s="257"/>
      <c r="I502" s="231" t="str">
        <f t="shared" si="43"/>
        <v/>
      </c>
      <c r="J502" s="258">
        <f t="shared" si="44"/>
        <v>0</v>
      </c>
      <c r="K502" s="313"/>
      <c r="L502" s="300"/>
      <c r="M502" s="300"/>
      <c r="N502" s="235" t="str">
        <f t="shared" si="45"/>
        <v/>
      </c>
      <c r="O502" s="236" t="str">
        <f>IF('Data Set up'!$G$40="JUNE",IF(OR($N502=7,$N502=8,$N502=9),1,IF(OR($N502=10,$N502=11,$N502=12),2,IF(OR($N502=1,$N502=2,$N502=3),3,IF(OR($N502=4,$N502=5,$N502=6),4,"")))),IF(OR($N502=9,$N502=10,$N502=11),1,IF(OR($N502=12,$N502=1,$N502=2),2,IF(OR($N502=3,$N502=4,$N502=5),3,IF(OR($N502=6,$N502=7,$N502=8),4,"")))))</f>
        <v/>
      </c>
      <c r="P502" s="261"/>
      <c r="Q502" s="305"/>
      <c r="R502" s="302"/>
      <c r="S502" s="264">
        <f t="shared" si="46"/>
        <v>0</v>
      </c>
      <c r="T502" s="302"/>
      <c r="U502" s="302"/>
      <c r="V502" s="302"/>
      <c r="W502" s="302"/>
      <c r="X502" s="302"/>
      <c r="Y502" s="302"/>
      <c r="Z502" s="302"/>
      <c r="AA502" s="302"/>
      <c r="AB502" s="303"/>
      <c r="AC502" s="304"/>
      <c r="AD502" s="305"/>
      <c r="AE502" s="302"/>
      <c r="AF502" s="302"/>
      <c r="AG502" s="302"/>
      <c r="AH502" s="302"/>
      <c r="AI502" s="303"/>
      <c r="AJ502" s="303"/>
      <c r="AK502" s="302"/>
      <c r="AL502" s="314"/>
      <c r="AM502" s="305"/>
      <c r="AN502" s="302"/>
      <c r="AO502" s="302"/>
      <c r="AP502" s="302"/>
      <c r="AQ502" s="302"/>
      <c r="AR502" s="302"/>
      <c r="AS502" s="302"/>
      <c r="AT502" s="302"/>
      <c r="AU502" s="304"/>
      <c r="AV502" s="306"/>
      <c r="AW502" s="303"/>
      <c r="AX502" s="303"/>
      <c r="AY502" s="303"/>
      <c r="AZ502" s="303"/>
      <c r="BA502" s="303"/>
      <c r="BB502" s="303"/>
      <c r="BC502" s="303"/>
      <c r="BD502" s="304"/>
      <c r="BE502" s="305"/>
      <c r="BF502" s="302"/>
      <c r="BG502" s="307"/>
      <c r="BH502" s="308"/>
      <c r="BI502" s="302"/>
      <c r="BJ502" s="307"/>
      <c r="BK502" s="308"/>
      <c r="BL502" s="302"/>
      <c r="BM502" s="303"/>
      <c r="BN502" s="315"/>
      <c r="BO502" s="250">
        <f t="shared" si="47"/>
        <v>0</v>
      </c>
    </row>
    <row r="503" spans="1:67" ht="25.5" customHeight="1" x14ac:dyDescent="0.2">
      <c r="A503" s="142">
        <f t="shared" si="48"/>
        <v>488</v>
      </c>
      <c r="B503" s="251"/>
      <c r="C503" s="252"/>
      <c r="D503" s="253"/>
      <c r="E503" s="254"/>
      <c r="F503" s="278"/>
      <c r="G503" s="256"/>
      <c r="H503" s="257"/>
      <c r="I503" s="231" t="str">
        <f t="shared" si="43"/>
        <v/>
      </c>
      <c r="J503" s="258">
        <f t="shared" si="44"/>
        <v>0</v>
      </c>
      <c r="K503" s="313"/>
      <c r="L503" s="300"/>
      <c r="M503" s="300"/>
      <c r="N503" s="235" t="str">
        <f t="shared" si="45"/>
        <v/>
      </c>
      <c r="O503" s="236" t="str">
        <f>IF('Data Set up'!$G$40="JUNE",IF(OR($N503=7,$N503=8,$N503=9),1,IF(OR($N503=10,$N503=11,$N503=12),2,IF(OR($N503=1,$N503=2,$N503=3),3,IF(OR($N503=4,$N503=5,$N503=6),4,"")))),IF(OR($N503=9,$N503=10,$N503=11),1,IF(OR($N503=12,$N503=1,$N503=2),2,IF(OR($N503=3,$N503=4,$N503=5),3,IF(OR($N503=6,$N503=7,$N503=8),4,"")))))</f>
        <v/>
      </c>
      <c r="P503" s="261"/>
      <c r="Q503" s="305"/>
      <c r="R503" s="302"/>
      <c r="S503" s="264">
        <f t="shared" si="46"/>
        <v>0</v>
      </c>
      <c r="T503" s="302"/>
      <c r="U503" s="302"/>
      <c r="V503" s="302"/>
      <c r="W503" s="302"/>
      <c r="X503" s="302"/>
      <c r="Y503" s="302"/>
      <c r="Z503" s="302"/>
      <c r="AA503" s="302"/>
      <c r="AB503" s="303"/>
      <c r="AC503" s="304"/>
      <c r="AD503" s="305"/>
      <c r="AE503" s="302"/>
      <c r="AF503" s="302"/>
      <c r="AG503" s="302"/>
      <c r="AH503" s="302"/>
      <c r="AI503" s="303"/>
      <c r="AJ503" s="303"/>
      <c r="AK503" s="302"/>
      <c r="AL503" s="314"/>
      <c r="AM503" s="305"/>
      <c r="AN503" s="302"/>
      <c r="AO503" s="302"/>
      <c r="AP503" s="302"/>
      <c r="AQ503" s="302"/>
      <c r="AR503" s="302"/>
      <c r="AS503" s="302"/>
      <c r="AT503" s="302"/>
      <c r="AU503" s="304"/>
      <c r="AV503" s="306"/>
      <c r="AW503" s="303"/>
      <c r="AX503" s="303"/>
      <c r="AY503" s="303"/>
      <c r="AZ503" s="303"/>
      <c r="BA503" s="303"/>
      <c r="BB503" s="303"/>
      <c r="BC503" s="303"/>
      <c r="BD503" s="304"/>
      <c r="BE503" s="305"/>
      <c r="BF503" s="302"/>
      <c r="BG503" s="307"/>
      <c r="BH503" s="308"/>
      <c r="BI503" s="302"/>
      <c r="BJ503" s="307"/>
      <c r="BK503" s="308"/>
      <c r="BL503" s="302"/>
      <c r="BM503" s="303"/>
      <c r="BN503" s="315"/>
      <c r="BO503" s="250">
        <f t="shared" si="47"/>
        <v>0</v>
      </c>
    </row>
    <row r="504" spans="1:67" ht="25.5" customHeight="1" x14ac:dyDescent="0.2">
      <c r="A504" s="142">
        <f t="shared" si="48"/>
        <v>489</v>
      </c>
      <c r="B504" s="251"/>
      <c r="C504" s="252"/>
      <c r="D504" s="253"/>
      <c r="E504" s="254"/>
      <c r="F504" s="278"/>
      <c r="G504" s="256"/>
      <c r="H504" s="257"/>
      <c r="I504" s="231" t="str">
        <f t="shared" si="43"/>
        <v/>
      </c>
      <c r="J504" s="258">
        <f t="shared" si="44"/>
        <v>0</v>
      </c>
      <c r="K504" s="313"/>
      <c r="L504" s="300"/>
      <c r="M504" s="300"/>
      <c r="N504" s="235" t="str">
        <f t="shared" si="45"/>
        <v/>
      </c>
      <c r="O504" s="236" t="str">
        <f>IF('Data Set up'!$G$40="JUNE",IF(OR($N504=7,$N504=8,$N504=9),1,IF(OR($N504=10,$N504=11,$N504=12),2,IF(OR($N504=1,$N504=2,$N504=3),3,IF(OR($N504=4,$N504=5,$N504=6),4,"")))),IF(OR($N504=9,$N504=10,$N504=11),1,IF(OR($N504=12,$N504=1,$N504=2),2,IF(OR($N504=3,$N504=4,$N504=5),3,IF(OR($N504=6,$N504=7,$N504=8),4,"")))))</f>
        <v/>
      </c>
      <c r="P504" s="261"/>
      <c r="Q504" s="305"/>
      <c r="R504" s="302"/>
      <c r="S504" s="264">
        <f t="shared" si="46"/>
        <v>0</v>
      </c>
      <c r="T504" s="302"/>
      <c r="U504" s="302"/>
      <c r="V504" s="302"/>
      <c r="W504" s="302"/>
      <c r="X504" s="302"/>
      <c r="Y504" s="302"/>
      <c r="Z504" s="302"/>
      <c r="AA504" s="302"/>
      <c r="AB504" s="303"/>
      <c r="AC504" s="304"/>
      <c r="AD504" s="305"/>
      <c r="AE504" s="302"/>
      <c r="AF504" s="302"/>
      <c r="AG504" s="302"/>
      <c r="AH504" s="302"/>
      <c r="AI504" s="303"/>
      <c r="AJ504" s="303"/>
      <c r="AK504" s="302"/>
      <c r="AL504" s="314"/>
      <c r="AM504" s="305"/>
      <c r="AN504" s="302"/>
      <c r="AO504" s="302"/>
      <c r="AP504" s="302"/>
      <c r="AQ504" s="302"/>
      <c r="AR504" s="302"/>
      <c r="AS504" s="302"/>
      <c r="AT504" s="302"/>
      <c r="AU504" s="304"/>
      <c r="AV504" s="306"/>
      <c r="AW504" s="303"/>
      <c r="AX504" s="303"/>
      <c r="AY504" s="303"/>
      <c r="AZ504" s="303"/>
      <c r="BA504" s="303"/>
      <c r="BB504" s="303"/>
      <c r="BC504" s="303"/>
      <c r="BD504" s="304"/>
      <c r="BE504" s="305"/>
      <c r="BF504" s="302"/>
      <c r="BG504" s="307"/>
      <c r="BH504" s="308"/>
      <c r="BI504" s="302"/>
      <c r="BJ504" s="307"/>
      <c r="BK504" s="308"/>
      <c r="BL504" s="302"/>
      <c r="BM504" s="303"/>
      <c r="BN504" s="315"/>
      <c r="BO504" s="250">
        <f t="shared" si="47"/>
        <v>0</v>
      </c>
    </row>
    <row r="505" spans="1:67" ht="25.5" customHeight="1" x14ac:dyDescent="0.2">
      <c r="A505" s="142">
        <f t="shared" si="48"/>
        <v>490</v>
      </c>
      <c r="B505" s="251"/>
      <c r="C505" s="252"/>
      <c r="D505" s="253"/>
      <c r="E505" s="254"/>
      <c r="F505" s="278"/>
      <c r="G505" s="256"/>
      <c r="H505" s="257"/>
      <c r="I505" s="231" t="str">
        <f t="shared" si="43"/>
        <v/>
      </c>
      <c r="J505" s="258">
        <f t="shared" si="44"/>
        <v>0</v>
      </c>
      <c r="K505" s="313"/>
      <c r="L505" s="300"/>
      <c r="M505" s="300"/>
      <c r="N505" s="235" t="str">
        <f t="shared" si="45"/>
        <v/>
      </c>
      <c r="O505" s="236" t="str">
        <f>IF('Data Set up'!$G$40="JUNE",IF(OR($N505=7,$N505=8,$N505=9),1,IF(OR($N505=10,$N505=11,$N505=12),2,IF(OR($N505=1,$N505=2,$N505=3),3,IF(OR($N505=4,$N505=5,$N505=6),4,"")))),IF(OR($N505=9,$N505=10,$N505=11),1,IF(OR($N505=12,$N505=1,$N505=2),2,IF(OR($N505=3,$N505=4,$N505=5),3,IF(OR($N505=6,$N505=7,$N505=8),4,"")))))</f>
        <v/>
      </c>
      <c r="P505" s="261"/>
      <c r="Q505" s="305"/>
      <c r="R505" s="302"/>
      <c r="S505" s="264">
        <f t="shared" si="46"/>
        <v>0</v>
      </c>
      <c r="T505" s="302"/>
      <c r="U505" s="302"/>
      <c r="V505" s="302"/>
      <c r="W505" s="302"/>
      <c r="X505" s="302"/>
      <c r="Y505" s="302"/>
      <c r="Z505" s="302"/>
      <c r="AA505" s="302"/>
      <c r="AB505" s="303"/>
      <c r="AC505" s="304"/>
      <c r="AD505" s="305"/>
      <c r="AE505" s="302"/>
      <c r="AF505" s="302"/>
      <c r="AG505" s="302"/>
      <c r="AH505" s="302"/>
      <c r="AI505" s="303"/>
      <c r="AJ505" s="303"/>
      <c r="AK505" s="302"/>
      <c r="AL505" s="314"/>
      <c r="AM505" s="305"/>
      <c r="AN505" s="302"/>
      <c r="AO505" s="302"/>
      <c r="AP505" s="302"/>
      <c r="AQ505" s="302"/>
      <c r="AR505" s="302"/>
      <c r="AS505" s="302"/>
      <c r="AT505" s="302"/>
      <c r="AU505" s="304"/>
      <c r="AV505" s="306"/>
      <c r="AW505" s="303"/>
      <c r="AX505" s="303"/>
      <c r="AY505" s="303"/>
      <c r="AZ505" s="303"/>
      <c r="BA505" s="303"/>
      <c r="BB505" s="303"/>
      <c r="BC505" s="303"/>
      <c r="BD505" s="304"/>
      <c r="BE505" s="305"/>
      <c r="BF505" s="302"/>
      <c r="BG505" s="307"/>
      <c r="BH505" s="308"/>
      <c r="BI505" s="302"/>
      <c r="BJ505" s="307"/>
      <c r="BK505" s="308"/>
      <c r="BL505" s="302"/>
      <c r="BM505" s="303"/>
      <c r="BN505" s="315"/>
      <c r="BO505" s="250">
        <f t="shared" si="47"/>
        <v>0</v>
      </c>
    </row>
    <row r="506" spans="1:67" ht="25.5" customHeight="1" x14ac:dyDescent="0.2">
      <c r="A506" s="142">
        <f t="shared" si="48"/>
        <v>491</v>
      </c>
      <c r="B506" s="251"/>
      <c r="C506" s="252"/>
      <c r="D506" s="253"/>
      <c r="E506" s="254"/>
      <c r="F506" s="278"/>
      <c r="G506" s="256"/>
      <c r="H506" s="257"/>
      <c r="I506" s="231" t="str">
        <f t="shared" si="43"/>
        <v/>
      </c>
      <c r="J506" s="258">
        <f t="shared" si="44"/>
        <v>0</v>
      </c>
      <c r="K506" s="313"/>
      <c r="L506" s="300"/>
      <c r="M506" s="300"/>
      <c r="N506" s="235" t="str">
        <f t="shared" si="45"/>
        <v/>
      </c>
      <c r="O506" s="236" t="str">
        <f>IF('Data Set up'!$G$40="JUNE",IF(OR($N506=7,$N506=8,$N506=9),1,IF(OR($N506=10,$N506=11,$N506=12),2,IF(OR($N506=1,$N506=2,$N506=3),3,IF(OR($N506=4,$N506=5,$N506=6),4,"")))),IF(OR($N506=9,$N506=10,$N506=11),1,IF(OR($N506=12,$N506=1,$N506=2),2,IF(OR($N506=3,$N506=4,$N506=5),3,IF(OR($N506=6,$N506=7,$N506=8),4,"")))))</f>
        <v/>
      </c>
      <c r="P506" s="261"/>
      <c r="Q506" s="305"/>
      <c r="R506" s="302"/>
      <c r="S506" s="264">
        <f t="shared" si="46"/>
        <v>0</v>
      </c>
      <c r="T506" s="302"/>
      <c r="U506" s="302"/>
      <c r="V506" s="302"/>
      <c r="W506" s="302"/>
      <c r="X506" s="302"/>
      <c r="Y506" s="302"/>
      <c r="Z506" s="302"/>
      <c r="AA506" s="302"/>
      <c r="AB506" s="303"/>
      <c r="AC506" s="304"/>
      <c r="AD506" s="305"/>
      <c r="AE506" s="302"/>
      <c r="AF506" s="302"/>
      <c r="AG506" s="302"/>
      <c r="AH506" s="302"/>
      <c r="AI506" s="303"/>
      <c r="AJ506" s="303"/>
      <c r="AK506" s="302"/>
      <c r="AL506" s="314"/>
      <c r="AM506" s="305"/>
      <c r="AN506" s="302"/>
      <c r="AO506" s="302"/>
      <c r="AP506" s="302"/>
      <c r="AQ506" s="302"/>
      <c r="AR506" s="302"/>
      <c r="AS506" s="302"/>
      <c r="AT506" s="302"/>
      <c r="AU506" s="304"/>
      <c r="AV506" s="306"/>
      <c r="AW506" s="303"/>
      <c r="AX506" s="303"/>
      <c r="AY506" s="303"/>
      <c r="AZ506" s="303"/>
      <c r="BA506" s="303"/>
      <c r="BB506" s="303"/>
      <c r="BC506" s="303"/>
      <c r="BD506" s="304"/>
      <c r="BE506" s="305"/>
      <c r="BF506" s="302"/>
      <c r="BG506" s="307"/>
      <c r="BH506" s="308"/>
      <c r="BI506" s="302"/>
      <c r="BJ506" s="307"/>
      <c r="BK506" s="308"/>
      <c r="BL506" s="302"/>
      <c r="BM506" s="303"/>
      <c r="BN506" s="315"/>
      <c r="BO506" s="250">
        <f t="shared" si="47"/>
        <v>0</v>
      </c>
    </row>
    <row r="507" spans="1:67" ht="25.5" customHeight="1" x14ac:dyDescent="0.2">
      <c r="A507" s="142">
        <f t="shared" si="48"/>
        <v>492</v>
      </c>
      <c r="B507" s="251"/>
      <c r="C507" s="252"/>
      <c r="D507" s="253"/>
      <c r="E507" s="254"/>
      <c r="F507" s="278"/>
      <c r="G507" s="256"/>
      <c r="H507" s="257"/>
      <c r="I507" s="231" t="str">
        <f t="shared" si="43"/>
        <v/>
      </c>
      <c r="J507" s="258">
        <f t="shared" si="44"/>
        <v>0</v>
      </c>
      <c r="K507" s="313"/>
      <c r="L507" s="300"/>
      <c r="M507" s="300"/>
      <c r="N507" s="235" t="str">
        <f t="shared" si="45"/>
        <v/>
      </c>
      <c r="O507" s="236" t="str">
        <f>IF('Data Set up'!$G$40="JUNE",IF(OR($N507=7,$N507=8,$N507=9),1,IF(OR($N507=10,$N507=11,$N507=12),2,IF(OR($N507=1,$N507=2,$N507=3),3,IF(OR($N507=4,$N507=5,$N507=6),4,"")))),IF(OR($N507=9,$N507=10,$N507=11),1,IF(OR($N507=12,$N507=1,$N507=2),2,IF(OR($N507=3,$N507=4,$N507=5),3,IF(OR($N507=6,$N507=7,$N507=8),4,"")))))</f>
        <v/>
      </c>
      <c r="P507" s="261"/>
      <c r="Q507" s="305"/>
      <c r="R507" s="302"/>
      <c r="S507" s="264">
        <f t="shared" si="46"/>
        <v>0</v>
      </c>
      <c r="T507" s="302"/>
      <c r="U507" s="302"/>
      <c r="V507" s="302"/>
      <c r="W507" s="302"/>
      <c r="X507" s="302"/>
      <c r="Y507" s="302"/>
      <c r="Z507" s="302"/>
      <c r="AA507" s="302"/>
      <c r="AB507" s="303"/>
      <c r="AC507" s="304"/>
      <c r="AD507" s="305"/>
      <c r="AE507" s="302"/>
      <c r="AF507" s="302"/>
      <c r="AG507" s="302"/>
      <c r="AH507" s="302"/>
      <c r="AI507" s="303"/>
      <c r="AJ507" s="303"/>
      <c r="AK507" s="302"/>
      <c r="AL507" s="314"/>
      <c r="AM507" s="305"/>
      <c r="AN507" s="302"/>
      <c r="AO507" s="302"/>
      <c r="AP507" s="302"/>
      <c r="AQ507" s="302"/>
      <c r="AR507" s="302"/>
      <c r="AS507" s="302"/>
      <c r="AT507" s="302"/>
      <c r="AU507" s="304"/>
      <c r="AV507" s="306"/>
      <c r="AW507" s="303"/>
      <c r="AX507" s="303"/>
      <c r="AY507" s="303"/>
      <c r="AZ507" s="303"/>
      <c r="BA507" s="303"/>
      <c r="BB507" s="303"/>
      <c r="BC507" s="303"/>
      <c r="BD507" s="304"/>
      <c r="BE507" s="305"/>
      <c r="BF507" s="302"/>
      <c r="BG507" s="307"/>
      <c r="BH507" s="308"/>
      <c r="BI507" s="302"/>
      <c r="BJ507" s="307"/>
      <c r="BK507" s="308"/>
      <c r="BL507" s="302"/>
      <c r="BM507" s="303"/>
      <c r="BN507" s="315"/>
      <c r="BO507" s="250">
        <f t="shared" si="47"/>
        <v>0</v>
      </c>
    </row>
    <row r="508" spans="1:67" ht="25.5" customHeight="1" x14ac:dyDescent="0.2">
      <c r="A508" s="142">
        <f t="shared" si="48"/>
        <v>493</v>
      </c>
      <c r="B508" s="251"/>
      <c r="C508" s="252"/>
      <c r="D508" s="253"/>
      <c r="E508" s="254"/>
      <c r="F508" s="278"/>
      <c r="G508" s="256"/>
      <c r="H508" s="257"/>
      <c r="I508" s="231" t="str">
        <f t="shared" si="43"/>
        <v/>
      </c>
      <c r="J508" s="258">
        <f t="shared" si="44"/>
        <v>0</v>
      </c>
      <c r="K508" s="313"/>
      <c r="L508" s="300"/>
      <c r="M508" s="300"/>
      <c r="N508" s="235" t="str">
        <f t="shared" si="45"/>
        <v/>
      </c>
      <c r="O508" s="236" t="str">
        <f>IF('Data Set up'!$G$40="JUNE",IF(OR($N508=7,$N508=8,$N508=9),1,IF(OR($N508=10,$N508=11,$N508=12),2,IF(OR($N508=1,$N508=2,$N508=3),3,IF(OR($N508=4,$N508=5,$N508=6),4,"")))),IF(OR($N508=9,$N508=10,$N508=11),1,IF(OR($N508=12,$N508=1,$N508=2),2,IF(OR($N508=3,$N508=4,$N508=5),3,IF(OR($N508=6,$N508=7,$N508=8),4,"")))))</f>
        <v/>
      </c>
      <c r="P508" s="261"/>
      <c r="Q508" s="305"/>
      <c r="R508" s="302"/>
      <c r="S508" s="264">
        <f t="shared" si="46"/>
        <v>0</v>
      </c>
      <c r="T508" s="302"/>
      <c r="U508" s="302"/>
      <c r="V508" s="302"/>
      <c r="W508" s="302"/>
      <c r="X508" s="302"/>
      <c r="Y508" s="302"/>
      <c r="Z508" s="302"/>
      <c r="AA508" s="302"/>
      <c r="AB508" s="303"/>
      <c r="AC508" s="304"/>
      <c r="AD508" s="305"/>
      <c r="AE508" s="302"/>
      <c r="AF508" s="302"/>
      <c r="AG508" s="302"/>
      <c r="AH508" s="302"/>
      <c r="AI508" s="303"/>
      <c r="AJ508" s="303"/>
      <c r="AK508" s="302"/>
      <c r="AL508" s="314"/>
      <c r="AM508" s="305"/>
      <c r="AN508" s="302"/>
      <c r="AO508" s="302"/>
      <c r="AP508" s="302"/>
      <c r="AQ508" s="302"/>
      <c r="AR508" s="302"/>
      <c r="AS508" s="302"/>
      <c r="AT508" s="302"/>
      <c r="AU508" s="304"/>
      <c r="AV508" s="306"/>
      <c r="AW508" s="303"/>
      <c r="AX508" s="303"/>
      <c r="AY508" s="303"/>
      <c r="AZ508" s="303"/>
      <c r="BA508" s="303"/>
      <c r="BB508" s="303"/>
      <c r="BC508" s="303"/>
      <c r="BD508" s="304"/>
      <c r="BE508" s="305"/>
      <c r="BF508" s="302"/>
      <c r="BG508" s="307"/>
      <c r="BH508" s="308"/>
      <c r="BI508" s="302"/>
      <c r="BJ508" s="307"/>
      <c r="BK508" s="308"/>
      <c r="BL508" s="302"/>
      <c r="BM508" s="303"/>
      <c r="BN508" s="315"/>
      <c r="BO508" s="250">
        <f t="shared" si="47"/>
        <v>0</v>
      </c>
    </row>
    <row r="509" spans="1:67" ht="25.5" customHeight="1" x14ac:dyDescent="0.2">
      <c r="A509" s="142">
        <f t="shared" si="48"/>
        <v>494</v>
      </c>
      <c r="B509" s="251"/>
      <c r="C509" s="252"/>
      <c r="D509" s="253"/>
      <c r="E509" s="254"/>
      <c r="F509" s="278"/>
      <c r="G509" s="256"/>
      <c r="H509" s="257"/>
      <c r="I509" s="231" t="str">
        <f t="shared" si="43"/>
        <v/>
      </c>
      <c r="J509" s="258">
        <f t="shared" si="44"/>
        <v>0</v>
      </c>
      <c r="K509" s="313"/>
      <c r="L509" s="300"/>
      <c r="M509" s="300"/>
      <c r="N509" s="235" t="str">
        <f t="shared" si="45"/>
        <v/>
      </c>
      <c r="O509" s="236" t="str">
        <f>IF('Data Set up'!$G$40="JUNE",IF(OR($N509=7,$N509=8,$N509=9),1,IF(OR($N509=10,$N509=11,$N509=12),2,IF(OR($N509=1,$N509=2,$N509=3),3,IF(OR($N509=4,$N509=5,$N509=6),4,"")))),IF(OR($N509=9,$N509=10,$N509=11),1,IF(OR($N509=12,$N509=1,$N509=2),2,IF(OR($N509=3,$N509=4,$N509=5),3,IF(OR($N509=6,$N509=7,$N509=8),4,"")))))</f>
        <v/>
      </c>
      <c r="P509" s="261"/>
      <c r="Q509" s="305"/>
      <c r="R509" s="302"/>
      <c r="S509" s="264">
        <f t="shared" si="46"/>
        <v>0</v>
      </c>
      <c r="T509" s="302"/>
      <c r="U509" s="302"/>
      <c r="V509" s="302"/>
      <c r="W509" s="302"/>
      <c r="X509" s="302"/>
      <c r="Y509" s="302"/>
      <c r="Z509" s="302"/>
      <c r="AA509" s="302"/>
      <c r="AB509" s="303"/>
      <c r="AC509" s="304"/>
      <c r="AD509" s="305"/>
      <c r="AE509" s="302"/>
      <c r="AF509" s="302"/>
      <c r="AG509" s="302"/>
      <c r="AH509" s="302"/>
      <c r="AI509" s="303"/>
      <c r="AJ509" s="303"/>
      <c r="AK509" s="302"/>
      <c r="AL509" s="314"/>
      <c r="AM509" s="305"/>
      <c r="AN509" s="302"/>
      <c r="AO509" s="302"/>
      <c r="AP509" s="302"/>
      <c r="AQ509" s="302"/>
      <c r="AR509" s="302"/>
      <c r="AS509" s="302"/>
      <c r="AT509" s="302"/>
      <c r="AU509" s="304"/>
      <c r="AV509" s="306"/>
      <c r="AW509" s="303"/>
      <c r="AX509" s="303"/>
      <c r="AY509" s="303"/>
      <c r="AZ509" s="303"/>
      <c r="BA509" s="303"/>
      <c r="BB509" s="303"/>
      <c r="BC509" s="303"/>
      <c r="BD509" s="304"/>
      <c r="BE509" s="305"/>
      <c r="BF509" s="302"/>
      <c r="BG509" s="307"/>
      <c r="BH509" s="308"/>
      <c r="BI509" s="302"/>
      <c r="BJ509" s="307"/>
      <c r="BK509" s="308"/>
      <c r="BL509" s="302"/>
      <c r="BM509" s="303"/>
      <c r="BN509" s="315"/>
      <c r="BO509" s="250">
        <f t="shared" si="47"/>
        <v>0</v>
      </c>
    </row>
    <row r="510" spans="1:67" ht="25.5" customHeight="1" x14ac:dyDescent="0.2">
      <c r="A510" s="142">
        <f t="shared" si="48"/>
        <v>495</v>
      </c>
      <c r="B510" s="251"/>
      <c r="C510" s="252"/>
      <c r="D510" s="253"/>
      <c r="E510" s="254"/>
      <c r="F510" s="278"/>
      <c r="G510" s="256"/>
      <c r="H510" s="257"/>
      <c r="I510" s="231" t="str">
        <f t="shared" si="43"/>
        <v/>
      </c>
      <c r="J510" s="258">
        <f t="shared" si="44"/>
        <v>0</v>
      </c>
      <c r="K510" s="313"/>
      <c r="L510" s="300"/>
      <c r="M510" s="300"/>
      <c r="N510" s="235" t="str">
        <f t="shared" si="45"/>
        <v/>
      </c>
      <c r="O510" s="236" t="str">
        <f>IF('Data Set up'!$G$40="JUNE",IF(OR($N510=7,$N510=8,$N510=9),1,IF(OR($N510=10,$N510=11,$N510=12),2,IF(OR($N510=1,$N510=2,$N510=3),3,IF(OR($N510=4,$N510=5,$N510=6),4,"")))),IF(OR($N510=9,$N510=10,$N510=11),1,IF(OR($N510=12,$N510=1,$N510=2),2,IF(OR($N510=3,$N510=4,$N510=5),3,IF(OR($N510=6,$N510=7,$N510=8),4,"")))))</f>
        <v/>
      </c>
      <c r="P510" s="261"/>
      <c r="Q510" s="305"/>
      <c r="R510" s="302"/>
      <c r="S510" s="264">
        <f t="shared" si="46"/>
        <v>0</v>
      </c>
      <c r="T510" s="302"/>
      <c r="U510" s="302"/>
      <c r="V510" s="302"/>
      <c r="W510" s="302"/>
      <c r="X510" s="302"/>
      <c r="Y510" s="302"/>
      <c r="Z510" s="302"/>
      <c r="AA510" s="302"/>
      <c r="AB510" s="303"/>
      <c r="AC510" s="304"/>
      <c r="AD510" s="305"/>
      <c r="AE510" s="302"/>
      <c r="AF510" s="302"/>
      <c r="AG510" s="302"/>
      <c r="AH510" s="302"/>
      <c r="AI510" s="303"/>
      <c r="AJ510" s="303"/>
      <c r="AK510" s="302"/>
      <c r="AL510" s="314"/>
      <c r="AM510" s="305"/>
      <c r="AN510" s="302"/>
      <c r="AO510" s="302"/>
      <c r="AP510" s="302"/>
      <c r="AQ510" s="302"/>
      <c r="AR510" s="302"/>
      <c r="AS510" s="302"/>
      <c r="AT510" s="302"/>
      <c r="AU510" s="304"/>
      <c r="AV510" s="306"/>
      <c r="AW510" s="303"/>
      <c r="AX510" s="303"/>
      <c r="AY510" s="303"/>
      <c r="AZ510" s="303"/>
      <c r="BA510" s="303"/>
      <c r="BB510" s="303"/>
      <c r="BC510" s="303"/>
      <c r="BD510" s="304"/>
      <c r="BE510" s="305"/>
      <c r="BF510" s="302"/>
      <c r="BG510" s="307"/>
      <c r="BH510" s="308"/>
      <c r="BI510" s="302"/>
      <c r="BJ510" s="307"/>
      <c r="BK510" s="308"/>
      <c r="BL510" s="302"/>
      <c r="BM510" s="303"/>
      <c r="BN510" s="315"/>
      <c r="BO510" s="250">
        <f t="shared" si="47"/>
        <v>0</v>
      </c>
    </row>
    <row r="511" spans="1:67" ht="25.5" customHeight="1" x14ac:dyDescent="0.2">
      <c r="A511" s="142">
        <f t="shared" si="48"/>
        <v>496</v>
      </c>
      <c r="B511" s="251"/>
      <c r="C511" s="252"/>
      <c r="D511" s="253"/>
      <c r="E511" s="254"/>
      <c r="F511" s="278"/>
      <c r="G511" s="256"/>
      <c r="H511" s="257"/>
      <c r="I511" s="231" t="str">
        <f t="shared" si="43"/>
        <v/>
      </c>
      <c r="J511" s="258">
        <f t="shared" si="44"/>
        <v>0</v>
      </c>
      <c r="K511" s="313"/>
      <c r="L511" s="300"/>
      <c r="M511" s="300"/>
      <c r="N511" s="235" t="str">
        <f t="shared" si="45"/>
        <v/>
      </c>
      <c r="O511" s="236" t="str">
        <f>IF('Data Set up'!$G$40="JUNE",IF(OR($N511=7,$N511=8,$N511=9),1,IF(OR($N511=10,$N511=11,$N511=12),2,IF(OR($N511=1,$N511=2,$N511=3),3,IF(OR($N511=4,$N511=5,$N511=6),4,"")))),IF(OR($N511=9,$N511=10,$N511=11),1,IF(OR($N511=12,$N511=1,$N511=2),2,IF(OR($N511=3,$N511=4,$N511=5),3,IF(OR($N511=6,$N511=7,$N511=8),4,"")))))</f>
        <v/>
      </c>
      <c r="P511" s="261"/>
      <c r="Q511" s="305"/>
      <c r="R511" s="302"/>
      <c r="S511" s="264">
        <f t="shared" si="46"/>
        <v>0</v>
      </c>
      <c r="T511" s="302"/>
      <c r="U511" s="302"/>
      <c r="V511" s="302"/>
      <c r="W511" s="302"/>
      <c r="X511" s="302"/>
      <c r="Y511" s="302"/>
      <c r="Z511" s="302"/>
      <c r="AA511" s="302"/>
      <c r="AB511" s="303"/>
      <c r="AC511" s="304"/>
      <c r="AD511" s="305"/>
      <c r="AE511" s="302"/>
      <c r="AF511" s="302"/>
      <c r="AG511" s="302"/>
      <c r="AH511" s="302"/>
      <c r="AI511" s="303"/>
      <c r="AJ511" s="303"/>
      <c r="AK511" s="302"/>
      <c r="AL511" s="314"/>
      <c r="AM511" s="305"/>
      <c r="AN511" s="302"/>
      <c r="AO511" s="302"/>
      <c r="AP511" s="302"/>
      <c r="AQ511" s="302"/>
      <c r="AR511" s="302"/>
      <c r="AS511" s="302"/>
      <c r="AT511" s="302"/>
      <c r="AU511" s="304"/>
      <c r="AV511" s="306"/>
      <c r="AW511" s="303"/>
      <c r="AX511" s="303"/>
      <c r="AY511" s="303"/>
      <c r="AZ511" s="303"/>
      <c r="BA511" s="303"/>
      <c r="BB511" s="303"/>
      <c r="BC511" s="303"/>
      <c r="BD511" s="304"/>
      <c r="BE511" s="305"/>
      <c r="BF511" s="302"/>
      <c r="BG511" s="307"/>
      <c r="BH511" s="308"/>
      <c r="BI511" s="302"/>
      <c r="BJ511" s="307"/>
      <c r="BK511" s="308"/>
      <c r="BL511" s="302"/>
      <c r="BM511" s="303"/>
      <c r="BN511" s="315"/>
      <c r="BO511" s="250">
        <f t="shared" si="47"/>
        <v>0</v>
      </c>
    </row>
    <row r="512" spans="1:67" ht="25.5" customHeight="1" x14ac:dyDescent="0.2">
      <c r="A512" s="142">
        <f t="shared" si="48"/>
        <v>497</v>
      </c>
      <c r="B512" s="251"/>
      <c r="C512" s="252"/>
      <c r="D512" s="253"/>
      <c r="E512" s="254"/>
      <c r="F512" s="278"/>
      <c r="G512" s="256"/>
      <c r="H512" s="257"/>
      <c r="I512" s="231" t="str">
        <f t="shared" si="43"/>
        <v/>
      </c>
      <c r="J512" s="258">
        <f t="shared" si="44"/>
        <v>0</v>
      </c>
      <c r="K512" s="313"/>
      <c r="L512" s="300"/>
      <c r="M512" s="300"/>
      <c r="N512" s="235" t="str">
        <f t="shared" si="45"/>
        <v/>
      </c>
      <c r="O512" s="236" t="str">
        <f>IF('Data Set up'!$G$40="JUNE",IF(OR($N512=7,$N512=8,$N512=9),1,IF(OR($N512=10,$N512=11,$N512=12),2,IF(OR($N512=1,$N512=2,$N512=3),3,IF(OR($N512=4,$N512=5,$N512=6),4,"")))),IF(OR($N512=9,$N512=10,$N512=11),1,IF(OR($N512=12,$N512=1,$N512=2),2,IF(OR($N512=3,$N512=4,$N512=5),3,IF(OR($N512=6,$N512=7,$N512=8),4,"")))))</f>
        <v/>
      </c>
      <c r="P512" s="261"/>
      <c r="Q512" s="305"/>
      <c r="R512" s="302"/>
      <c r="S512" s="264">
        <f t="shared" si="46"/>
        <v>0</v>
      </c>
      <c r="T512" s="302"/>
      <c r="U512" s="302"/>
      <c r="V512" s="302"/>
      <c r="W512" s="302"/>
      <c r="X512" s="302"/>
      <c r="Y512" s="302"/>
      <c r="Z512" s="302"/>
      <c r="AA512" s="302"/>
      <c r="AB512" s="303"/>
      <c r="AC512" s="304"/>
      <c r="AD512" s="305"/>
      <c r="AE512" s="302"/>
      <c r="AF512" s="302"/>
      <c r="AG512" s="302"/>
      <c r="AH512" s="302"/>
      <c r="AI512" s="303"/>
      <c r="AJ512" s="303"/>
      <c r="AK512" s="302"/>
      <c r="AL512" s="314"/>
      <c r="AM512" s="305"/>
      <c r="AN512" s="302"/>
      <c r="AO512" s="302"/>
      <c r="AP512" s="302"/>
      <c r="AQ512" s="302"/>
      <c r="AR512" s="302"/>
      <c r="AS512" s="302"/>
      <c r="AT512" s="302"/>
      <c r="AU512" s="304"/>
      <c r="AV512" s="306"/>
      <c r="AW512" s="303"/>
      <c r="AX512" s="303"/>
      <c r="AY512" s="303"/>
      <c r="AZ512" s="303"/>
      <c r="BA512" s="303"/>
      <c r="BB512" s="303"/>
      <c r="BC512" s="303"/>
      <c r="BD512" s="304"/>
      <c r="BE512" s="305"/>
      <c r="BF512" s="302"/>
      <c r="BG512" s="307"/>
      <c r="BH512" s="308"/>
      <c r="BI512" s="302"/>
      <c r="BJ512" s="307"/>
      <c r="BK512" s="308"/>
      <c r="BL512" s="302"/>
      <c r="BM512" s="303"/>
      <c r="BN512" s="315"/>
      <c r="BO512" s="250">
        <f t="shared" si="47"/>
        <v>0</v>
      </c>
    </row>
    <row r="513" spans="1:67" ht="25.5" customHeight="1" x14ac:dyDescent="0.2">
      <c r="A513" s="142">
        <f t="shared" si="48"/>
        <v>498</v>
      </c>
      <c r="B513" s="251"/>
      <c r="C513" s="252"/>
      <c r="D513" s="253"/>
      <c r="E513" s="254"/>
      <c r="F513" s="278"/>
      <c r="G513" s="256"/>
      <c r="H513" s="257"/>
      <c r="I513" s="231" t="str">
        <f t="shared" si="43"/>
        <v/>
      </c>
      <c r="J513" s="258">
        <f t="shared" si="44"/>
        <v>0</v>
      </c>
      <c r="K513" s="313"/>
      <c r="L513" s="300"/>
      <c r="M513" s="300"/>
      <c r="N513" s="235" t="str">
        <f t="shared" si="45"/>
        <v/>
      </c>
      <c r="O513" s="236" t="str">
        <f>IF('Data Set up'!$G$40="JUNE",IF(OR($N513=7,$N513=8,$N513=9),1,IF(OR($N513=10,$N513=11,$N513=12),2,IF(OR($N513=1,$N513=2,$N513=3),3,IF(OR($N513=4,$N513=5,$N513=6),4,"")))),IF(OR($N513=9,$N513=10,$N513=11),1,IF(OR($N513=12,$N513=1,$N513=2),2,IF(OR($N513=3,$N513=4,$N513=5),3,IF(OR($N513=6,$N513=7,$N513=8),4,"")))))</f>
        <v/>
      </c>
      <c r="P513" s="261"/>
      <c r="Q513" s="305"/>
      <c r="R513" s="302"/>
      <c r="S513" s="264">
        <f t="shared" si="46"/>
        <v>0</v>
      </c>
      <c r="T513" s="302"/>
      <c r="U513" s="302"/>
      <c r="V513" s="302"/>
      <c r="W513" s="302"/>
      <c r="X513" s="302"/>
      <c r="Y513" s="302"/>
      <c r="Z513" s="302"/>
      <c r="AA513" s="302"/>
      <c r="AB513" s="303"/>
      <c r="AC513" s="304"/>
      <c r="AD513" s="305"/>
      <c r="AE513" s="302"/>
      <c r="AF513" s="302"/>
      <c r="AG513" s="302"/>
      <c r="AH513" s="302"/>
      <c r="AI513" s="303"/>
      <c r="AJ513" s="303"/>
      <c r="AK513" s="302"/>
      <c r="AL513" s="314"/>
      <c r="AM513" s="305"/>
      <c r="AN513" s="302"/>
      <c r="AO513" s="302"/>
      <c r="AP513" s="302"/>
      <c r="AQ513" s="302"/>
      <c r="AR513" s="302"/>
      <c r="AS513" s="302"/>
      <c r="AT513" s="302"/>
      <c r="AU513" s="304"/>
      <c r="AV513" s="306"/>
      <c r="AW513" s="303"/>
      <c r="AX513" s="303"/>
      <c r="AY513" s="303"/>
      <c r="AZ513" s="303"/>
      <c r="BA513" s="303"/>
      <c r="BB513" s="303"/>
      <c r="BC513" s="303"/>
      <c r="BD513" s="304"/>
      <c r="BE513" s="305"/>
      <c r="BF513" s="302"/>
      <c r="BG513" s="307"/>
      <c r="BH513" s="308"/>
      <c r="BI513" s="302"/>
      <c r="BJ513" s="307"/>
      <c r="BK513" s="308"/>
      <c r="BL513" s="302"/>
      <c r="BM513" s="303"/>
      <c r="BN513" s="315"/>
      <c r="BO513" s="250">
        <f t="shared" si="47"/>
        <v>0</v>
      </c>
    </row>
    <row r="514" spans="1:67" ht="25.5" customHeight="1" x14ac:dyDescent="0.2">
      <c r="A514" s="142">
        <f t="shared" si="48"/>
        <v>499</v>
      </c>
      <c r="B514" s="251"/>
      <c r="C514" s="252"/>
      <c r="D514" s="253"/>
      <c r="E514" s="254"/>
      <c r="F514" s="278"/>
      <c r="G514" s="256"/>
      <c r="H514" s="257"/>
      <c r="I514" s="231" t="str">
        <f t="shared" si="43"/>
        <v/>
      </c>
      <c r="J514" s="258">
        <f t="shared" si="44"/>
        <v>0</v>
      </c>
      <c r="K514" s="313"/>
      <c r="L514" s="300"/>
      <c r="M514" s="300"/>
      <c r="N514" s="235" t="str">
        <f t="shared" si="45"/>
        <v/>
      </c>
      <c r="O514" s="236" t="str">
        <f>IF('Data Set up'!$G$40="JUNE",IF(OR($N514=7,$N514=8,$N514=9),1,IF(OR($N514=10,$N514=11,$N514=12),2,IF(OR($N514=1,$N514=2,$N514=3),3,IF(OR($N514=4,$N514=5,$N514=6),4,"")))),IF(OR($N514=9,$N514=10,$N514=11),1,IF(OR($N514=12,$N514=1,$N514=2),2,IF(OR($N514=3,$N514=4,$N514=5),3,IF(OR($N514=6,$N514=7,$N514=8),4,"")))))</f>
        <v/>
      </c>
      <c r="P514" s="261"/>
      <c r="Q514" s="305"/>
      <c r="R514" s="302"/>
      <c r="S514" s="264">
        <f t="shared" si="46"/>
        <v>0</v>
      </c>
      <c r="T514" s="302"/>
      <c r="U514" s="302"/>
      <c r="V514" s="302"/>
      <c r="W514" s="302"/>
      <c r="X514" s="302"/>
      <c r="Y514" s="302"/>
      <c r="Z514" s="302"/>
      <c r="AA514" s="302"/>
      <c r="AB514" s="303"/>
      <c r="AC514" s="304"/>
      <c r="AD514" s="305"/>
      <c r="AE514" s="302"/>
      <c r="AF514" s="302"/>
      <c r="AG514" s="302"/>
      <c r="AH514" s="302"/>
      <c r="AI514" s="303"/>
      <c r="AJ514" s="303"/>
      <c r="AK514" s="302"/>
      <c r="AL514" s="314"/>
      <c r="AM514" s="305"/>
      <c r="AN514" s="302"/>
      <c r="AO514" s="302"/>
      <c r="AP514" s="302"/>
      <c r="AQ514" s="302"/>
      <c r="AR514" s="302"/>
      <c r="AS514" s="302"/>
      <c r="AT514" s="302"/>
      <c r="AU514" s="304"/>
      <c r="AV514" s="306"/>
      <c r="AW514" s="303"/>
      <c r="AX514" s="303"/>
      <c r="AY514" s="303"/>
      <c r="AZ514" s="303"/>
      <c r="BA514" s="303"/>
      <c r="BB514" s="303"/>
      <c r="BC514" s="303"/>
      <c r="BD514" s="304"/>
      <c r="BE514" s="305"/>
      <c r="BF514" s="302"/>
      <c r="BG514" s="307"/>
      <c r="BH514" s="308"/>
      <c r="BI514" s="302"/>
      <c r="BJ514" s="307"/>
      <c r="BK514" s="308"/>
      <c r="BL514" s="302"/>
      <c r="BM514" s="303"/>
      <c r="BN514" s="315"/>
      <c r="BO514" s="250">
        <f t="shared" si="47"/>
        <v>0</v>
      </c>
    </row>
    <row r="515" spans="1:67" ht="25.5" customHeight="1" x14ac:dyDescent="0.2">
      <c r="A515" s="142">
        <f t="shared" si="48"/>
        <v>500</v>
      </c>
      <c r="B515" s="251"/>
      <c r="C515" s="252"/>
      <c r="D515" s="253"/>
      <c r="E515" s="254"/>
      <c r="F515" s="278"/>
      <c r="G515" s="256"/>
      <c r="H515" s="257"/>
      <c r="I515" s="317" t="str">
        <f t="shared" si="43"/>
        <v/>
      </c>
      <c r="J515" s="258">
        <f t="shared" si="44"/>
        <v>0</v>
      </c>
      <c r="K515" s="313"/>
      <c r="L515" s="300"/>
      <c r="M515" s="300"/>
      <c r="N515" s="235" t="str">
        <f t="shared" si="45"/>
        <v/>
      </c>
      <c r="O515" s="236" t="str">
        <f>IF('Data Set up'!$G$40="JUNE",IF(OR($N515=7,$N515=8,$N515=9),1,IF(OR($N515=10,$N515=11,$N515=12),2,IF(OR($N515=1,$N515=2,$N515=3),3,IF(OR($N515=4,$N515=5,$N515=6),4,"")))),IF(OR($N515=9,$N515=10,$N515=11),1,IF(OR($N515=12,$N515=1,$N515=2),2,IF(OR($N515=3,$N515=4,$N515=5),3,IF(OR($N515=6,$N515=7,$N515=8),4,"")))))</f>
        <v/>
      </c>
      <c r="P515" s="261"/>
      <c r="Q515" s="305"/>
      <c r="R515" s="302"/>
      <c r="S515" s="264">
        <f t="shared" si="46"/>
        <v>0</v>
      </c>
      <c r="T515" s="302"/>
      <c r="U515" s="302"/>
      <c r="V515" s="302"/>
      <c r="W515" s="302"/>
      <c r="X515" s="302"/>
      <c r="Y515" s="302"/>
      <c r="Z515" s="302"/>
      <c r="AA515" s="302"/>
      <c r="AB515" s="303"/>
      <c r="AC515" s="304"/>
      <c r="AD515" s="305"/>
      <c r="AE515" s="302"/>
      <c r="AF515" s="302"/>
      <c r="AG515" s="302"/>
      <c r="AH515" s="302"/>
      <c r="AI515" s="303"/>
      <c r="AJ515" s="303"/>
      <c r="AK515" s="302"/>
      <c r="AL515" s="314"/>
      <c r="AM515" s="305"/>
      <c r="AN515" s="302"/>
      <c r="AO515" s="302"/>
      <c r="AP515" s="302"/>
      <c r="AQ515" s="302"/>
      <c r="AR515" s="302"/>
      <c r="AS515" s="302"/>
      <c r="AT515" s="302"/>
      <c r="AU515" s="304"/>
      <c r="AV515" s="306"/>
      <c r="AW515" s="303"/>
      <c r="AX515" s="303"/>
      <c r="AY515" s="303"/>
      <c r="AZ515" s="303"/>
      <c r="BA515" s="303"/>
      <c r="BB515" s="303"/>
      <c r="BC515" s="303"/>
      <c r="BD515" s="304"/>
      <c r="BE515" s="305"/>
      <c r="BF515" s="302"/>
      <c r="BG515" s="307"/>
      <c r="BH515" s="308"/>
      <c r="BI515" s="302"/>
      <c r="BJ515" s="307"/>
      <c r="BK515" s="308"/>
      <c r="BL515" s="302"/>
      <c r="BM515" s="303"/>
      <c r="BN515" s="315"/>
      <c r="BO515" s="250">
        <f t="shared" si="47"/>
        <v>0</v>
      </c>
    </row>
    <row r="516" spans="1:67" x14ac:dyDescent="0.2">
      <c r="C516" s="1505" t="str">
        <f>IF(C4=2,"TOTAUX","TOTALS")</f>
        <v>TOTALS</v>
      </c>
      <c r="D516" s="1505"/>
      <c r="E516" s="1505"/>
      <c r="F516" s="1505"/>
      <c r="G516" s="318">
        <f>+SUM(G16:G515)</f>
        <v>0</v>
      </c>
      <c r="H516" s="319"/>
      <c r="I516" s="320"/>
      <c r="J516" s="321">
        <f>+SUM(J16:J515)</f>
        <v>0</v>
      </c>
      <c r="K516" s="322">
        <f>+SUM(K16:K515)</f>
        <v>0</v>
      </c>
      <c r="L516" s="322">
        <f>+SUM(L16:L515)</f>
        <v>0</v>
      </c>
      <c r="M516" s="322">
        <f>+SUM(M16:M515)</f>
        <v>0</v>
      </c>
      <c r="N516" s="323"/>
      <c r="O516" s="324"/>
      <c r="P516" s="325">
        <f t="shared" ref="P516:AU516" si="49">+SUM(P16:P515)</f>
        <v>0</v>
      </c>
      <c r="Q516" s="326">
        <f t="shared" si="49"/>
        <v>0</v>
      </c>
      <c r="R516" s="327">
        <f t="shared" si="49"/>
        <v>0</v>
      </c>
      <c r="S516" s="327">
        <f t="shared" si="49"/>
        <v>0</v>
      </c>
      <c r="T516" s="327">
        <f t="shared" si="49"/>
        <v>0</v>
      </c>
      <c r="U516" s="327">
        <f t="shared" si="49"/>
        <v>0</v>
      </c>
      <c r="V516" s="327">
        <f t="shared" si="49"/>
        <v>0</v>
      </c>
      <c r="W516" s="327">
        <f t="shared" si="49"/>
        <v>0</v>
      </c>
      <c r="X516" s="327">
        <f t="shared" si="49"/>
        <v>0</v>
      </c>
      <c r="Y516" s="327">
        <f t="shared" si="49"/>
        <v>0</v>
      </c>
      <c r="Z516" s="327">
        <f t="shared" si="49"/>
        <v>0</v>
      </c>
      <c r="AA516" s="327">
        <f t="shared" si="49"/>
        <v>0</v>
      </c>
      <c r="AB516" s="327">
        <f t="shared" si="49"/>
        <v>0</v>
      </c>
      <c r="AC516" s="327">
        <f t="shared" si="49"/>
        <v>0</v>
      </c>
      <c r="AD516" s="327">
        <f t="shared" si="49"/>
        <v>0</v>
      </c>
      <c r="AE516" s="327">
        <f t="shared" si="49"/>
        <v>0</v>
      </c>
      <c r="AF516" s="327">
        <f t="shared" si="49"/>
        <v>0</v>
      </c>
      <c r="AG516" s="327">
        <f t="shared" si="49"/>
        <v>0</v>
      </c>
      <c r="AH516" s="327">
        <f t="shared" si="49"/>
        <v>0</v>
      </c>
      <c r="AI516" s="327">
        <f t="shared" si="49"/>
        <v>0</v>
      </c>
      <c r="AJ516" s="327">
        <f t="shared" si="49"/>
        <v>0</v>
      </c>
      <c r="AK516" s="327">
        <f t="shared" si="49"/>
        <v>0</v>
      </c>
      <c r="AL516" s="327">
        <f t="shared" si="49"/>
        <v>0</v>
      </c>
      <c r="AM516" s="327">
        <f t="shared" si="49"/>
        <v>0</v>
      </c>
      <c r="AN516" s="327">
        <f t="shared" si="49"/>
        <v>0</v>
      </c>
      <c r="AO516" s="327">
        <f t="shared" si="49"/>
        <v>0</v>
      </c>
      <c r="AP516" s="327">
        <f t="shared" si="49"/>
        <v>0</v>
      </c>
      <c r="AQ516" s="327">
        <f t="shared" si="49"/>
        <v>0</v>
      </c>
      <c r="AR516" s="327">
        <f t="shared" si="49"/>
        <v>0</v>
      </c>
      <c r="AS516" s="327">
        <f t="shared" si="49"/>
        <v>0</v>
      </c>
      <c r="AT516" s="327">
        <f t="shared" si="49"/>
        <v>0</v>
      </c>
      <c r="AU516" s="327">
        <f t="shared" si="49"/>
        <v>0</v>
      </c>
      <c r="AV516" s="327">
        <f t="shared" ref="AV516:BN516" si="50">+SUM(AV16:AV515)</f>
        <v>0</v>
      </c>
      <c r="AW516" s="327">
        <f t="shared" si="50"/>
        <v>0</v>
      </c>
      <c r="AX516" s="327">
        <f t="shared" si="50"/>
        <v>0</v>
      </c>
      <c r="AY516" s="327">
        <f t="shared" si="50"/>
        <v>0</v>
      </c>
      <c r="AZ516" s="327">
        <f t="shared" si="50"/>
        <v>0</v>
      </c>
      <c r="BA516" s="327">
        <f t="shared" si="50"/>
        <v>0</v>
      </c>
      <c r="BB516" s="327">
        <f t="shared" si="50"/>
        <v>0</v>
      </c>
      <c r="BC516" s="327">
        <f t="shared" si="50"/>
        <v>0</v>
      </c>
      <c r="BD516" s="327">
        <f t="shared" si="50"/>
        <v>0</v>
      </c>
      <c r="BE516" s="327">
        <f t="shared" si="50"/>
        <v>0</v>
      </c>
      <c r="BF516" s="327">
        <f t="shared" si="50"/>
        <v>0</v>
      </c>
      <c r="BG516" s="328">
        <f t="shared" si="50"/>
        <v>0</v>
      </c>
      <c r="BH516" s="329">
        <f t="shared" si="50"/>
        <v>0</v>
      </c>
      <c r="BI516" s="327">
        <f t="shared" si="50"/>
        <v>0</v>
      </c>
      <c r="BJ516" s="328">
        <f t="shared" si="50"/>
        <v>0</v>
      </c>
      <c r="BK516" s="329">
        <f t="shared" si="50"/>
        <v>0</v>
      </c>
      <c r="BL516" s="327">
        <f t="shared" si="50"/>
        <v>0</v>
      </c>
      <c r="BM516" s="327">
        <f t="shared" si="50"/>
        <v>0</v>
      </c>
      <c r="BN516" s="327">
        <f t="shared" si="50"/>
        <v>0</v>
      </c>
      <c r="BO516" s="1"/>
    </row>
    <row r="517" spans="1:67" x14ac:dyDescent="0.2">
      <c r="C517" s="1506"/>
      <c r="D517" s="1506"/>
      <c r="E517" s="1506"/>
      <c r="F517" s="1506"/>
      <c r="G517" s="330"/>
      <c r="H517" s="331"/>
      <c r="I517" s="332"/>
      <c r="J517" s="332"/>
      <c r="K517" s="332"/>
      <c r="L517" s="332"/>
      <c r="M517" s="143"/>
      <c r="N517" s="143"/>
      <c r="O517" s="143"/>
      <c r="P517" s="143"/>
      <c r="Q517" s="333"/>
      <c r="BN517" s="334"/>
      <c r="BO517" s="334"/>
    </row>
    <row r="518" spans="1:67" ht="12.75" customHeight="1" x14ac:dyDescent="0.2">
      <c r="E518" s="1507" t="str">
        <f>IF(C4=2,"Montant total réconcilié","RECONCILED TOTAL")</f>
        <v>RECONCILED TOTAL</v>
      </c>
      <c r="F518" s="1507"/>
      <c r="G518" s="335">
        <f>SUMIF(B16:B140,B6,G16:G515)</f>
        <v>0</v>
      </c>
      <c r="H518" s="336"/>
      <c r="I518" s="337" t="s">
        <v>271</v>
      </c>
      <c r="J518" s="337"/>
      <c r="K518" s="337"/>
      <c r="L518" s="337"/>
    </row>
    <row r="519" spans="1:67" x14ac:dyDescent="0.2">
      <c r="G519" s="208"/>
      <c r="H519" s="336"/>
      <c r="I519" s="337"/>
      <c r="J519" s="337"/>
      <c r="K519" s="337"/>
      <c r="L519" s="337"/>
    </row>
    <row r="520" spans="1:67" ht="15.75" customHeight="1" x14ac:dyDescent="0.2">
      <c r="E520" s="1507" t="str">
        <f>IF(C4=2,"Montant total non réconcilié","UNRECONCILED TOTAL")</f>
        <v>UNRECONCILED TOTAL</v>
      </c>
      <c r="F520" s="1507"/>
      <c r="G520" s="335">
        <f>G516-G518</f>
        <v>0</v>
      </c>
      <c r="L520" s="209"/>
      <c r="M520" s="338"/>
    </row>
    <row r="521" spans="1:67" ht="12.75" customHeight="1" x14ac:dyDescent="0.2">
      <c r="G521" s="336"/>
      <c r="H521" s="1508" t="str">
        <f>IF(C4=2,"Montants non-réconciliés","Unreconciled Amounts")</f>
        <v>Unreconciled Amounts</v>
      </c>
      <c r="M521" s="338"/>
    </row>
    <row r="522" spans="1:67" ht="12.75" customHeight="1" x14ac:dyDescent="0.2">
      <c r="E522" s="1509" t="str">
        <f>'Data Set up'!H17</f>
        <v>Asset Accounts</v>
      </c>
      <c r="F522" s="1509"/>
      <c r="G522" s="339">
        <v>988</v>
      </c>
      <c r="H522" s="1508"/>
      <c r="L522" s="340"/>
      <c r="M522" s="338"/>
    </row>
    <row r="523" spans="1:67" ht="15.75" x14ac:dyDescent="0.2">
      <c r="E523" s="1510" t="str">
        <f>K523&amp;" "&amp;"-"&amp;" "&amp;'Data Set up'!I18</f>
        <v>1010 - Other Cash in hand</v>
      </c>
      <c r="F523" s="1510"/>
      <c r="G523" s="341">
        <f>SUMIF($I$16:$I$515,$K523,$G$16:$G515)</f>
        <v>0</v>
      </c>
      <c r="H523" s="342">
        <f t="shared" ref="H523:H540" si="51">SUMIFS($G$16:$G$515,$B$16:$B$515,"",$I$16:$I$515,$K523)</f>
        <v>0</v>
      </c>
      <c r="K523" s="207" t="str">
        <f>'Data Set up'!L15</f>
        <v>1010</v>
      </c>
      <c r="M523" s="343"/>
      <c r="O523" s="80" t="str">
        <f t="shared" ref="O523:O540" si="52">E523</f>
        <v>1010 - Other Cash in hand</v>
      </c>
    </row>
    <row r="524" spans="1:67" ht="15.75" x14ac:dyDescent="0.2">
      <c r="E524" s="1510" t="str">
        <f>K524&amp;" "&amp;"-"&amp;" "&amp;'Data Set up'!I19</f>
        <v>1020 - Main Bank Account</v>
      </c>
      <c r="F524" s="1510"/>
      <c r="G524" s="341">
        <f>SUMIF($I$16:$I$515,$K524,$G$16:$G515)</f>
        <v>0</v>
      </c>
      <c r="H524" s="342">
        <f t="shared" si="51"/>
        <v>0</v>
      </c>
      <c r="K524" s="207" t="str">
        <f>'Data Set up'!L16</f>
        <v>1020</v>
      </c>
      <c r="M524" s="343"/>
      <c r="O524" s="80" t="str">
        <f t="shared" si="52"/>
        <v>1020 - Main Bank Account</v>
      </c>
    </row>
    <row r="525" spans="1:67" ht="15.75" x14ac:dyDescent="0.2">
      <c r="E525" s="1510" t="str">
        <f>K525&amp;" "&amp;"-"&amp;" "&amp;'Data Set up'!I20</f>
        <v>1030 - Canteen</v>
      </c>
      <c r="F525" s="1510"/>
      <c r="G525" s="341">
        <f>SUMIF($I$16:$I$515,$K525,$G$16:$G515)</f>
        <v>0</v>
      </c>
      <c r="H525" s="342">
        <f t="shared" si="51"/>
        <v>0</v>
      </c>
      <c r="K525" s="207" t="str">
        <f>'Data Set up'!L17</f>
        <v>1030</v>
      </c>
      <c r="M525" s="343"/>
      <c r="O525" s="80" t="str">
        <f t="shared" si="52"/>
        <v>1030 - Canteen</v>
      </c>
    </row>
    <row r="526" spans="1:67" ht="15.75" x14ac:dyDescent="0.2">
      <c r="E526" s="1510" t="str">
        <f>K526&amp;" "&amp;"-"&amp;" "&amp;'Data Set up'!I21</f>
        <v>1040 - Petty Cash</v>
      </c>
      <c r="F526" s="1510"/>
      <c r="G526" s="341">
        <f>SUMIF($I$16:$I$515,$K526,$G$16:$G515)</f>
        <v>0</v>
      </c>
      <c r="H526" s="342">
        <f t="shared" si="51"/>
        <v>0</v>
      </c>
      <c r="K526" s="207" t="str">
        <f>'Data Set up'!L18</f>
        <v>1040</v>
      </c>
      <c r="M526" s="343"/>
      <c r="O526" s="80" t="str">
        <f t="shared" si="52"/>
        <v>1040 - Petty Cash</v>
      </c>
    </row>
    <row r="527" spans="1:67" ht="15.75" x14ac:dyDescent="0.2">
      <c r="E527" s="1510" t="str">
        <f>K527&amp;" "&amp;"-"&amp;" "&amp;'Data Set up'!I22</f>
        <v>1050 - Available (Rename)</v>
      </c>
      <c r="F527" s="1510"/>
      <c r="G527" s="341">
        <f>SUMIF($I$16:$I$515,$K527,$G$16:$G515)</f>
        <v>0</v>
      </c>
      <c r="H527" s="342">
        <f t="shared" si="51"/>
        <v>0</v>
      </c>
      <c r="K527" s="207" t="str">
        <f>'Data Set up'!L19</f>
        <v>1050</v>
      </c>
      <c r="M527" s="343"/>
      <c r="O527" s="80" t="str">
        <f t="shared" si="52"/>
        <v>1050 - Available (Rename)</v>
      </c>
    </row>
    <row r="528" spans="1:67" ht="15.75" x14ac:dyDescent="0.2">
      <c r="E528" s="1510" t="str">
        <f>K528&amp;" "&amp;"-"&amp;" "&amp;'Data Set up'!I23</f>
        <v>1060 - Available (Rename)</v>
      </c>
      <c r="F528" s="1510"/>
      <c r="G528" s="341">
        <f>SUMIF($I$16:$I$515,$K528,$G$16:$G515)</f>
        <v>0</v>
      </c>
      <c r="H528" s="342">
        <f t="shared" si="51"/>
        <v>0</v>
      </c>
      <c r="K528" s="207" t="str">
        <f>'Data Set up'!L20</f>
        <v>1060</v>
      </c>
      <c r="M528" s="343"/>
      <c r="O528" s="80" t="str">
        <f t="shared" si="52"/>
        <v>1060 - Available (Rename)</v>
      </c>
    </row>
    <row r="529" spans="2:17" ht="15.75" x14ac:dyDescent="0.2">
      <c r="E529" s="1510" t="str">
        <f>K529&amp;" "&amp;"-"&amp;" "&amp;'Data Set up'!I24</f>
        <v>1070 - Available (Rename)</v>
      </c>
      <c r="F529" s="1510"/>
      <c r="G529" s="341">
        <f>SUMIF($I$16:$I$515,$K529,$G$16:$G515)</f>
        <v>0</v>
      </c>
      <c r="H529" s="342">
        <f t="shared" si="51"/>
        <v>0</v>
      </c>
      <c r="K529" s="207" t="str">
        <f>'Data Set up'!L21</f>
        <v>1070</v>
      </c>
      <c r="M529" s="343"/>
      <c r="O529" s="80" t="str">
        <f t="shared" si="52"/>
        <v>1070 - Available (Rename)</v>
      </c>
      <c r="Q529" s="208"/>
    </row>
    <row r="530" spans="2:17" ht="15.75" x14ac:dyDescent="0.2">
      <c r="E530" s="1510" t="str">
        <f>K530&amp;" "&amp;"-"&amp;" "&amp;'Data Set up'!I25</f>
        <v>1210 - Investments GICs</v>
      </c>
      <c r="F530" s="1510"/>
      <c r="G530" s="341">
        <f>SUMIF($I$16:$I$515,$K530,$G$16:$G515)</f>
        <v>0</v>
      </c>
      <c r="H530" s="342">
        <f t="shared" si="51"/>
        <v>0</v>
      </c>
      <c r="K530" s="207" t="str">
        <f>'Data Set up'!L22</f>
        <v>1210</v>
      </c>
      <c r="M530" s="343"/>
      <c r="O530" s="80" t="str">
        <f t="shared" si="52"/>
        <v>1210 - Investments GICs</v>
      </c>
    </row>
    <row r="531" spans="2:17" ht="15.75" x14ac:dyDescent="0.2">
      <c r="E531" s="1510" t="str">
        <f>K531&amp;" "&amp;"-"&amp;" "&amp;'Data Set up'!I26</f>
        <v>1220 - Investments (Mutual Funds and such)</v>
      </c>
      <c r="F531" s="1510"/>
      <c r="G531" s="341">
        <f>SUMIF($I$16:$I$515,$K531,$G$16:$G515)</f>
        <v>0</v>
      </c>
      <c r="H531" s="342">
        <f t="shared" si="51"/>
        <v>0</v>
      </c>
      <c r="K531" s="207" t="str">
        <f>'Data Set up'!L23</f>
        <v>1220</v>
      </c>
      <c r="M531" s="343"/>
      <c r="O531" s="80" t="str">
        <f t="shared" si="52"/>
        <v>1220 - Investments (Mutual Funds and such)</v>
      </c>
    </row>
    <row r="532" spans="2:17" ht="15.75" x14ac:dyDescent="0.2">
      <c r="E532" s="1510" t="str">
        <f>K532&amp;" "&amp;"-"&amp;" "&amp;'Data Set up'!I27</f>
        <v>1230 - Available (Rename)</v>
      </c>
      <c r="F532" s="1510"/>
      <c r="G532" s="341">
        <f>SUMIF($I$16:$I$515,$K532,$G$16:$G515)</f>
        <v>0</v>
      </c>
      <c r="H532" s="342">
        <f t="shared" si="51"/>
        <v>0</v>
      </c>
      <c r="K532" s="207" t="str">
        <f>'Data Set up'!L24</f>
        <v>1230</v>
      </c>
      <c r="M532" s="343"/>
      <c r="O532" s="80" t="str">
        <f t="shared" si="52"/>
        <v>1230 - Available (Rename)</v>
      </c>
    </row>
    <row r="533" spans="2:17" ht="15.75" x14ac:dyDescent="0.2">
      <c r="E533" s="1510" t="str">
        <f>K533&amp;" "&amp;"-"&amp;" "&amp;'Data Set up'!I28</f>
        <v>1240 - Available (Rename)</v>
      </c>
      <c r="F533" s="1510"/>
      <c r="G533" s="341">
        <f>SUMIF($I$16:$I$515,$K533,$G$16:$G515)</f>
        <v>0</v>
      </c>
      <c r="H533" s="342">
        <f t="shared" si="51"/>
        <v>0</v>
      </c>
      <c r="K533" s="207" t="str">
        <f>'Data Set up'!L25</f>
        <v>1240</v>
      </c>
      <c r="M533" s="343"/>
      <c r="O533" s="80" t="str">
        <f t="shared" si="52"/>
        <v>1240 - Available (Rename)</v>
      </c>
    </row>
    <row r="534" spans="2:17" ht="15.75" x14ac:dyDescent="0.2">
      <c r="E534" s="1510" t="str">
        <f>K534&amp;" "&amp;"-"&amp;" "&amp;'Data Set up'!I30</f>
        <v>2010 - Bank Credit Card</v>
      </c>
      <c r="F534" s="1510"/>
      <c r="G534" s="341">
        <f>SUMIF($I$16:$I$515,$K534,$G$16:$G515)</f>
        <v>0</v>
      </c>
      <c r="H534" s="342">
        <f t="shared" si="51"/>
        <v>0</v>
      </c>
      <c r="K534" s="207" t="str">
        <f>'Data Set up'!L26</f>
        <v>2010</v>
      </c>
      <c r="O534" s="80" t="str">
        <f t="shared" si="52"/>
        <v>2010 - Bank Credit Card</v>
      </c>
    </row>
    <row r="535" spans="2:17" ht="15.75" x14ac:dyDescent="0.2">
      <c r="E535" s="1510" t="str">
        <f>K535&amp;" "&amp;"-"&amp;" "&amp;'Data Set up'!I31</f>
        <v>2020 - Available (Rename)</v>
      </c>
      <c r="F535" s="1510"/>
      <c r="G535" s="341">
        <f>SUMIF($I$16:$I$515,$K535,$G$16:$G515)</f>
        <v>0</v>
      </c>
      <c r="H535" s="342">
        <f t="shared" si="51"/>
        <v>0</v>
      </c>
      <c r="K535" s="207" t="str">
        <f>'Data Set up'!L27</f>
        <v>2020</v>
      </c>
      <c r="O535" s="80" t="str">
        <f t="shared" si="52"/>
        <v>2020 - Available (Rename)</v>
      </c>
    </row>
    <row r="536" spans="2:17" ht="15.75" x14ac:dyDescent="0.2">
      <c r="E536" s="1510" t="str">
        <f>K536&amp;" "&amp;"-"&amp;" "&amp;'Data Set up'!I32</f>
        <v>2030 - Available (Rename)</v>
      </c>
      <c r="F536" s="1510"/>
      <c r="G536" s="341">
        <f>SUMIF($I$16:$I$515,$K536,$G$16:$G515)</f>
        <v>0</v>
      </c>
      <c r="H536" s="342">
        <f t="shared" si="51"/>
        <v>0</v>
      </c>
      <c r="K536" s="207" t="str">
        <f>'Data Set up'!L28</f>
        <v>2030</v>
      </c>
      <c r="O536" s="80" t="str">
        <f t="shared" si="52"/>
        <v>2030 - Available (Rename)</v>
      </c>
    </row>
    <row r="537" spans="2:17" ht="15.75" x14ac:dyDescent="0.2">
      <c r="E537" s="1510" t="str">
        <f>K537&amp;" "&amp;"-"&amp;" "&amp;'Data Set up'!I33</f>
        <v>2040 - Available (Rename)</v>
      </c>
      <c r="F537" s="1510"/>
      <c r="G537" s="341">
        <f>SUMIF($I$16:$I$515,$K537,$G$16:$G515)</f>
        <v>0</v>
      </c>
      <c r="H537" s="342">
        <f t="shared" si="51"/>
        <v>0</v>
      </c>
      <c r="K537" s="207" t="str">
        <f>'Data Set up'!L29</f>
        <v>2040</v>
      </c>
      <c r="O537" s="80" t="str">
        <f t="shared" si="52"/>
        <v>2040 - Available (Rename)</v>
      </c>
    </row>
    <row r="538" spans="2:17" ht="15.75" x14ac:dyDescent="0.2">
      <c r="E538" s="1510" t="str">
        <f>K538&amp;" "&amp;"-"&amp;" "&amp;'Data Set up'!I34</f>
        <v>2210 - Available (Rename)</v>
      </c>
      <c r="F538" s="1510"/>
      <c r="G538" s="341">
        <f>SUMIF($I$16:$I$515,$K538,$G$16:$G515)</f>
        <v>0</v>
      </c>
      <c r="H538" s="342">
        <f t="shared" si="51"/>
        <v>0</v>
      </c>
      <c r="K538" s="207" t="str">
        <f>'Data Set up'!L30</f>
        <v>2210</v>
      </c>
      <c r="O538" s="80" t="str">
        <f t="shared" si="52"/>
        <v>2210 - Available (Rename)</v>
      </c>
    </row>
    <row r="539" spans="2:17" ht="15.75" x14ac:dyDescent="0.2">
      <c r="E539" s="1510" t="str">
        <f>K539&amp;" "&amp;"-"&amp;" "&amp;'Data Set up'!I35</f>
        <v>2220 - Mortgage</v>
      </c>
      <c r="F539" s="1510"/>
      <c r="G539" s="341">
        <f>SUMIF($I$16:$I$515,$K539,$G$16:$G515)</f>
        <v>0</v>
      </c>
      <c r="H539" s="342">
        <f t="shared" si="51"/>
        <v>0</v>
      </c>
      <c r="K539" s="207" t="str">
        <f>'Data Set up'!L31</f>
        <v>2220</v>
      </c>
      <c r="O539" s="80" t="str">
        <f t="shared" si="52"/>
        <v>2220 - Mortgage</v>
      </c>
    </row>
    <row r="540" spans="2:17" ht="15.75" x14ac:dyDescent="0.2">
      <c r="E540" s="1510" t="str">
        <f>K540&amp;" "&amp;"-"&amp;" "&amp;'Data Set up'!I36</f>
        <v>2230 - Available (Rename)</v>
      </c>
      <c r="F540" s="1510"/>
      <c r="G540" s="341">
        <f>SUMIF($I$16:$I$515,$K540,$G$16:$G515)</f>
        <v>0</v>
      </c>
      <c r="H540" s="342">
        <f t="shared" si="51"/>
        <v>0</v>
      </c>
      <c r="K540" s="207" t="str">
        <f>'Data Set up'!L32</f>
        <v>2230</v>
      </c>
      <c r="O540" s="80" t="str">
        <f t="shared" si="52"/>
        <v>2230 - Available (Rename)</v>
      </c>
    </row>
    <row r="541" spans="2:17" ht="15.75" x14ac:dyDescent="0.2">
      <c r="E541" s="1504"/>
      <c r="F541" s="1504"/>
      <c r="G541" s="208"/>
      <c r="H541" s="209"/>
      <c r="K541" s="47"/>
    </row>
    <row r="542" spans="2:17" ht="15.75" hidden="1" x14ac:dyDescent="0.2">
      <c r="E542" s="1504"/>
      <c r="F542" s="1504"/>
      <c r="G542" s="208"/>
      <c r="H542" s="209"/>
      <c r="K542" s="47"/>
    </row>
    <row r="543" spans="2:17" hidden="1" x14ac:dyDescent="0.2">
      <c r="B543" s="344" t="s">
        <v>265</v>
      </c>
      <c r="C543" s="1511" t="s">
        <v>272</v>
      </c>
      <c r="D543" s="1511"/>
      <c r="E543" s="1511"/>
    </row>
    <row r="544" spans="2:17" hidden="1" x14ac:dyDescent="0.2">
      <c r="B544" s="345" t="s">
        <v>266</v>
      </c>
      <c r="C544" s="1512" t="s">
        <v>273</v>
      </c>
      <c r="D544" s="1512"/>
      <c r="E544" s="1512"/>
    </row>
    <row r="545" spans="2:5" hidden="1" x14ac:dyDescent="0.2">
      <c r="B545" s="345" t="s">
        <v>267</v>
      </c>
      <c r="C545" s="1512" t="s">
        <v>274</v>
      </c>
      <c r="D545" s="1512"/>
      <c r="E545" s="1512"/>
    </row>
    <row r="546" spans="2:5" hidden="1" x14ac:dyDescent="0.2">
      <c r="B546" s="345" t="s">
        <v>268</v>
      </c>
      <c r="C546" s="1512" t="s">
        <v>275</v>
      </c>
      <c r="D546" s="1512"/>
      <c r="E546" s="1512"/>
    </row>
    <row r="547" spans="2:5" hidden="1" x14ac:dyDescent="0.2">
      <c r="B547" s="345" t="s">
        <v>269</v>
      </c>
      <c r="C547" s="1512" t="s">
        <v>276</v>
      </c>
      <c r="D547" s="1512"/>
      <c r="E547" s="1512"/>
    </row>
    <row r="548" spans="2:5" hidden="1" x14ac:dyDescent="0.2">
      <c r="B548" s="346" t="s">
        <v>270</v>
      </c>
      <c r="C548" s="1513" t="s">
        <v>277</v>
      </c>
      <c r="D548" s="1513"/>
      <c r="E548" s="1513"/>
    </row>
    <row r="549" spans="2:5" ht="14.25" hidden="1" customHeight="1" x14ac:dyDescent="0.2"/>
    <row r="550" spans="2:5" x14ac:dyDescent="0.2">
      <c r="B550" s="347"/>
    </row>
    <row r="551" spans="2:5" x14ac:dyDescent="0.2">
      <c r="B551" s="347"/>
    </row>
    <row r="552" spans="2:5" x14ac:dyDescent="0.2">
      <c r="B552" s="347"/>
    </row>
    <row r="553" spans="2:5" x14ac:dyDescent="0.2">
      <c r="B553" s="347"/>
    </row>
    <row r="554" spans="2:5" x14ac:dyDescent="0.2">
      <c r="B554" s="347"/>
    </row>
    <row r="555" spans="2:5" x14ac:dyDescent="0.2">
      <c r="B555" s="347"/>
    </row>
    <row r="556" spans="2:5" x14ac:dyDescent="0.2">
      <c r="B556" s="347"/>
    </row>
  </sheetData>
  <sheetProtection algorithmName="SHA-512" hashValue="bajS1kpMKuA4LjCL2QXlZss62GyvQ3TT5oKP7XgtoJkYi261nIjx3VlWPqAYBZfhDewCevGrnxa1KKUDcuXizw==" saltValue="733NKmCk69A9BXcOa+xW6Q==" spinCount="100000" sheet="1" objects="1" scenarios="1" selectLockedCells="1"/>
  <protectedRanges>
    <protectedRange sqref="E28:G30 E48:G71 E32:G37 F46:G46 E39:G40 BE18:BE25 BG17 AX17 F42:G44 E42:E46 C16:D40 C41:G41 AV16:BN16 AV17:AW515 C42:D515 E104:G515 BH17:BN515 AY17:BD515 AX19:AX515 BE27:BE515 BF18:BG515 H16:AU515" name="revenue journal"/>
    <protectedRange sqref="E16:G17 E20:G27" name="revenue journal_2"/>
  </protectedRanges>
  <mergeCells count="57">
    <mergeCell ref="C544:E544"/>
    <mergeCell ref="C545:E545"/>
    <mergeCell ref="C546:E546"/>
    <mergeCell ref="C547:E547"/>
    <mergeCell ref="C548:E548"/>
    <mergeCell ref="E539:F539"/>
    <mergeCell ref="E540:F540"/>
    <mergeCell ref="E541:F541"/>
    <mergeCell ref="E542:F542"/>
    <mergeCell ref="C543:E543"/>
    <mergeCell ref="E534:F534"/>
    <mergeCell ref="E535:F535"/>
    <mergeCell ref="E536:F536"/>
    <mergeCell ref="E537:F537"/>
    <mergeCell ref="E538:F538"/>
    <mergeCell ref="E529:F529"/>
    <mergeCell ref="E530:F530"/>
    <mergeCell ref="E531:F531"/>
    <mergeCell ref="E532:F532"/>
    <mergeCell ref="E533:F533"/>
    <mergeCell ref="E524:F524"/>
    <mergeCell ref="E525:F525"/>
    <mergeCell ref="E526:F526"/>
    <mergeCell ref="E527:F527"/>
    <mergeCell ref="E528:F528"/>
    <mergeCell ref="E518:F518"/>
    <mergeCell ref="E520:F520"/>
    <mergeCell ref="H521:H522"/>
    <mergeCell ref="E522:F522"/>
    <mergeCell ref="E523:F523"/>
    <mergeCell ref="E12:F12"/>
    <mergeCell ref="E13:F13"/>
    <mergeCell ref="E14:F14"/>
    <mergeCell ref="C516:F516"/>
    <mergeCell ref="C517:F517"/>
    <mergeCell ref="BH3:BJ3"/>
    <mergeCell ref="BK3:BM3"/>
    <mergeCell ref="F4:F7"/>
    <mergeCell ref="G4:G7"/>
    <mergeCell ref="Q4:AC4"/>
    <mergeCell ref="AD4:AL4"/>
    <mergeCell ref="AM4:AU4"/>
    <mergeCell ref="AV4:BD4"/>
    <mergeCell ref="BE4:BM4"/>
    <mergeCell ref="Q5:AC5"/>
    <mergeCell ref="AD5:AL5"/>
    <mergeCell ref="AM5:AU5"/>
    <mergeCell ref="AV5:BD5"/>
    <mergeCell ref="BE5:BM5"/>
    <mergeCell ref="K6:M7"/>
    <mergeCell ref="B1:J1"/>
    <mergeCell ref="BE1:BF2"/>
    <mergeCell ref="B2:J2"/>
    <mergeCell ref="AD2:AL3"/>
    <mergeCell ref="AM2:AU3"/>
    <mergeCell ref="B3:J3"/>
    <mergeCell ref="BE3:BG3"/>
  </mergeCells>
  <conditionalFormatting sqref="B16:H515">
    <cfRule type="expression" dxfId="134" priority="4">
      <formula>$B16=$B$6</formula>
    </cfRule>
  </conditionalFormatting>
  <conditionalFormatting sqref="J16:J516">
    <cfRule type="cellIs" dxfId="133" priority="5" operator="notEqual">
      <formula>0</formula>
    </cfRule>
  </conditionalFormatting>
  <conditionalFormatting sqref="D16:G515">
    <cfRule type="cellIs" dxfId="132" priority="6" operator="equal">
      <formula>0</formula>
    </cfRule>
  </conditionalFormatting>
  <conditionalFormatting sqref="T8:W8">
    <cfRule type="expression" dxfId="131" priority="7">
      <formula>T$8="Available (Rename)"</formula>
    </cfRule>
  </conditionalFormatting>
  <conditionalFormatting sqref="BE8:BF8">
    <cfRule type="expression" dxfId="130" priority="8">
      <formula>BE8="Available (Rename) Disponible (Renommez)"</formula>
    </cfRule>
    <cfRule type="expression" dxfId="129" priority="9">
      <formula>BE8="Available (Rename) Disponible (Renommez)"</formula>
    </cfRule>
  </conditionalFormatting>
  <conditionalFormatting sqref="AO64 AO71">
    <cfRule type="expression" dxfId="128" priority="10">
      <formula>$B64=$B$6</formula>
    </cfRule>
  </conditionalFormatting>
  <conditionalFormatting sqref="BI8:BM8 BG8 AB8:AU8 BB8:BD8">
    <cfRule type="expression" dxfId="127" priority="11">
      <formula>AB8="Available (Rename)"</formula>
    </cfRule>
  </conditionalFormatting>
  <conditionalFormatting sqref="BA8">
    <cfRule type="expression" dxfId="126" priority="1">
      <formula>BA8="Available (Rename)"</formula>
    </cfRule>
  </conditionalFormatting>
  <dataValidations count="4">
    <dataValidation type="list" allowBlank="1" showInputMessage="1" showErrorMessage="1" sqref="B16:B515">
      <formula1>$B$5:$B$6</formula1>
      <formula2>0</formula2>
    </dataValidation>
    <dataValidation type="list" allowBlank="1" showInputMessage="1" showErrorMessage="1" sqref="H16:H515">
      <formula1>$O$523:$O$540</formula1>
      <formula2>0</formula2>
    </dataValidation>
    <dataValidation type="date" operator="greaterThan" allowBlank="1" showInputMessage="1" showErrorMessage="1" errorTitle="Error / Erreur !" error=" Wrong Date Format / Mauvais format de date" sqref="E16:E515">
      <formula1>42917</formula1>
      <formula2>0</formula2>
    </dataValidation>
    <dataValidation type="list" allowBlank="1" showInputMessage="1" showErrorMessage="1" sqref="C16:C515">
      <formula1>$B$543:$B$548</formula1>
      <formula2>0</formula2>
    </dataValidation>
  </dataValidations>
  <pageMargins left="0.15763888888888899" right="0.15763888888888899" top="1.1812499999999999" bottom="0.61041666666666705" header="0.95" footer="0.390277777777778"/>
  <pageSetup paperSize="3" scale="82" orientation="landscape" horizontalDpi="300" verticalDpi="300" r:id="rId1"/>
  <headerFooter>
    <oddHeader>&amp;C&amp;16</oddHeader>
    <oddFooter>&amp;R&amp;D</oddFooter>
  </headerFooter>
  <colBreaks count="3" manualBreakCount="3">
    <brk id="30" max="1048575" man="1"/>
    <brk id="48" max="1048575" man="1"/>
    <brk id="67"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sheetPr>
  <dimension ref="A1:AMJ143"/>
  <sheetViews>
    <sheetView showGridLines="0" showRowColHeaders="0" showZeros="0" topLeftCell="A13" zoomScale="85" zoomScaleNormal="85" workbookViewId="0">
      <selection activeCell="G37" sqref="G37"/>
    </sheetView>
  </sheetViews>
  <sheetFormatPr defaultColWidth="11.42578125" defaultRowHeight="12.75" x14ac:dyDescent="0.2"/>
  <cols>
    <col min="1" max="1" width="38" style="1" customWidth="1"/>
    <col min="2" max="2" width="5.85546875" style="205" hidden="1" customWidth="1"/>
    <col min="3" max="4" width="10.140625" style="205" customWidth="1"/>
    <col min="5" max="5" width="41.140625" style="1" customWidth="1"/>
    <col min="6" max="6" width="19.140625" style="1" customWidth="1"/>
    <col min="7" max="7" width="19.85546875" style="1" customWidth="1"/>
    <col min="8" max="8" width="20.28515625" style="1" customWidth="1"/>
    <col min="9" max="9" width="25.28515625" style="205" customWidth="1"/>
    <col min="10" max="10" width="1.7109375" style="205" customWidth="1"/>
    <col min="11" max="11" width="6.42578125" style="1" hidden="1" customWidth="1"/>
    <col min="12" max="12" width="5.7109375" style="16" hidden="1" customWidth="1"/>
    <col min="13" max="13" width="11.7109375" style="1" customWidth="1"/>
    <col min="14" max="14" width="9.140625" style="1" customWidth="1"/>
    <col min="15" max="15" width="19" style="1" customWidth="1"/>
    <col min="16" max="19" width="9.140625" style="1" customWidth="1"/>
    <col min="20" max="20" width="11.42578125" style="1"/>
    <col min="21" max="21" width="9.7109375" style="1" hidden="1" customWidth="1"/>
    <col min="22" max="24" width="9.140625" style="1" hidden="1" customWidth="1"/>
    <col min="25" max="25" width="15.42578125" style="1" hidden="1" customWidth="1"/>
    <col min="26" max="26" width="42.42578125" style="1" hidden="1" customWidth="1"/>
    <col min="27" max="27" width="9.140625" style="1" hidden="1" customWidth="1"/>
    <col min="28" max="263" width="9.140625" style="1" customWidth="1"/>
    <col min="264" max="1024" width="11.42578125" style="1"/>
  </cols>
  <sheetData>
    <row r="1" spans="2:26" ht="33.75" customHeight="1" x14ac:dyDescent="0.4">
      <c r="B1" s="1826" t="str">
        <f>IF(N1=2,"Données à reporter dans la prochaine année","Data to be reported in the Next Year")</f>
        <v>Data to be reported in the Next Year</v>
      </c>
      <c r="C1" s="1826"/>
      <c r="D1" s="1826"/>
      <c r="E1" s="1826"/>
      <c r="F1" s="1826"/>
      <c r="G1" s="1826"/>
      <c r="H1" s="1826"/>
      <c r="I1" s="1826"/>
      <c r="J1" s="1344"/>
      <c r="N1" s="1345">
        <v>1</v>
      </c>
      <c r="P1" s="147">
        <v>1</v>
      </c>
    </row>
    <row r="2" spans="2:26" ht="33.75" customHeight="1" x14ac:dyDescent="0.2">
      <c r="B2" s="1346"/>
      <c r="C2" s="1453">
        <f>'Data Set up'!B2</f>
        <v>0</v>
      </c>
      <c r="D2" s="1453"/>
      <c r="E2" s="1453"/>
      <c r="F2" s="1453"/>
      <c r="G2" s="1453"/>
      <c r="H2" s="1453"/>
      <c r="I2" s="1453"/>
      <c r="J2" s="1344"/>
    </row>
    <row r="3" spans="2:26" s="16" customFormat="1" ht="81" customHeight="1" x14ac:dyDescent="0.2">
      <c r="B3" s="1827" t="str">
        <f>IF(N1=2,L5,L7)</f>
        <v>This is the information for next year's ACC9. Please print out this information and fill it in on next year's ACC9 worksheet 'Data Set up'.</v>
      </c>
      <c r="C3" s="1827"/>
      <c r="D3" s="1827"/>
      <c r="E3" s="1827"/>
      <c r="F3" s="1827"/>
      <c r="G3" s="1827"/>
      <c r="H3" s="1347"/>
      <c r="I3" s="1347"/>
      <c r="J3" s="1348"/>
      <c r="K3" s="1349"/>
      <c r="M3" s="1350"/>
      <c r="O3" s="1345"/>
      <c r="P3" s="1350"/>
      <c r="T3" s="145"/>
      <c r="V3" s="1351">
        <f>N1</f>
        <v>1</v>
      </c>
      <c r="W3" s="1352">
        <f>O3</f>
        <v>0</v>
      </c>
    </row>
    <row r="4" spans="2:26" s="16" customFormat="1" ht="39.75" customHeight="1" x14ac:dyDescent="0.2">
      <c r="B4" s="1828" t="str">
        <f>IF($N$1=2,IF(K34="True","Votre rapport balance et est prêt pour l’impression","Votre rapport ne balance pas"),IF(K34="True","Your report is balanced and ready to be printed","Your report is not balanced"))</f>
        <v>Your report is balanced and ready to be printed</v>
      </c>
      <c r="C4" s="1828"/>
      <c r="D4" s="1828"/>
      <c r="E4" s="1828"/>
      <c r="F4" s="1828"/>
      <c r="G4" s="1828"/>
      <c r="I4" s="17"/>
      <c r="J4" s="17"/>
      <c r="K4" s="1349"/>
      <c r="M4" s="1350"/>
      <c r="N4" s="1353"/>
      <c r="O4" s="1345"/>
      <c r="P4" s="1350"/>
      <c r="T4" s="145"/>
      <c r="V4" s="1351"/>
      <c r="W4" s="1352"/>
    </row>
    <row r="5" spans="2:26" ht="18" customHeight="1" x14ac:dyDescent="0.2">
      <c r="C5" s="1489" t="str">
        <f>CONCATENATE('Data Set up'!H19&amp;'Data Set up'!I19)</f>
        <v>1020 - Main Bank Account</v>
      </c>
      <c r="D5" s="1489"/>
      <c r="E5" s="1489"/>
      <c r="F5" s="1489"/>
      <c r="G5" s="1354">
        <f>'Acct Detailed Reconcil'!N23</f>
        <v>0</v>
      </c>
      <c r="K5" s="29"/>
      <c r="L5" s="145" t="s">
        <v>664</v>
      </c>
    </row>
    <row r="6" spans="2:26" ht="18" x14ac:dyDescent="0.2">
      <c r="C6" s="1489" t="str">
        <f>CONCATENATE('Data Set up'!H20&amp;'Data Set up'!I20)</f>
        <v>1030 - Canteen</v>
      </c>
      <c r="D6" s="1489"/>
      <c r="E6" s="1489"/>
      <c r="F6" s="1489"/>
      <c r="G6" s="1354">
        <f>'Acct Detailed Reconcil'!N68</f>
        <v>0</v>
      </c>
      <c r="K6" s="29"/>
    </row>
    <row r="7" spans="2:26" ht="18" customHeight="1" x14ac:dyDescent="0.2">
      <c r="C7" s="1489" t="str">
        <f>CONCATENATE('Data Set up'!H21&amp;'Data Set up'!I21)</f>
        <v>1040 - Petty Cash</v>
      </c>
      <c r="D7" s="1489"/>
      <c r="E7" s="1489"/>
      <c r="F7" s="1489"/>
      <c r="G7" s="1354">
        <f>'Acct Detailed Reconcil'!N82</f>
        <v>0</v>
      </c>
      <c r="K7" s="29"/>
      <c r="L7" s="145" t="s">
        <v>665</v>
      </c>
      <c r="Y7" s="1" t="s">
        <v>666</v>
      </c>
      <c r="Z7" s="155" t="s">
        <v>667</v>
      </c>
    </row>
    <row r="8" spans="2:26" ht="18" customHeight="1" x14ac:dyDescent="0.2">
      <c r="C8" s="1489" t="str">
        <f>CONCATENATE('Data Set up'!H22&amp;'Data Set up'!I22)</f>
        <v>1050 - Available (Rename)</v>
      </c>
      <c r="D8" s="1489"/>
      <c r="E8" s="1489"/>
      <c r="F8" s="1489"/>
      <c r="G8" s="1354">
        <f>'Acct Detailed Reconcil'!N96</f>
        <v>0</v>
      </c>
      <c r="Y8" s="1" t="s">
        <v>668</v>
      </c>
      <c r="Z8" s="145" t="s">
        <v>669</v>
      </c>
    </row>
    <row r="9" spans="2:26" ht="18" x14ac:dyDescent="0.2">
      <c r="C9" s="1489" t="str">
        <f>CONCATENATE('Data Set up'!H23&amp;'Data Set up'!I23)</f>
        <v>1060 - Available (Rename)</v>
      </c>
      <c r="D9" s="1489"/>
      <c r="E9" s="1489"/>
      <c r="F9" s="1489"/>
      <c r="G9" s="1354">
        <f>'Acct Detailed Reconcil'!N110</f>
        <v>0</v>
      </c>
      <c r="Y9" s="1" t="s">
        <v>670</v>
      </c>
      <c r="Z9" s="80" t="s">
        <v>671</v>
      </c>
    </row>
    <row r="10" spans="2:26" ht="18" x14ac:dyDescent="0.2">
      <c r="C10" s="1489" t="str">
        <f>CONCATENATE('Data Set up'!H24&amp;'Data Set up'!I24)</f>
        <v>1070 - Available (Rename)</v>
      </c>
      <c r="D10" s="1489"/>
      <c r="E10" s="1489"/>
      <c r="F10" s="1489"/>
      <c r="G10" s="1354">
        <f>'Acct Detailed Reconcil'!N124</f>
        <v>0</v>
      </c>
      <c r="T10" s="80"/>
      <c r="Y10" s="1" t="s">
        <v>672</v>
      </c>
      <c r="Z10" s="1" t="s">
        <v>673</v>
      </c>
    </row>
    <row r="11" spans="2:26" ht="18" customHeight="1" x14ac:dyDescent="0.2">
      <c r="C11" s="1489" t="str">
        <f>CONCATENATE('Data Set up'!H25&amp;'Data Set up'!I25)</f>
        <v>1210 - Investments GICs</v>
      </c>
      <c r="D11" s="1489"/>
      <c r="E11" s="1489"/>
      <c r="F11" s="1489"/>
      <c r="G11" s="1354">
        <f>'Acct Detailed Reconcil'!N138</f>
        <v>0</v>
      </c>
      <c r="Y11" s="80" t="s">
        <v>674</v>
      </c>
      <c r="Z11" s="145" t="s">
        <v>675</v>
      </c>
    </row>
    <row r="12" spans="2:26" ht="18" customHeight="1" x14ac:dyDescent="0.2">
      <c r="C12" s="1489" t="str">
        <f>CONCATENATE('Data Set up'!H26&amp;'Data Set up'!I26)</f>
        <v>1220 - Investments (Mutual Funds and such)</v>
      </c>
      <c r="D12" s="1489"/>
      <c r="E12" s="1489"/>
      <c r="F12" s="1489"/>
      <c r="G12" s="1354">
        <f>'Acct Detailed Reconcil'!N183</f>
        <v>0</v>
      </c>
      <c r="Y12" s="80" t="s">
        <v>676</v>
      </c>
      <c r="Z12" s="145" t="s">
        <v>677</v>
      </c>
    </row>
    <row r="13" spans="2:26" ht="18" x14ac:dyDescent="0.2">
      <c r="C13" s="1489" t="str">
        <f>CONCATENATE('Data Set up'!H27&amp;'Data Set up'!I27)</f>
        <v>1230 - Available (Rename)</v>
      </c>
      <c r="D13" s="1489"/>
      <c r="E13" s="1489"/>
      <c r="F13" s="1489"/>
      <c r="G13" s="1354">
        <f>'Acct Detailed Reconcil'!N228</f>
        <v>0</v>
      </c>
      <c r="Y13" s="80" t="s">
        <v>678</v>
      </c>
      <c r="Z13" s="80" t="s">
        <v>679</v>
      </c>
    </row>
    <row r="14" spans="2:26" ht="18" x14ac:dyDescent="0.2">
      <c r="B14" s="1"/>
      <c r="C14" s="1489" t="str">
        <f>CONCATENATE('Data Set up'!H28&amp;'Data Set up'!I28)</f>
        <v>1240 - Available (Rename)</v>
      </c>
      <c r="D14" s="1489"/>
      <c r="E14" s="1489"/>
      <c r="F14" s="1489"/>
      <c r="G14" s="1354">
        <f>'Acct Detailed Reconcil'!N273</f>
        <v>0</v>
      </c>
      <c r="Y14" s="80" t="s">
        <v>680</v>
      </c>
      <c r="Z14" s="1" t="s">
        <v>681</v>
      </c>
    </row>
    <row r="15" spans="2:26" ht="18" x14ac:dyDescent="0.2">
      <c r="B15" s="1"/>
      <c r="C15" s="1489" t="str">
        <f>CONCATENATE('Data Set up'!H30&amp;'Data Set up'!I30)</f>
        <v>2010 - Bank Credit Card</v>
      </c>
      <c r="D15" s="1489"/>
      <c r="E15" s="1489"/>
      <c r="F15" s="1489"/>
      <c r="G15" s="1354">
        <f>'Acct Detailed Reconcil'!N318</f>
        <v>0</v>
      </c>
      <c r="Y15" s="80"/>
    </row>
    <row r="16" spans="2:26" ht="18" x14ac:dyDescent="0.2">
      <c r="B16" s="1"/>
      <c r="C16" s="1489" t="str">
        <f>CONCATENATE('Data Set up'!H31&amp;'Data Set up'!I31)</f>
        <v>2020 - Available (Rename)</v>
      </c>
      <c r="D16" s="1489"/>
      <c r="E16" s="1489"/>
      <c r="F16" s="1489"/>
      <c r="G16" s="1354">
        <f>'Acct Detailed Reconcil'!N363</f>
        <v>0</v>
      </c>
      <c r="Y16" s="80"/>
    </row>
    <row r="17" spans="2:25" ht="18" x14ac:dyDescent="0.2">
      <c r="B17" s="1"/>
      <c r="C17" s="1489" t="str">
        <f>CONCATENATE('Data Set up'!H32&amp;'Data Set up'!I32)</f>
        <v>2030 - Available (Rename)</v>
      </c>
      <c r="D17" s="1489"/>
      <c r="E17" s="1489"/>
      <c r="F17" s="1489"/>
      <c r="G17" s="1354">
        <f>'Acct Detailed Reconcil'!N408</f>
        <v>0</v>
      </c>
      <c r="Y17" s="80"/>
    </row>
    <row r="18" spans="2:25" ht="18" x14ac:dyDescent="0.2">
      <c r="B18" s="1"/>
      <c r="C18" s="1489" t="str">
        <f>CONCATENATE('Data Set up'!H33&amp;'Data Set up'!I33)</f>
        <v>2040 - Available (Rename)</v>
      </c>
      <c r="D18" s="1489"/>
      <c r="E18" s="1489"/>
      <c r="F18" s="1489"/>
      <c r="G18" s="1354">
        <f>'Acct Detailed Reconcil'!N453</f>
        <v>0</v>
      </c>
      <c r="Y18" s="80"/>
    </row>
    <row r="19" spans="2:25" ht="18" x14ac:dyDescent="0.2">
      <c r="B19" s="1"/>
      <c r="C19" s="1489" t="str">
        <f>CONCATENATE('Data Set up'!H34&amp;'Data Set up'!I34)</f>
        <v>2210 - Available (Rename)</v>
      </c>
      <c r="D19" s="1489"/>
      <c r="E19" s="1489"/>
      <c r="F19" s="1489"/>
      <c r="G19" s="1354">
        <f>'Acct Detailed Reconcil'!N498</f>
        <v>0</v>
      </c>
      <c r="Y19" s="80"/>
    </row>
    <row r="20" spans="2:25" ht="18" x14ac:dyDescent="0.2">
      <c r="B20" s="1"/>
      <c r="C20" s="1489" t="str">
        <f>CONCATENATE('Data Set up'!H35&amp;'Data Set up'!I35)</f>
        <v>2220 - Mortgage</v>
      </c>
      <c r="D20" s="1489"/>
      <c r="E20" s="1489"/>
      <c r="F20" s="1489"/>
      <c r="G20" s="1354">
        <f>'Acct Detailed Reconcil'!N543</f>
        <v>0</v>
      </c>
      <c r="Y20" s="80"/>
    </row>
    <row r="21" spans="2:25" ht="18" customHeight="1" x14ac:dyDescent="0.2">
      <c r="B21" s="1"/>
      <c r="C21" s="1489" t="str">
        <f>CONCATENATE('Data Set up'!H36&amp;'Data Set up'!I36)</f>
        <v>2230 - Available (Rename)</v>
      </c>
      <c r="D21" s="1489"/>
      <c r="E21" s="1489"/>
      <c r="F21" s="1489"/>
      <c r="G21" s="1354">
        <f>'Acct Detailed Reconcil'!N588</f>
        <v>0</v>
      </c>
    </row>
    <row r="22" spans="2:25" ht="18" x14ac:dyDescent="0.2">
      <c r="C22" s="1490" t="str">
        <f>CONCATENATE('Data Set up'!H37&amp;'Data Set up'!I37)</f>
        <v/>
      </c>
      <c r="D22" s="1490"/>
      <c r="E22" s="1490"/>
      <c r="F22" s="1490"/>
      <c r="G22" s="32"/>
      <c r="Y22" s="80" t="s">
        <v>682</v>
      </c>
    </row>
    <row r="23" spans="2:25" ht="18" customHeight="1" x14ac:dyDescent="0.2">
      <c r="B23" s="1"/>
      <c r="C23" s="1489" t="str">
        <f>CONCATENATE('Data Set up'!H18&amp;'Data Set up'!I18)</f>
        <v>1010 - Other Cash in hand</v>
      </c>
      <c r="D23" s="1489"/>
      <c r="E23" s="1489"/>
      <c r="F23" s="1489"/>
      <c r="G23" s="1354">
        <f>'Acct Detailed Reconcil'!N9</f>
        <v>0</v>
      </c>
      <c r="Y23" s="145" t="s">
        <v>683</v>
      </c>
    </row>
    <row r="24" spans="2:25" ht="18" x14ac:dyDescent="0.2">
      <c r="C24" s="1829"/>
      <c r="D24" s="1829"/>
      <c r="E24" s="1829"/>
      <c r="F24" s="1829"/>
      <c r="G24" s="32"/>
      <c r="Y24" s="80" t="s">
        <v>684</v>
      </c>
    </row>
    <row r="25" spans="2:25" ht="18" x14ac:dyDescent="0.2">
      <c r="B25" s="1489" t="str">
        <f>IF(N1=2,"Rapport financier de la prochaine année :","Next Reporting Year:")</f>
        <v>Next Reporting Year:</v>
      </c>
      <c r="C25" s="1489"/>
      <c r="D25" s="1489"/>
      <c r="E25" s="1489"/>
      <c r="F25" s="1489"/>
      <c r="G25" s="1355" t="str">
        <f>IF('Data Set up'!G39="","",'Data Set up'!G39&amp;" "&amp;"/"&amp;" "&amp;'Data Set up'!G39+1)</f>
        <v>2024 / 2025</v>
      </c>
      <c r="Y25" s="80" t="s">
        <v>685</v>
      </c>
    </row>
    <row r="26" spans="2:25" ht="23.25" customHeight="1" x14ac:dyDescent="0.2">
      <c r="B26" s="1356"/>
      <c r="C26" s="1356"/>
      <c r="D26" s="1356"/>
      <c r="E26" s="107"/>
      <c r="F26" s="107"/>
      <c r="G26" s="654"/>
      <c r="Y26" s="80" t="s">
        <v>686</v>
      </c>
    </row>
    <row r="27" spans="2:25" ht="38.25" customHeight="1" x14ac:dyDescent="0.2">
      <c r="B27" s="1833" t="str">
        <f>IF(N1=2,"Renseignements de l`ACC9 de fin d'exercice  (de la Page 6 - Bilan)","End of Year's ACC9 Information
(from Page 6 - Balance Sheet)")</f>
        <v>End of Year's ACC9 Information
(from Page 6 - Balance Sheet)</v>
      </c>
      <c r="C27" s="1833"/>
      <c r="D27" s="1833"/>
      <c r="E27" s="1833"/>
      <c r="F27" s="1833"/>
      <c r="G27" s="1833"/>
      <c r="P27" s="1357"/>
      <c r="Y27" s="80" t="s">
        <v>687</v>
      </c>
    </row>
    <row r="28" spans="2:25" ht="18" x14ac:dyDescent="0.2">
      <c r="B28" s="1834"/>
      <c r="C28" s="1834"/>
      <c r="D28" s="1834"/>
      <c r="E28" s="1834"/>
      <c r="F28" s="1834"/>
      <c r="G28" s="1834"/>
      <c r="Y28" s="80" t="s">
        <v>688</v>
      </c>
    </row>
    <row r="29" spans="2:25" ht="18" x14ac:dyDescent="0.2">
      <c r="B29" s="1835" t="str">
        <f>IF(N1=2,"Total de l'actif (ligne 1900)","Total Assets (from line 1900):")</f>
        <v>Total Assets (from line 1900):</v>
      </c>
      <c r="C29" s="1835"/>
      <c r="D29" s="1835"/>
      <c r="E29" s="1835"/>
      <c r="F29" s="1835"/>
      <c r="G29" s="1354">
        <f>'ACC9 (Page 6) Balance Sheet'!N40</f>
        <v>0</v>
      </c>
      <c r="Y29" s="80" t="s">
        <v>689</v>
      </c>
    </row>
    <row r="30" spans="2:25" ht="18" x14ac:dyDescent="0.2">
      <c r="C30" s="1358"/>
      <c r="D30" s="1358"/>
      <c r="E30" s="1359"/>
      <c r="F30" s="1359"/>
      <c r="G30" s="1360"/>
    </row>
    <row r="31" spans="2:25" s="16" customFormat="1" ht="18" customHeight="1" x14ac:dyDescent="0.2">
      <c r="B31" s="1830" t="str">
        <f>IF(N1=2,"Bénéfices non répartis (ligne 3100)","Retained Earnings (line 3100):")</f>
        <v>Retained Earnings (line 3100):</v>
      </c>
      <c r="C31" s="1830"/>
      <c r="D31" s="1830"/>
      <c r="E31" s="1830"/>
      <c r="F31" s="1830"/>
      <c r="G31" s="1361">
        <f>'ACC9 (Page 6) Balance Sheet'!M59</f>
        <v>0</v>
      </c>
      <c r="I31" s="17"/>
      <c r="J31" s="17"/>
    </row>
    <row r="32" spans="2:25" ht="18" x14ac:dyDescent="0.2">
      <c r="C32" s="1358"/>
      <c r="D32" s="1358"/>
      <c r="E32" s="1359"/>
      <c r="F32" s="1359"/>
      <c r="G32" s="1360"/>
    </row>
    <row r="33" spans="2:15" s="16" customFormat="1" ht="17.25" customHeight="1" x14ac:dyDescent="0.2">
      <c r="B33" s="1830" t="str">
        <f>IF(N1=2,"Excès/Déficit des recettes sur les déboursés (ligne 3110):","Surplus/Deficit Revenue over Expenditures (line 3110):")</f>
        <v>Surplus/Deficit Revenue over Expenditures (line 3110):</v>
      </c>
      <c r="C33" s="1830"/>
      <c r="D33" s="1830"/>
      <c r="E33" s="1830"/>
      <c r="F33" s="1830"/>
      <c r="G33" s="1354">
        <f>'ACC9 (Page 6) Balance Sheet'!M60</f>
        <v>0</v>
      </c>
      <c r="I33" s="1362"/>
      <c r="J33" s="1362"/>
      <c r="K33" s="1363">
        <f>'ACC9 (Page 6) Balance Sheet'!Q54</f>
        <v>0</v>
      </c>
      <c r="L33" s="92"/>
    </row>
    <row r="34" spans="2:15" ht="18" x14ac:dyDescent="0.2">
      <c r="C34" s="1358"/>
      <c r="D34" s="1358"/>
      <c r="E34" s="1359"/>
      <c r="F34" s="1359"/>
      <c r="G34" s="1360"/>
      <c r="I34" s="1362"/>
      <c r="J34" s="1362"/>
      <c r="K34" s="1" t="str">
        <f>IF(AND(ABS(K33)&lt;=8,ABS(K33)&gt;=-8),"True","False")</f>
        <v>True</v>
      </c>
      <c r="L34" s="92"/>
    </row>
    <row r="35" spans="2:15" ht="18" customHeight="1" x14ac:dyDescent="0.2">
      <c r="B35" s="1830" t="str">
        <f>IF(N1=2,"Total du passif (ligne 2400)","Total Liability (line 2400):")</f>
        <v>Total Liability (line 2400):</v>
      </c>
      <c r="C35" s="1830"/>
      <c r="D35" s="1830"/>
      <c r="E35" s="1830"/>
      <c r="F35" s="1830"/>
      <c r="G35" s="1354">
        <f>'ACC9 (Page 6) Balance Sheet'!N55</f>
        <v>0</v>
      </c>
      <c r="I35" s="1362"/>
      <c r="J35" s="1362"/>
      <c r="K35" s="29"/>
      <c r="L35" s="92"/>
    </row>
    <row r="36" spans="2:15" ht="18" x14ac:dyDescent="0.2">
      <c r="B36" s="1831" t="str">
        <f>IF(N1=2,"Ajustement pour arrondissement,
si utilisé l'année précédente (ne doit pas excéder 1$)","Integer rounding adjustment,
if used last year (Not exceed $1):")</f>
        <v>Integer rounding adjustment,
if used last year (Not exceed $1):</v>
      </c>
      <c r="C36" s="1831"/>
      <c r="D36" s="1831"/>
      <c r="E36" s="1831"/>
      <c r="F36" s="1831"/>
      <c r="G36" s="32"/>
      <c r="I36" s="1362"/>
      <c r="J36" s="1362"/>
      <c r="K36" s="29"/>
      <c r="M36" s="16"/>
      <c r="N36" s="16"/>
      <c r="O36" s="16"/>
    </row>
    <row r="37" spans="2:15" ht="18" customHeight="1" x14ac:dyDescent="0.2">
      <c r="B37" s="1831"/>
      <c r="C37" s="1831"/>
      <c r="D37" s="1831"/>
      <c r="E37" s="1831"/>
      <c r="F37" s="1831"/>
      <c r="G37" s="1451">
        <f>'ACC9 (Page 6) Balance Sheet'!M61</f>
        <v>0</v>
      </c>
      <c r="M37" s="16"/>
      <c r="N37" s="16"/>
      <c r="O37" s="16"/>
    </row>
    <row r="38" spans="2:15" ht="17.25" customHeight="1" x14ac:dyDescent="0.2">
      <c r="B38" s="1831"/>
      <c r="C38" s="1831"/>
      <c r="D38" s="1831"/>
      <c r="E38" s="1831"/>
      <c r="F38" s="1831"/>
      <c r="G38" s="1364"/>
      <c r="M38" s="16"/>
      <c r="N38" s="16"/>
      <c r="O38" s="16"/>
    </row>
    <row r="39" spans="2:15" ht="20.25" customHeight="1" x14ac:dyDescent="0.2">
      <c r="B39" s="1356"/>
      <c r="C39" s="1832"/>
      <c r="D39" s="1832"/>
      <c r="E39" s="1832"/>
      <c r="F39" s="1832"/>
      <c r="G39" s="1832"/>
      <c r="H39" s="1366"/>
      <c r="I39" s="1365"/>
      <c r="J39" s="1365"/>
      <c r="M39" s="16"/>
      <c r="N39" s="16"/>
      <c r="O39" s="16"/>
    </row>
    <row r="40" spans="2:15" ht="72.75" customHeight="1" x14ac:dyDescent="0.2">
      <c r="C40" s="144"/>
      <c r="D40" s="144"/>
      <c r="E40" s="128"/>
      <c r="F40" s="1367"/>
      <c r="G40" s="86"/>
      <c r="H40" s="86"/>
      <c r="N40" s="1368"/>
      <c r="O40" s="1368"/>
    </row>
    <row r="41" spans="2:15" x14ac:dyDescent="0.2">
      <c r="F41" s="1369"/>
    </row>
    <row r="42" spans="2:15" x14ac:dyDescent="0.2">
      <c r="F42" s="1369"/>
    </row>
    <row r="43" spans="2:15" x14ac:dyDescent="0.2">
      <c r="F43" s="1369"/>
    </row>
    <row r="44" spans="2:15" x14ac:dyDescent="0.2">
      <c r="F44" s="1369"/>
    </row>
    <row r="45" spans="2:15" x14ac:dyDescent="0.2">
      <c r="F45" s="1369"/>
    </row>
    <row r="46" spans="2:15" x14ac:dyDescent="0.2">
      <c r="F46" s="1369"/>
    </row>
    <row r="47" spans="2:15" x14ac:dyDescent="0.2">
      <c r="F47" s="1369"/>
    </row>
    <row r="48" spans="2:15" x14ac:dyDescent="0.2">
      <c r="F48" s="1369"/>
    </row>
    <row r="49" spans="6:6" x14ac:dyDescent="0.2">
      <c r="F49" s="1369"/>
    </row>
    <row r="50" spans="6:6" x14ac:dyDescent="0.2">
      <c r="F50" s="1369"/>
    </row>
    <row r="51" spans="6:6" x14ac:dyDescent="0.2">
      <c r="F51" s="1369"/>
    </row>
    <row r="52" spans="6:6" x14ac:dyDescent="0.2">
      <c r="F52" s="1369"/>
    </row>
    <row r="53" spans="6:6" x14ac:dyDescent="0.2">
      <c r="F53" s="1369"/>
    </row>
    <row r="54" spans="6:6" x14ac:dyDescent="0.2">
      <c r="F54" s="1369"/>
    </row>
    <row r="55" spans="6:6" x14ac:dyDescent="0.2">
      <c r="F55" s="1369"/>
    </row>
    <row r="56" spans="6:6" x14ac:dyDescent="0.2">
      <c r="F56" s="1369"/>
    </row>
    <row r="57" spans="6:6" x14ac:dyDescent="0.2">
      <c r="F57" s="1369"/>
    </row>
    <row r="58" spans="6:6" x14ac:dyDescent="0.2">
      <c r="F58" s="1369"/>
    </row>
    <row r="59" spans="6:6" x14ac:dyDescent="0.2">
      <c r="F59" s="1369"/>
    </row>
    <row r="60" spans="6:6" x14ac:dyDescent="0.2">
      <c r="F60" s="1369"/>
    </row>
    <row r="61" spans="6:6" x14ac:dyDescent="0.2">
      <c r="F61" s="1369"/>
    </row>
    <row r="62" spans="6:6" x14ac:dyDescent="0.2">
      <c r="F62" s="1369"/>
    </row>
    <row r="63" spans="6:6" x14ac:dyDescent="0.2">
      <c r="F63" s="1369"/>
    </row>
    <row r="64" spans="6:6" x14ac:dyDescent="0.2">
      <c r="F64" s="1369"/>
    </row>
    <row r="65" spans="6:6" x14ac:dyDescent="0.2">
      <c r="F65" s="1369"/>
    </row>
    <row r="66" spans="6:6" x14ac:dyDescent="0.2">
      <c r="F66" s="1369"/>
    </row>
    <row r="67" spans="6:6" x14ac:dyDescent="0.2">
      <c r="F67" s="1369"/>
    </row>
    <row r="68" spans="6:6" x14ac:dyDescent="0.2">
      <c r="F68" s="1369"/>
    </row>
    <row r="69" spans="6:6" x14ac:dyDescent="0.2">
      <c r="F69" s="1369"/>
    </row>
    <row r="70" spans="6:6" x14ac:dyDescent="0.2">
      <c r="F70" s="1369"/>
    </row>
    <row r="71" spans="6:6" x14ac:dyDescent="0.2">
      <c r="F71" s="1369"/>
    </row>
    <row r="72" spans="6:6" x14ac:dyDescent="0.2">
      <c r="F72" s="1369"/>
    </row>
    <row r="73" spans="6:6" x14ac:dyDescent="0.2">
      <c r="F73" s="1369"/>
    </row>
    <row r="74" spans="6:6" x14ac:dyDescent="0.2">
      <c r="F74" s="1369"/>
    </row>
    <row r="75" spans="6:6" x14ac:dyDescent="0.2">
      <c r="F75" s="1369"/>
    </row>
    <row r="76" spans="6:6" x14ac:dyDescent="0.2">
      <c r="F76" s="1369"/>
    </row>
    <row r="77" spans="6:6" x14ac:dyDescent="0.2">
      <c r="F77" s="1369"/>
    </row>
    <row r="78" spans="6:6" x14ac:dyDescent="0.2">
      <c r="F78" s="1369"/>
    </row>
    <row r="79" spans="6:6" x14ac:dyDescent="0.2">
      <c r="F79" s="1369"/>
    </row>
    <row r="80" spans="6:6" x14ac:dyDescent="0.2">
      <c r="F80" s="1369"/>
    </row>
    <row r="81" spans="6:6" x14ac:dyDescent="0.2">
      <c r="F81" s="1369"/>
    </row>
    <row r="82" spans="6:6" x14ac:dyDescent="0.2">
      <c r="F82" s="1369"/>
    </row>
    <row r="83" spans="6:6" x14ac:dyDescent="0.2">
      <c r="F83" s="1369"/>
    </row>
    <row r="84" spans="6:6" x14ac:dyDescent="0.2">
      <c r="F84" s="1369"/>
    </row>
    <row r="85" spans="6:6" x14ac:dyDescent="0.2">
      <c r="F85" s="1369"/>
    </row>
    <row r="86" spans="6:6" x14ac:dyDescent="0.2">
      <c r="F86" s="1369"/>
    </row>
    <row r="87" spans="6:6" x14ac:dyDescent="0.2">
      <c r="F87" s="1369"/>
    </row>
    <row r="88" spans="6:6" x14ac:dyDescent="0.2">
      <c r="F88" s="1369"/>
    </row>
    <row r="89" spans="6:6" x14ac:dyDescent="0.2">
      <c r="F89" s="1369"/>
    </row>
    <row r="90" spans="6:6" x14ac:dyDescent="0.2">
      <c r="F90" s="1369"/>
    </row>
    <row r="91" spans="6:6" x14ac:dyDescent="0.2">
      <c r="F91" s="1369"/>
    </row>
    <row r="92" spans="6:6" x14ac:dyDescent="0.2">
      <c r="F92" s="1369"/>
    </row>
    <row r="93" spans="6:6" x14ac:dyDescent="0.2">
      <c r="F93" s="1369"/>
    </row>
    <row r="94" spans="6:6" x14ac:dyDescent="0.2">
      <c r="F94" s="1369"/>
    </row>
    <row r="95" spans="6:6" x14ac:dyDescent="0.2">
      <c r="F95" s="1369"/>
    </row>
    <row r="96" spans="6:6" x14ac:dyDescent="0.2">
      <c r="F96" s="1369"/>
    </row>
    <row r="97" spans="6:6" x14ac:dyDescent="0.2">
      <c r="F97" s="1369"/>
    </row>
    <row r="98" spans="6:6" x14ac:dyDescent="0.2">
      <c r="F98" s="1369"/>
    </row>
    <row r="99" spans="6:6" x14ac:dyDescent="0.2">
      <c r="F99" s="1369"/>
    </row>
    <row r="100" spans="6:6" x14ac:dyDescent="0.2">
      <c r="F100" s="1369"/>
    </row>
    <row r="101" spans="6:6" x14ac:dyDescent="0.2">
      <c r="F101" s="1369"/>
    </row>
    <row r="102" spans="6:6" x14ac:dyDescent="0.2">
      <c r="F102" s="1369"/>
    </row>
    <row r="103" spans="6:6" x14ac:dyDescent="0.2">
      <c r="F103" s="1369"/>
    </row>
    <row r="104" spans="6:6" x14ac:dyDescent="0.2">
      <c r="F104" s="1369"/>
    </row>
    <row r="105" spans="6:6" x14ac:dyDescent="0.2">
      <c r="F105" s="1369"/>
    </row>
    <row r="106" spans="6:6" x14ac:dyDescent="0.2">
      <c r="F106" s="1369"/>
    </row>
    <row r="107" spans="6:6" x14ac:dyDescent="0.2">
      <c r="F107" s="1369"/>
    </row>
    <row r="108" spans="6:6" x14ac:dyDescent="0.2">
      <c r="F108" s="1369"/>
    </row>
    <row r="109" spans="6:6" x14ac:dyDescent="0.2">
      <c r="F109" s="1369"/>
    </row>
    <row r="110" spans="6:6" x14ac:dyDescent="0.2">
      <c r="F110" s="1369"/>
    </row>
    <row r="111" spans="6:6" x14ac:dyDescent="0.2">
      <c r="F111" s="1369"/>
    </row>
    <row r="112" spans="6:6" x14ac:dyDescent="0.2">
      <c r="F112" s="1369"/>
    </row>
    <row r="113" spans="6:6" x14ac:dyDescent="0.2">
      <c r="F113" s="1369"/>
    </row>
    <row r="114" spans="6:6" x14ac:dyDescent="0.2">
      <c r="F114" s="1369"/>
    </row>
    <row r="115" spans="6:6" x14ac:dyDescent="0.2">
      <c r="F115" s="1369"/>
    </row>
    <row r="116" spans="6:6" x14ac:dyDescent="0.2">
      <c r="F116" s="1369"/>
    </row>
    <row r="117" spans="6:6" x14ac:dyDescent="0.2">
      <c r="F117" s="1369"/>
    </row>
    <row r="118" spans="6:6" x14ac:dyDescent="0.2">
      <c r="F118" s="1369"/>
    </row>
    <row r="119" spans="6:6" x14ac:dyDescent="0.2">
      <c r="F119" s="1369"/>
    </row>
    <row r="120" spans="6:6" x14ac:dyDescent="0.2">
      <c r="F120" s="1369"/>
    </row>
    <row r="121" spans="6:6" x14ac:dyDescent="0.2">
      <c r="F121" s="1369"/>
    </row>
    <row r="122" spans="6:6" x14ac:dyDescent="0.2">
      <c r="F122" s="1369"/>
    </row>
    <row r="123" spans="6:6" x14ac:dyDescent="0.2">
      <c r="F123" s="1369"/>
    </row>
    <row r="124" spans="6:6" x14ac:dyDescent="0.2">
      <c r="F124" s="1369"/>
    </row>
    <row r="125" spans="6:6" x14ac:dyDescent="0.2">
      <c r="F125" s="1369"/>
    </row>
    <row r="126" spans="6:6" x14ac:dyDescent="0.2">
      <c r="F126" s="1369"/>
    </row>
    <row r="127" spans="6:6" x14ac:dyDescent="0.2">
      <c r="F127" s="1369"/>
    </row>
    <row r="128" spans="6:6" x14ac:dyDescent="0.2">
      <c r="F128" s="1369"/>
    </row>
    <row r="129" spans="6:6" x14ac:dyDescent="0.2">
      <c r="F129" s="1369"/>
    </row>
    <row r="130" spans="6:6" x14ac:dyDescent="0.2">
      <c r="F130" s="1369"/>
    </row>
    <row r="131" spans="6:6" x14ac:dyDescent="0.2">
      <c r="F131" s="1369"/>
    </row>
    <row r="132" spans="6:6" x14ac:dyDescent="0.2">
      <c r="F132" s="1369"/>
    </row>
    <row r="133" spans="6:6" x14ac:dyDescent="0.2">
      <c r="F133" s="1369"/>
    </row>
    <row r="134" spans="6:6" x14ac:dyDescent="0.2">
      <c r="F134" s="1369"/>
    </row>
    <row r="135" spans="6:6" x14ac:dyDescent="0.2">
      <c r="F135" s="1369"/>
    </row>
    <row r="136" spans="6:6" x14ac:dyDescent="0.2">
      <c r="F136" s="1369"/>
    </row>
    <row r="137" spans="6:6" x14ac:dyDescent="0.2">
      <c r="F137" s="1369"/>
    </row>
    <row r="138" spans="6:6" x14ac:dyDescent="0.2">
      <c r="F138" s="1369"/>
    </row>
    <row r="139" spans="6:6" x14ac:dyDescent="0.2">
      <c r="F139" s="1369"/>
    </row>
    <row r="140" spans="6:6" x14ac:dyDescent="0.2">
      <c r="F140" s="1369"/>
    </row>
    <row r="141" spans="6:6" x14ac:dyDescent="0.2">
      <c r="F141" s="1369"/>
    </row>
    <row r="142" spans="6:6" x14ac:dyDescent="0.2">
      <c r="F142" s="1369"/>
    </row>
    <row r="143" spans="6:6" x14ac:dyDescent="0.2">
      <c r="F143" s="1369"/>
    </row>
  </sheetData>
  <sheetProtection algorithmName="SHA-512" hashValue="P9JcbtofSEC2XGjv1+M0J69BZq/m/8rpkeszFyohB+JRsRwoVAduym4wcJqtLL6cfpoM3ccHKbm8g4GBniuSDw==" saltValue="MFo5t8PjSs0fvq16dRv6gA==" spinCount="100000" sheet="1" objects="1" scenarios="1" selectLockedCells="1" selectUnlockedCells="1"/>
  <mergeCells count="33">
    <mergeCell ref="B35:F35"/>
    <mergeCell ref="B36:F38"/>
    <mergeCell ref="C39:G39"/>
    <mergeCell ref="B27:G27"/>
    <mergeCell ref="B28:G28"/>
    <mergeCell ref="B29:F29"/>
    <mergeCell ref="B31:F31"/>
    <mergeCell ref="B33:F33"/>
    <mergeCell ref="C21:F21"/>
    <mergeCell ref="C22:F22"/>
    <mergeCell ref="C23:F23"/>
    <mergeCell ref="C24:F24"/>
    <mergeCell ref="B25:F25"/>
    <mergeCell ref="C16:F16"/>
    <mergeCell ref="C17:F17"/>
    <mergeCell ref="C18:F18"/>
    <mergeCell ref="C19:F19"/>
    <mergeCell ref="C20:F20"/>
    <mergeCell ref="C11:F11"/>
    <mergeCell ref="C12:F12"/>
    <mergeCell ref="C13:F13"/>
    <mergeCell ref="C14:F14"/>
    <mergeCell ref="C15:F15"/>
    <mergeCell ref="C6:F6"/>
    <mergeCell ref="C7:F7"/>
    <mergeCell ref="C8:F8"/>
    <mergeCell ref="C9:F9"/>
    <mergeCell ref="C10:F10"/>
    <mergeCell ref="B1:I1"/>
    <mergeCell ref="C2:I2"/>
    <mergeCell ref="B3:G3"/>
    <mergeCell ref="B4:G4"/>
    <mergeCell ref="C5:F5"/>
  </mergeCells>
  <conditionalFormatting sqref="B4">
    <cfRule type="expression" dxfId="11" priority="2">
      <formula>K34="True"</formula>
    </cfRule>
  </conditionalFormatting>
  <dataValidations count="5">
    <dataValidation allowBlank="1" showErrorMessage="1" sqref="G25">
      <formula1>0</formula1>
      <formula2>0</formula2>
    </dataValidation>
    <dataValidation allowBlank="1" showErrorMessage="1" promptTitle="3110" prompt="Enter the amount from line 3110 of last year's ACC-9 (page 4)" sqref="G33">
      <formula1>0</formula1>
      <formula2>0</formula2>
    </dataValidation>
    <dataValidation allowBlank="1" showErrorMessage="1" promptTitle="3100" prompt="Enter line 3100 from last year's ACC-9 (from page 4)" sqref="G31">
      <formula1>0</formula1>
      <formula2>0</formula2>
    </dataValidation>
    <dataValidation allowBlank="1" showErrorMessage="1" promptTitle="1700" prompt="Enter the amount from last year's ACC-9 line 1700 (page 4 of the ACC-9)" sqref="G29">
      <formula1>0</formula1>
      <formula2>0</formula2>
    </dataValidation>
    <dataValidation allowBlank="1" showErrorMessage="1" promptTitle="2400" prompt="Enter the amount from line 2400 from last year's ACC-9 (page 4)" sqref="G35">
      <formula1>0</formula1>
      <formula2>0</formula2>
    </dataValidation>
  </dataValidations>
  <printOptions horizontalCentered="1"/>
  <pageMargins left="0.62986111111111098" right="0.15763888888888899" top="0.35" bottom="0.31458333333333299" header="0.15763888888888899" footer="0.118055555555556"/>
  <pageSetup scale="67" orientation="portrait" horizontalDpi="300" verticalDpi="300"/>
  <headerFooter>
    <oddHeader>&amp;C&amp;"Arial,Bold"&amp;28</oddHeader>
    <oddFooter>&amp;L&amp;D&amp;R&amp;P/&amp;N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pageSetUpPr fitToPage="1"/>
  </sheetPr>
  <dimension ref="A1:AMJ283"/>
  <sheetViews>
    <sheetView showGridLines="0" showZeros="0" zoomScale="85" zoomScaleNormal="85" workbookViewId="0">
      <pane ySplit="6" topLeftCell="A7" activePane="bottomLeft" state="frozen"/>
      <selection pane="bottomLeft" activeCell="K136" sqref="K136"/>
    </sheetView>
  </sheetViews>
  <sheetFormatPr defaultColWidth="11.42578125" defaultRowHeight="12.75" x14ac:dyDescent="0.2"/>
  <cols>
    <col min="1" max="1" width="22.28515625" style="1" customWidth="1"/>
    <col min="2" max="2" width="6.5703125" style="703" customWidth="1"/>
    <col min="3" max="3" width="8.5703125" style="142" customWidth="1"/>
    <col min="4" max="4" width="8.85546875" style="142" customWidth="1"/>
    <col min="5" max="5" width="73.85546875" style="704" customWidth="1"/>
    <col min="6" max="6" width="41.7109375" style="705" customWidth="1"/>
    <col min="7" max="7" width="14.42578125" style="705" customWidth="1"/>
    <col min="8" max="8" width="14.42578125" style="1370" customWidth="1"/>
    <col min="9" max="9" width="14.42578125" style="703" customWidth="1"/>
    <col min="10" max="10" width="35.28515625" style="706" customWidth="1"/>
    <col min="11" max="11" width="14.42578125" style="703" customWidth="1"/>
    <col min="12" max="12" width="9.140625" style="1" customWidth="1"/>
    <col min="13" max="13" width="6" style="1" customWidth="1"/>
    <col min="14" max="14" width="6.5703125" style="1" customWidth="1"/>
    <col min="15" max="15" width="30.7109375" style="1" customWidth="1"/>
    <col min="16" max="16" width="2.7109375" style="1" customWidth="1"/>
    <col min="17" max="17" width="6" style="1" customWidth="1"/>
    <col min="18" max="18" width="6.5703125" style="1" customWidth="1"/>
    <col min="19" max="19" width="30.7109375" style="1" customWidth="1"/>
    <col min="20" max="20" width="2.7109375" style="1" customWidth="1"/>
    <col min="21" max="21" width="6" style="1" customWidth="1"/>
    <col min="22" max="22" width="6.5703125" style="1" customWidth="1"/>
    <col min="23" max="23" width="30.7109375" style="1" customWidth="1"/>
    <col min="24" max="260" width="9.140625" style="1" customWidth="1"/>
    <col min="261" max="1024" width="11.42578125" style="1"/>
  </cols>
  <sheetData>
    <row r="1" spans="2:16" ht="33.75" customHeight="1" x14ac:dyDescent="0.4">
      <c r="B1" s="1452" t="str">
        <f>IF(L1=2,"Estimé du prochain budget","Estimated Next Budget")</f>
        <v>Estimated Next Budget</v>
      </c>
      <c r="C1" s="1452"/>
      <c r="D1" s="1452"/>
      <c r="E1" s="1452"/>
      <c r="F1" s="1452"/>
      <c r="G1" s="1452"/>
      <c r="H1" s="1452"/>
      <c r="I1" s="1452"/>
      <c r="J1" s="1452"/>
      <c r="K1" s="1452"/>
      <c r="L1" s="152">
        <f>'Data Set up'!K10</f>
        <v>1</v>
      </c>
      <c r="M1" s="707">
        <f>IF(K58=K140,1,2)</f>
        <v>1</v>
      </c>
      <c r="N1" s="1594" t="str">
        <f>IF(L1=2,"Totaux","Total")</f>
        <v>Total</v>
      </c>
      <c r="O1" s="1594"/>
      <c r="P1" s="708"/>
    </row>
    <row r="2" spans="2:16" ht="33.75" customHeight="1" x14ac:dyDescent="0.2">
      <c r="B2" s="1569">
        <f>'Data Set up'!B2:I2</f>
        <v>0</v>
      </c>
      <c r="C2" s="1569"/>
      <c r="D2" s="1569"/>
      <c r="E2" s="1569"/>
      <c r="F2" s="1569"/>
      <c r="G2" s="1569"/>
      <c r="H2" s="1569"/>
      <c r="I2" s="1569"/>
      <c r="J2" s="1569"/>
      <c r="K2" s="1569"/>
      <c r="L2" s="152"/>
      <c r="M2" s="1595" t="str">
        <f>IF(L1=2,"Revenus","Revenues")</f>
        <v>Revenues</v>
      </c>
      <c r="N2" s="1595"/>
      <c r="O2" s="1371">
        <f>K58</f>
        <v>0</v>
      </c>
      <c r="P2" s="708"/>
    </row>
    <row r="3" spans="2:16" ht="28.5" customHeight="1" x14ac:dyDescent="0.2">
      <c r="B3" s="1571" t="str">
        <f>IF(L1=2,"pour l'exercice financier "&amp;'Data Set up'!G39&amp;" / "&amp;'Data Set up'!G39+1,"For Financial Year "&amp;'Data Set up'!G39&amp;" / "&amp;'Data Set up'!G39+1)</f>
        <v>For Financial Year 2024 / 2025</v>
      </c>
      <c r="C3" s="1571"/>
      <c r="D3" s="1571"/>
      <c r="E3" s="1571"/>
      <c r="F3" s="1571"/>
      <c r="G3" s="1571"/>
      <c r="H3" s="1571"/>
      <c r="I3" s="1571"/>
      <c r="J3" s="1571"/>
      <c r="K3" s="1571"/>
      <c r="M3" s="1595" t="str">
        <f>IF(L1=2,"Dépenses","Expenses")</f>
        <v>Expenses</v>
      </c>
      <c r="N3" s="1595"/>
      <c r="O3" s="1371">
        <f>K140</f>
        <v>0</v>
      </c>
      <c r="P3" s="708"/>
    </row>
    <row r="4" spans="2:16" s="80" customFormat="1" ht="6" customHeight="1" x14ac:dyDescent="0.2">
      <c r="E4" s="803"/>
      <c r="F4" s="154"/>
      <c r="G4" s="154"/>
      <c r="H4" s="471"/>
      <c r="J4" s="471"/>
      <c r="K4" s="1372"/>
      <c r="M4" s="1836" t="str">
        <f>IF(L1=2,IF(K58=K140,"BUDGET ÉQUILIBRÉ","BUDGET NON ÉQUILIBRÉ"),IF(K58=K140,"BALANCED BUDGET","UNBALANCED BUDGET"))</f>
        <v>BALANCED BUDGET</v>
      </c>
      <c r="N4" s="1836"/>
      <c r="O4" s="1836"/>
      <c r="P4" s="1836"/>
    </row>
    <row r="5" spans="2:16" s="80" customFormat="1" ht="38.25" customHeight="1" x14ac:dyDescent="0.2">
      <c r="B5" s="1837" t="s">
        <v>690</v>
      </c>
      <c r="C5" s="1838" t="s">
        <v>691</v>
      </c>
      <c r="D5" s="1373"/>
      <c r="E5" s="1373" t="s">
        <v>375</v>
      </c>
      <c r="F5" s="1373" t="str">
        <f>IF($L$1=2,"Détails (exemples)","Details (examples)")</f>
        <v>Details (examples)</v>
      </c>
      <c r="G5" s="1373"/>
      <c r="H5" s="1374" t="str">
        <f>IF($L$1=2,"Budget "&amp;'Data Set up'!F39&amp;" / "&amp;'Data Set up'!G39,"Budget "&amp;'Data Set up'!F39&amp;" / "&amp;'Data Set up'!G39)</f>
        <v>Budget 2023 / 2024</v>
      </c>
      <c r="I5" s="1373" t="str">
        <f>IF($L$1=2,"Réels "&amp;'Data Set up'!F39&amp;" / "&amp;'Data Set up'!G39,"Real "&amp;'Data Set up'!F39&amp;" / "&amp;'Data Set up'!G39)</f>
        <v>Real 2023 / 2024</v>
      </c>
      <c r="J5" s="1374" t="str">
        <f>IF($L$1=2,"Explications","Explainations")</f>
        <v>Explainations</v>
      </c>
      <c r="K5" s="1375" t="str">
        <f>IF($L$1=2,"Budget proposé "&amp;'Data Set up'!G39&amp;" / "&amp;'Data Set up'!G39+1,"Proposed Budget "&amp;'Data Set up'!G39&amp;" / "&amp;'Data Set up'!G39+1)</f>
        <v>Proposed Budget 2024 / 2025</v>
      </c>
      <c r="M5" s="1836"/>
      <c r="N5" s="1836"/>
      <c r="O5" s="1836"/>
      <c r="P5" s="1836"/>
    </row>
    <row r="6" spans="2:16" s="80" customFormat="1" ht="27.75" customHeight="1" x14ac:dyDescent="0.2">
      <c r="B6" s="1837"/>
      <c r="C6" s="1838"/>
      <c r="D6" s="501"/>
      <c r="E6" s="501"/>
      <c r="F6" s="501"/>
      <c r="G6" s="501"/>
      <c r="H6" s="1376"/>
      <c r="I6" s="501"/>
      <c r="J6" s="1376"/>
      <c r="K6" s="1377"/>
      <c r="M6" s="1839" t="str">
        <f>IF(L1=2,"Différentiel","Differential")</f>
        <v>Differential</v>
      </c>
      <c r="N6" s="1839"/>
      <c r="O6" s="1378">
        <f>O2-O3</f>
        <v>0</v>
      </c>
      <c r="P6" s="1379"/>
    </row>
    <row r="7" spans="2:16" s="80" customFormat="1" ht="20.25" customHeight="1" x14ac:dyDescent="0.2">
      <c r="B7" s="1601" t="str">
        <f>'Budget Tracker'!B9:J9</f>
        <v>Income Items</v>
      </c>
      <c r="C7" s="1601"/>
      <c r="D7" s="1601"/>
      <c r="E7" s="1601"/>
      <c r="F7" s="1601"/>
      <c r="G7" s="1601"/>
      <c r="H7" s="1601"/>
      <c r="I7" s="1601"/>
      <c r="J7" s="1601"/>
      <c r="K7" s="1601"/>
    </row>
    <row r="8" spans="2:16" s="80" customFormat="1" ht="40.5" customHeight="1" x14ac:dyDescent="0.2">
      <c r="B8" s="1602" t="str">
        <f>'Budget Tracker'!B10</f>
        <v>4000 - Donations, Grants &amp; Other</v>
      </c>
      <c r="C8" s="728">
        <f>'Budget Tracker'!C10</f>
        <v>4010</v>
      </c>
      <c r="D8" s="1840"/>
      <c r="E8" s="729" t="str">
        <f>'Budget Tracker'!E10</f>
        <v>From Official Sponsor(s)</v>
      </c>
      <c r="F8" s="771" t="str">
        <f>'Budget Tracker'!$F10</f>
        <v>From Squadron's Official Sponsor only</v>
      </c>
      <c r="G8" s="1841"/>
      <c r="H8" s="1380">
        <f>'Budget Tracker'!$H10</f>
        <v>0</v>
      </c>
      <c r="I8" s="1380">
        <f>'Budget Tracker'!$I10</f>
        <v>0</v>
      </c>
      <c r="J8" s="1381"/>
      <c r="K8" s="1382"/>
    </row>
    <row r="9" spans="2:16" s="80" customFormat="1" ht="40.5" customHeight="1" x14ac:dyDescent="0.2">
      <c r="B9" s="1602"/>
      <c r="C9" s="734">
        <f>'Budget Tracker'!C11</f>
        <v>4020</v>
      </c>
      <c r="D9" s="1840"/>
      <c r="E9" s="735" t="str">
        <f>'Budget Tracker'!E11</f>
        <v>From Non-Sponsor Veterans Organizations &amp; their Auxiliaries</v>
      </c>
      <c r="F9" s="736" t="str">
        <f>'Budget Tracker'!$F11</f>
        <v>Legion, RCAFA</v>
      </c>
      <c r="G9" s="1841"/>
      <c r="H9" s="1383">
        <f>'Budget Tracker'!$H11</f>
        <v>0</v>
      </c>
      <c r="I9" s="1383">
        <f>'Budget Tracker'!$I11</f>
        <v>0</v>
      </c>
      <c r="J9" s="1384"/>
      <c r="K9" s="1385"/>
    </row>
    <row r="10" spans="2:16" s="80" customFormat="1" ht="40.5" customHeight="1" x14ac:dyDescent="0.2">
      <c r="B10" s="1602"/>
      <c r="C10" s="1605">
        <f>'Budget Tracker'!C12</f>
        <v>4030</v>
      </c>
      <c r="D10" s="1386"/>
      <c r="E10" s="729" t="str">
        <f>'Budget Tracker'!E12</f>
        <v>From Other Service Clubs (Charities)</v>
      </c>
      <c r="F10" s="742" t="str">
        <f>'Budget Tracker'!$F12</f>
        <v>4030 TOTAL</v>
      </c>
      <c r="G10" s="742"/>
      <c r="H10" s="1387">
        <f>'Budget Tracker'!$H12</f>
        <v>0</v>
      </c>
      <c r="I10" s="1387">
        <f>'Budget Tracker'!$I12</f>
        <v>0</v>
      </c>
      <c r="J10" s="1388"/>
      <c r="K10" s="1389">
        <f>SUM(K11:K14)</f>
        <v>0</v>
      </c>
    </row>
    <row r="11" spans="2:16" s="80" customFormat="1" ht="40.5" customHeight="1" x14ac:dyDescent="0.2">
      <c r="B11" s="1602"/>
      <c r="C11" s="1605"/>
      <c r="D11" s="1390">
        <f>'Budget Tracker'!D13</f>
        <v>4030.1</v>
      </c>
      <c r="E11" s="1391" t="str">
        <f>'Budget Tracker'!E13</f>
        <v>Available (Rename)</v>
      </c>
      <c r="F11" s="1392" t="str">
        <f>'Budget Tracker'!$F13</f>
        <v>Deductions from pay</v>
      </c>
      <c r="G11" s="1393">
        <f>'Budget Tracker'!G13</f>
        <v>0</v>
      </c>
      <c r="H11" s="1842"/>
      <c r="I11" s="1393">
        <f>'Budget Tracker'!$I13</f>
        <v>0</v>
      </c>
      <c r="J11" s="1394"/>
      <c r="K11" s="1395"/>
    </row>
    <row r="12" spans="2:16" s="80" customFormat="1" ht="40.5" customHeight="1" x14ac:dyDescent="0.2">
      <c r="B12" s="1602"/>
      <c r="C12" s="1605"/>
      <c r="D12" s="1390">
        <f>'Budget Tracker'!D14</f>
        <v>4030.2</v>
      </c>
      <c r="E12" s="1391" t="str">
        <f>'Budget Tracker'!E14</f>
        <v>Available (Rename)</v>
      </c>
      <c r="F12" s="1392">
        <f>'Budget Tracker'!$F14</f>
        <v>0</v>
      </c>
      <c r="G12" s="1393">
        <f>'Budget Tracker'!G14</f>
        <v>0</v>
      </c>
      <c r="H12" s="1842"/>
      <c r="I12" s="1393">
        <f>'Budget Tracker'!$I14</f>
        <v>0</v>
      </c>
      <c r="J12" s="1394"/>
      <c r="K12" s="1395"/>
    </row>
    <row r="13" spans="2:16" s="80" customFormat="1" ht="40.5" customHeight="1" x14ac:dyDescent="0.2">
      <c r="B13" s="1602"/>
      <c r="C13" s="1605"/>
      <c r="D13" s="1390">
        <f>'Budget Tracker'!D15</f>
        <v>4030.3</v>
      </c>
      <c r="E13" s="1391" t="str">
        <f>'Budget Tracker'!E15</f>
        <v>Available (Rename)</v>
      </c>
      <c r="F13" s="1392">
        <f>'Budget Tracker'!$F15</f>
        <v>0</v>
      </c>
      <c r="G13" s="1393">
        <f>'Budget Tracker'!G15</f>
        <v>0</v>
      </c>
      <c r="H13" s="1842"/>
      <c r="I13" s="1393">
        <f>'Budget Tracker'!$I15</f>
        <v>0</v>
      </c>
      <c r="J13" s="1394"/>
      <c r="K13" s="1395"/>
    </row>
    <row r="14" spans="2:16" s="80" customFormat="1" ht="40.5" customHeight="1" x14ac:dyDescent="0.2">
      <c r="B14" s="1602"/>
      <c r="C14" s="1605"/>
      <c r="D14" s="1396">
        <f>'Budget Tracker'!D16</f>
        <v>4030.4</v>
      </c>
      <c r="E14" s="1397" t="str">
        <f>'Budget Tracker'!E16</f>
        <v>Available (Rename)</v>
      </c>
      <c r="F14" s="1398">
        <f>'Budget Tracker'!$F16</f>
        <v>0</v>
      </c>
      <c r="G14" s="1399">
        <f>'Budget Tracker'!G16</f>
        <v>0</v>
      </c>
      <c r="H14" s="1842"/>
      <c r="I14" s="1399">
        <f>'Budget Tracker'!$I16</f>
        <v>0</v>
      </c>
      <c r="J14" s="1400"/>
      <c r="K14" s="1401"/>
    </row>
    <row r="15" spans="2:16" s="80" customFormat="1" ht="40.5" customHeight="1" x14ac:dyDescent="0.2">
      <c r="B15" s="1602"/>
      <c r="C15" s="759">
        <f>'Budget Tracker'!C17</f>
        <v>4040</v>
      </c>
      <c r="D15" s="1843"/>
      <c r="E15" s="760" t="str">
        <f>'Budget Tracker'!E17</f>
        <v>Specific Purpose Non-DND Grants</v>
      </c>
      <c r="F15" s="797" t="str">
        <f>'Budget Tracker'!$F17</f>
        <v>Special grant for a project</v>
      </c>
      <c r="G15" s="1843"/>
      <c r="H15" s="1402">
        <f>'Budget Tracker'!$H17</f>
        <v>0</v>
      </c>
      <c r="I15" s="1402">
        <f>'Budget Tracker'!$I17</f>
        <v>0</v>
      </c>
      <c r="J15" s="1403"/>
      <c r="K15" s="1404"/>
    </row>
    <row r="16" spans="2:16" s="80" customFormat="1" ht="40.5" customHeight="1" x14ac:dyDescent="0.2">
      <c r="B16" s="1602"/>
      <c r="C16" s="518">
        <f>'Budget Tracker'!C18</f>
        <v>4050</v>
      </c>
      <c r="D16" s="1843"/>
      <c r="E16" s="765" t="str">
        <f>'Budget Tracker'!E18</f>
        <v>Bequests and Such</v>
      </c>
      <c r="F16" s="773" t="str">
        <f>'Budget Tracker'!$F18</f>
        <v>Money left in wills</v>
      </c>
      <c r="G16" s="1843"/>
      <c r="H16" s="1405">
        <f>'Budget Tracker'!$H18</f>
        <v>0</v>
      </c>
      <c r="I16" s="1405">
        <f>'Budget Tracker'!$I18</f>
        <v>0</v>
      </c>
      <c r="J16" s="1394"/>
      <c r="K16" s="1395"/>
    </row>
    <row r="17" spans="1:11" s="80" customFormat="1" ht="40.5" customHeight="1" x14ac:dyDescent="0.2">
      <c r="B17" s="1602"/>
      <c r="C17" s="518">
        <f>'Budget Tracker'!C19</f>
        <v>4060</v>
      </c>
      <c r="D17" s="1843"/>
      <c r="E17" s="765" t="str">
        <f>'Budget Tracker'!E19</f>
        <v>Other Non-Tax Receipted Donations</v>
      </c>
      <c r="F17" s="773">
        <f>'Budget Tracker'!$F19</f>
        <v>0</v>
      </c>
      <c r="G17" s="1843"/>
      <c r="H17" s="1405">
        <f>'Budget Tracker'!$H19</f>
        <v>0</v>
      </c>
      <c r="I17" s="1405">
        <f>'Budget Tracker'!$I19</f>
        <v>0</v>
      </c>
      <c r="J17" s="1394"/>
      <c r="K17" s="1395"/>
    </row>
    <row r="18" spans="1:11" s="80" customFormat="1" ht="40.5" customHeight="1" x14ac:dyDescent="0.2">
      <c r="B18" s="1602"/>
      <c r="C18" s="518">
        <f>'Budget Tracker'!C20</f>
        <v>4070</v>
      </c>
      <c r="D18" s="1843"/>
      <c r="E18" s="765" t="str">
        <f>'Budget Tracker'!E20</f>
        <v>Other Tax Receipted Donations</v>
      </c>
      <c r="F18" s="773">
        <f>'Budget Tracker'!$F20</f>
        <v>0</v>
      </c>
      <c r="G18" s="1843"/>
      <c r="H18" s="1405">
        <f>'Budget Tracker'!$H20</f>
        <v>0</v>
      </c>
      <c r="I18" s="1405">
        <f>'Budget Tracker'!$I20</f>
        <v>0</v>
      </c>
      <c r="J18" s="1394"/>
      <c r="K18" s="1395"/>
    </row>
    <row r="19" spans="1:11" s="80" customFormat="1" ht="40.5" customHeight="1" x14ac:dyDescent="0.2">
      <c r="B19" s="1602"/>
      <c r="C19" s="518">
        <f>'Budget Tracker'!C21</f>
        <v>4080</v>
      </c>
      <c r="D19" s="1843"/>
      <c r="E19" s="765" t="str">
        <f>'Budget Tracker'!E21</f>
        <v>Available (Rename)</v>
      </c>
      <c r="F19" s="773">
        <f>'Budget Tracker'!$F21</f>
        <v>0</v>
      </c>
      <c r="G19" s="1843"/>
      <c r="H19" s="1405">
        <f>'Budget Tracker'!$H21</f>
        <v>0</v>
      </c>
      <c r="I19" s="1405">
        <f>'Budget Tracker'!$I21</f>
        <v>0</v>
      </c>
      <c r="J19" s="1394"/>
      <c r="K19" s="1395"/>
    </row>
    <row r="20" spans="1:11" s="80" customFormat="1" ht="40.5" customHeight="1" x14ac:dyDescent="0.2">
      <c r="B20" s="1602"/>
      <c r="C20" s="774">
        <f>'Budget Tracker'!C22</f>
        <v>4090</v>
      </c>
      <c r="D20" s="1843"/>
      <c r="E20" s="775" t="str">
        <f>'Budget Tracker'!E22</f>
        <v>Available (Rename)</v>
      </c>
      <c r="F20" s="769">
        <f>'Budget Tracker'!$F22</f>
        <v>0</v>
      </c>
      <c r="G20" s="1843"/>
      <c r="H20" s="1406">
        <f>'Budget Tracker'!$H22</f>
        <v>0</v>
      </c>
      <c r="I20" s="1406">
        <f>'Budget Tracker'!$I22</f>
        <v>0</v>
      </c>
      <c r="J20" s="1400"/>
      <c r="K20" s="1401"/>
    </row>
    <row r="21" spans="1:11" s="80" customFormat="1" ht="40.5" customHeight="1" x14ac:dyDescent="0.2">
      <c r="B21" s="1602" t="str">
        <f>'Budget Tracker'!B23</f>
        <v>4200 - Gaming &amp; Lotteries Fundraising</v>
      </c>
      <c r="C21" s="728">
        <f>'Budget Tracker'!C23</f>
        <v>4210</v>
      </c>
      <c r="D21" s="1840"/>
      <c r="E21" s="729" t="str">
        <f>'Budget Tracker'!E23</f>
        <v>Sqn Lottery/Raffle</v>
      </c>
      <c r="F21" s="771">
        <f>'Budget Tracker'!$F23</f>
        <v>0</v>
      </c>
      <c r="G21" s="1840"/>
      <c r="H21" s="1380">
        <f>'Budget Tracker'!$H23</f>
        <v>0</v>
      </c>
      <c r="I21" s="1380">
        <f>'Budget Tracker'!$I23</f>
        <v>0</v>
      </c>
      <c r="J21" s="1381"/>
      <c r="K21" s="1382"/>
    </row>
    <row r="22" spans="1:11" s="80" customFormat="1" ht="40.5" customHeight="1" x14ac:dyDescent="0.2">
      <c r="A22" s="772"/>
      <c r="B22" s="1602"/>
      <c r="C22" s="518">
        <f>'Budget Tracker'!C24</f>
        <v>4220</v>
      </c>
      <c r="D22" s="1840"/>
      <c r="E22" s="765" t="str">
        <f>'Budget Tracker'!E24</f>
        <v>Bingo/Casino Income</v>
      </c>
      <c r="F22" s="773">
        <f>'Budget Tracker'!$F24</f>
        <v>0</v>
      </c>
      <c r="G22" s="1840"/>
      <c r="H22" s="1405">
        <f>'Budget Tracker'!$H24</f>
        <v>0</v>
      </c>
      <c r="I22" s="1405">
        <f>'Budget Tracker'!$I24</f>
        <v>0</v>
      </c>
      <c r="J22" s="1394"/>
      <c r="K22" s="1395"/>
    </row>
    <row r="23" spans="1:11" s="80" customFormat="1" ht="40.5" customHeight="1" x14ac:dyDescent="0.2">
      <c r="A23" s="772"/>
      <c r="B23" s="1602"/>
      <c r="C23" s="518">
        <f>'Budget Tracker'!C25</f>
        <v>4230</v>
      </c>
      <c r="D23" s="1840"/>
      <c r="E23" s="765" t="str">
        <f>'Budget Tracker'!E25</f>
        <v>Available (Rename)</v>
      </c>
      <c r="F23" s="773">
        <f>'Budget Tracker'!$F25</f>
        <v>0</v>
      </c>
      <c r="G23" s="1840"/>
      <c r="H23" s="1405">
        <f>'Budget Tracker'!$H25</f>
        <v>0</v>
      </c>
      <c r="I23" s="1405">
        <f>'Budget Tracker'!$I25</f>
        <v>0</v>
      </c>
      <c r="J23" s="1394"/>
      <c r="K23" s="1395"/>
    </row>
    <row r="24" spans="1:11" s="80" customFormat="1" ht="40.5" customHeight="1" x14ac:dyDescent="0.2">
      <c r="A24" s="772"/>
      <c r="B24" s="1602"/>
      <c r="C24" s="518">
        <f>'Budget Tracker'!C26</f>
        <v>4240</v>
      </c>
      <c r="D24" s="1840"/>
      <c r="E24" s="765" t="str">
        <f>'Budget Tracker'!E26</f>
        <v>Available (Rename)</v>
      </c>
      <c r="F24" s="773">
        <f>'Budget Tracker'!$F26</f>
        <v>0</v>
      </c>
      <c r="G24" s="1840"/>
      <c r="H24" s="1405">
        <f>'Budget Tracker'!$H26</f>
        <v>0</v>
      </c>
      <c r="I24" s="1405">
        <f>'Budget Tracker'!$I26</f>
        <v>0</v>
      </c>
      <c r="J24" s="1394"/>
      <c r="K24" s="1395"/>
    </row>
    <row r="25" spans="1:11" s="80" customFormat="1" ht="40.5" customHeight="1" x14ac:dyDescent="0.2">
      <c r="A25" s="772"/>
      <c r="B25" s="1602"/>
      <c r="C25" s="518">
        <f>'Budget Tracker'!C27</f>
        <v>4250</v>
      </c>
      <c r="D25" s="1840"/>
      <c r="E25" s="765" t="str">
        <f>'Budget Tracker'!E27</f>
        <v>Available (Rename)</v>
      </c>
      <c r="F25" s="773">
        <f>'Budget Tracker'!$F27</f>
        <v>0</v>
      </c>
      <c r="G25" s="1840"/>
      <c r="H25" s="1405">
        <f>'Budget Tracker'!$H27</f>
        <v>0</v>
      </c>
      <c r="I25" s="1405">
        <f>'Budget Tracker'!$I27</f>
        <v>0</v>
      </c>
      <c r="J25" s="1394"/>
      <c r="K25" s="1395"/>
    </row>
    <row r="26" spans="1:11" s="80" customFormat="1" ht="40.5" customHeight="1" x14ac:dyDescent="0.2">
      <c r="A26" s="772"/>
      <c r="B26" s="1602"/>
      <c r="C26" s="518">
        <f>'Budget Tracker'!C28</f>
        <v>4260</v>
      </c>
      <c r="D26" s="1840"/>
      <c r="E26" s="765" t="str">
        <f>'Budget Tracker'!E28</f>
        <v>Available (Rename)</v>
      </c>
      <c r="F26" s="773">
        <f>'Budget Tracker'!$F28</f>
        <v>0</v>
      </c>
      <c r="G26" s="1840"/>
      <c r="H26" s="1405">
        <f>'Budget Tracker'!$H28</f>
        <v>0</v>
      </c>
      <c r="I26" s="1405">
        <f>'Budget Tracker'!$I28</f>
        <v>0</v>
      </c>
      <c r="J26" s="1394"/>
      <c r="K26" s="1395"/>
    </row>
    <row r="27" spans="1:11" s="80" customFormat="1" ht="40.5" customHeight="1" x14ac:dyDescent="0.2">
      <c r="A27" s="772"/>
      <c r="B27" s="1602"/>
      <c r="C27" s="518">
        <f>'Budget Tracker'!C29</f>
        <v>4270</v>
      </c>
      <c r="D27" s="1840"/>
      <c r="E27" s="765" t="str">
        <f>'Budget Tracker'!E29</f>
        <v>Available (Rename)</v>
      </c>
      <c r="F27" s="773">
        <f>'Budget Tracker'!$F29</f>
        <v>0</v>
      </c>
      <c r="G27" s="1840"/>
      <c r="H27" s="1405">
        <f>'Budget Tracker'!$H29</f>
        <v>0</v>
      </c>
      <c r="I27" s="1405">
        <f>'Budget Tracker'!$I29</f>
        <v>0</v>
      </c>
      <c r="J27" s="1394"/>
      <c r="K27" s="1395"/>
    </row>
    <row r="28" spans="1:11" s="80" customFormat="1" ht="40.5" customHeight="1" x14ac:dyDescent="0.2">
      <c r="A28" s="772"/>
      <c r="B28" s="1602"/>
      <c r="C28" s="518">
        <f>'Budget Tracker'!C30</f>
        <v>4280</v>
      </c>
      <c r="D28" s="1840"/>
      <c r="E28" s="765" t="str">
        <f>'Budget Tracker'!E30</f>
        <v>Available (Rename)</v>
      </c>
      <c r="F28" s="773">
        <f>'Budget Tracker'!$F30</f>
        <v>0</v>
      </c>
      <c r="G28" s="1840"/>
      <c r="H28" s="1405">
        <f>'Budget Tracker'!$H30</f>
        <v>0</v>
      </c>
      <c r="I28" s="1405">
        <f>'Budget Tracker'!$I30</f>
        <v>0</v>
      </c>
      <c r="J28" s="1394"/>
      <c r="K28" s="1395"/>
    </row>
    <row r="29" spans="1:11" s="80" customFormat="1" ht="40.5" customHeight="1" x14ac:dyDescent="0.2">
      <c r="A29" s="772"/>
      <c r="B29" s="1602"/>
      <c r="C29" s="774">
        <f>'Budget Tracker'!C31</f>
        <v>4290</v>
      </c>
      <c r="D29" s="1840"/>
      <c r="E29" s="775" t="str">
        <f>'Budget Tracker'!E31</f>
        <v>Available (Rename)</v>
      </c>
      <c r="F29" s="769">
        <f>'Budget Tracker'!$F31</f>
        <v>0</v>
      </c>
      <c r="G29" s="1840"/>
      <c r="H29" s="1406">
        <f>'Budget Tracker'!$H31</f>
        <v>0</v>
      </c>
      <c r="I29" s="1406">
        <f>'Budget Tracker'!$I31</f>
        <v>0</v>
      </c>
      <c r="J29" s="1400"/>
      <c r="K29" s="1401"/>
    </row>
    <row r="30" spans="1:11" s="80" customFormat="1" ht="40.5" customHeight="1" x14ac:dyDescent="0.2">
      <c r="B30" s="1602" t="str">
        <f>'Budget Tracker'!B32</f>
        <v>4400 - Other Fundraising</v>
      </c>
      <c r="C30" s="728">
        <f>'Budget Tracker'!C32</f>
        <v>4410</v>
      </c>
      <c r="D30" s="1840"/>
      <c r="E30" s="729" t="str">
        <f>'Budget Tracker'!E32</f>
        <v>Tagging (Fall)</v>
      </c>
      <c r="F30" s="771">
        <f>'Budget Tracker'!$F32</f>
        <v>0</v>
      </c>
      <c r="G30" s="1840"/>
      <c r="H30" s="1380">
        <f>'Budget Tracker'!$H32</f>
        <v>0</v>
      </c>
      <c r="I30" s="1380">
        <f>'Budget Tracker'!$I32</f>
        <v>0</v>
      </c>
      <c r="J30" s="1381"/>
      <c r="K30" s="1382"/>
    </row>
    <row r="31" spans="1:11" s="80" customFormat="1" ht="40.5" customHeight="1" x14ac:dyDescent="0.2">
      <c r="B31" s="1602"/>
      <c r="C31" s="518">
        <f>'Budget Tracker'!C33</f>
        <v>4420</v>
      </c>
      <c r="D31" s="1840"/>
      <c r="E31" s="765" t="str">
        <f>'Budget Tracker'!E33</f>
        <v>Tagging (Spring)</v>
      </c>
      <c r="F31" s="773">
        <f>'Budget Tracker'!$F33</f>
        <v>0</v>
      </c>
      <c r="G31" s="1840"/>
      <c r="H31" s="1405">
        <f>'Budget Tracker'!$H33</f>
        <v>0</v>
      </c>
      <c r="I31" s="1405">
        <f>'Budget Tracker'!$I33</f>
        <v>0</v>
      </c>
      <c r="J31" s="1394"/>
      <c r="K31" s="1395"/>
    </row>
    <row r="32" spans="1:11" s="80" customFormat="1" ht="40.5" customHeight="1" x14ac:dyDescent="0.2">
      <c r="B32" s="1602"/>
      <c r="C32" s="518">
        <f>'Budget Tracker'!C34</f>
        <v>4430</v>
      </c>
      <c r="D32" s="1840"/>
      <c r="E32" s="765" t="str">
        <f>'Budget Tracker'!E34</f>
        <v>Annual Ticket Sales &amp; Such</v>
      </c>
      <c r="F32" s="773">
        <f>'Budget Tracker'!$F34</f>
        <v>0</v>
      </c>
      <c r="G32" s="1840"/>
      <c r="H32" s="1405">
        <f>'Budget Tracker'!$H34</f>
        <v>0</v>
      </c>
      <c r="I32" s="1405">
        <f>'Budget Tracker'!$I34</f>
        <v>0</v>
      </c>
      <c r="J32" s="1394"/>
      <c r="K32" s="1395"/>
    </row>
    <row r="33" spans="2:11" s="80" customFormat="1" ht="40.5" customHeight="1" x14ac:dyDescent="0.2">
      <c r="B33" s="1602"/>
      <c r="C33" s="518">
        <f>'Budget Tracker'!C35</f>
        <v>4440</v>
      </c>
      <c r="D33" s="1840"/>
      <c r="E33" s="765" t="str">
        <f>'Budget Tracker'!E35</f>
        <v>Bottle Drive</v>
      </c>
      <c r="F33" s="773">
        <f>'Budget Tracker'!$F35</f>
        <v>0</v>
      </c>
      <c r="G33" s="1840"/>
      <c r="H33" s="1405">
        <f>'Budget Tracker'!$H35</f>
        <v>0</v>
      </c>
      <c r="I33" s="1405">
        <f>'Budget Tracker'!$I35</f>
        <v>0</v>
      </c>
      <c r="J33" s="1394"/>
      <c r="K33" s="1395"/>
    </row>
    <row r="34" spans="2:11" s="80" customFormat="1" ht="40.5" customHeight="1" x14ac:dyDescent="0.2">
      <c r="B34" s="1602"/>
      <c r="C34" s="518">
        <f>'Budget Tracker'!C36</f>
        <v>4450</v>
      </c>
      <c r="D34" s="1840"/>
      <c r="E34" s="765" t="str">
        <f>'Budget Tracker'!E36</f>
        <v>Available (Rename)</v>
      </c>
      <c r="F34" s="773">
        <f>'Budget Tracker'!$F36</f>
        <v>0</v>
      </c>
      <c r="G34" s="1840"/>
      <c r="H34" s="1405">
        <f>'Budget Tracker'!$H36</f>
        <v>0</v>
      </c>
      <c r="I34" s="1405">
        <f>'Budget Tracker'!$I36</f>
        <v>0</v>
      </c>
      <c r="J34" s="1394"/>
      <c r="K34" s="1395"/>
    </row>
    <row r="35" spans="2:11" s="80" customFormat="1" ht="40.5" customHeight="1" x14ac:dyDescent="0.2">
      <c r="B35" s="1602"/>
      <c r="C35" s="518">
        <f>'Budget Tracker'!C37</f>
        <v>4460</v>
      </c>
      <c r="D35" s="1840"/>
      <c r="E35" s="765" t="str">
        <f>'Budget Tracker'!E37</f>
        <v>Available (Rename)</v>
      </c>
      <c r="F35" s="773">
        <f>'Budget Tracker'!$F37</f>
        <v>0</v>
      </c>
      <c r="G35" s="1840"/>
      <c r="H35" s="1405">
        <f>'Budget Tracker'!$H37</f>
        <v>0</v>
      </c>
      <c r="I35" s="1405">
        <f>'Budget Tracker'!$I37</f>
        <v>0</v>
      </c>
      <c r="J35" s="1394"/>
      <c r="K35" s="1395"/>
    </row>
    <row r="36" spans="2:11" s="80" customFormat="1" ht="40.5" customHeight="1" x14ac:dyDescent="0.2">
      <c r="B36" s="1602"/>
      <c r="C36" s="518">
        <f>'Budget Tracker'!C38</f>
        <v>4470</v>
      </c>
      <c r="D36" s="1840"/>
      <c r="E36" s="765" t="str">
        <f>'Budget Tracker'!E38</f>
        <v>Available (Rename)</v>
      </c>
      <c r="F36" s="773">
        <f>'Budget Tracker'!$F38</f>
        <v>0</v>
      </c>
      <c r="G36" s="1840"/>
      <c r="H36" s="1405">
        <f>'Budget Tracker'!$H38</f>
        <v>0</v>
      </c>
      <c r="I36" s="1405">
        <f>'Budget Tracker'!$I38</f>
        <v>0</v>
      </c>
      <c r="J36" s="1394"/>
      <c r="K36" s="1395"/>
    </row>
    <row r="37" spans="2:11" s="80" customFormat="1" ht="40.5" customHeight="1" x14ac:dyDescent="0.2">
      <c r="B37" s="1602"/>
      <c r="C37" s="518">
        <f>'Budget Tracker'!C39</f>
        <v>4480</v>
      </c>
      <c r="D37" s="1840"/>
      <c r="E37" s="765" t="str">
        <f>'Budget Tracker'!E39</f>
        <v>Available (Rename)</v>
      </c>
      <c r="F37" s="773">
        <f>'Budget Tracker'!$F39</f>
        <v>0</v>
      </c>
      <c r="G37" s="1840"/>
      <c r="H37" s="1405">
        <f>'Budget Tracker'!$H39</f>
        <v>0</v>
      </c>
      <c r="I37" s="1405">
        <f>'Budget Tracker'!$I39</f>
        <v>0</v>
      </c>
      <c r="J37" s="1394"/>
      <c r="K37" s="1395"/>
    </row>
    <row r="38" spans="2:11" s="80" customFormat="1" ht="40.5" customHeight="1" x14ac:dyDescent="0.2">
      <c r="B38" s="1602"/>
      <c r="C38" s="774">
        <f>'Budget Tracker'!C40</f>
        <v>4490</v>
      </c>
      <c r="D38" s="1840"/>
      <c r="E38" s="775" t="str">
        <f>'Budget Tracker'!E40</f>
        <v>Available (Rename)</v>
      </c>
      <c r="F38" s="769">
        <f>'Budget Tracker'!$F40</f>
        <v>0</v>
      </c>
      <c r="G38" s="1840"/>
      <c r="H38" s="1406">
        <f>'Budget Tracker'!$H40</f>
        <v>0</v>
      </c>
      <c r="I38" s="1406">
        <f>'Budget Tracker'!$I40</f>
        <v>0</v>
      </c>
      <c r="J38" s="1400"/>
      <c r="K38" s="1401"/>
    </row>
    <row r="39" spans="2:11" s="80" customFormat="1" ht="40.5" customHeight="1" x14ac:dyDescent="0.2">
      <c r="B39" s="1602" t="str">
        <f>'Budget Tracker'!B41</f>
        <v>4600 - Misc Revenues (Other than Gov't)</v>
      </c>
      <c r="C39" s="728">
        <f>'Budget Tracker'!C41</f>
        <v>4610</v>
      </c>
      <c r="D39" s="1840"/>
      <c r="E39" s="729" t="str">
        <f>'Budget Tracker'!E41</f>
        <v>Money Collected for Activities</v>
      </c>
      <c r="F39" s="771">
        <f>'Budget Tracker'!$F41</f>
        <v>0</v>
      </c>
      <c r="G39" s="1840"/>
      <c r="H39" s="1380">
        <f>'Budget Tracker'!$H41</f>
        <v>0</v>
      </c>
      <c r="I39" s="1380">
        <f>'Budget Tracker'!$I41</f>
        <v>0</v>
      </c>
      <c r="J39" s="1381"/>
      <c r="K39" s="1382"/>
    </row>
    <row r="40" spans="2:11" s="80" customFormat="1" ht="40.5" customHeight="1" x14ac:dyDescent="0.2">
      <c r="B40" s="1602"/>
      <c r="C40" s="518">
        <f>'Budget Tracker'!C42</f>
        <v>4620</v>
      </c>
      <c r="D40" s="1840"/>
      <c r="E40" s="765" t="str">
        <f>'Budget Tracker'!E42</f>
        <v>Refunds</v>
      </c>
      <c r="F40" s="773" t="str">
        <f>'Budget Tracker'!$F42</f>
        <v>Ski trip, Year-end Trip, etc.</v>
      </c>
      <c r="G40" s="1840"/>
      <c r="H40" s="1405">
        <f>'Budget Tracker'!$H42</f>
        <v>0</v>
      </c>
      <c r="I40" s="1405">
        <f>'Budget Tracker'!$I42</f>
        <v>0</v>
      </c>
      <c r="J40" s="1394"/>
      <c r="K40" s="1395"/>
    </row>
    <row r="41" spans="2:11" s="80" customFormat="1" ht="40.5" customHeight="1" x14ac:dyDescent="0.2">
      <c r="B41" s="1602"/>
      <c r="C41" s="518">
        <f>'Budget Tracker'!C43</f>
        <v>4630</v>
      </c>
      <c r="D41" s="1840"/>
      <c r="E41" s="765" t="str">
        <f>'Budget Tracker'!E43</f>
        <v>Canteen Proceeds</v>
      </c>
      <c r="F41" s="773">
        <f>'Budget Tracker'!$F43</f>
        <v>0</v>
      </c>
      <c r="G41" s="1840"/>
      <c r="H41" s="1405">
        <f>'Budget Tracker'!$H43</f>
        <v>0</v>
      </c>
      <c r="I41" s="1405">
        <f>'Budget Tracker'!$I43</f>
        <v>0</v>
      </c>
      <c r="J41" s="1394"/>
      <c r="K41" s="1395"/>
    </row>
    <row r="42" spans="2:11" s="80" customFormat="1" ht="40.5" customHeight="1" x14ac:dyDescent="0.2">
      <c r="B42" s="1602"/>
      <c r="C42" s="518">
        <f>'Budget Tracker'!C44</f>
        <v>4640</v>
      </c>
      <c r="D42" s="1840"/>
      <c r="E42" s="765" t="str">
        <f>'Budget Tracker'!E44</f>
        <v>Sale of Sqn Logo Items</v>
      </c>
      <c r="F42" s="773">
        <f>'Budget Tracker'!$F44</f>
        <v>0</v>
      </c>
      <c r="G42" s="1840"/>
      <c r="H42" s="1405">
        <f>'Budget Tracker'!$H44</f>
        <v>0</v>
      </c>
      <c r="I42" s="1405">
        <f>'Budget Tracker'!$I44</f>
        <v>0</v>
      </c>
      <c r="J42" s="1394"/>
      <c r="K42" s="1395"/>
    </row>
    <row r="43" spans="2:11" s="80" customFormat="1" ht="40.5" customHeight="1" x14ac:dyDescent="0.2">
      <c r="B43" s="1602"/>
      <c r="C43" s="518">
        <f>'Budget Tracker'!C45</f>
        <v>4650</v>
      </c>
      <c r="D43" s="1840"/>
      <c r="E43" s="765" t="str">
        <f>'Budget Tracker'!E45</f>
        <v>Bank &amp; Investments Interest/Income</v>
      </c>
      <c r="F43" s="773">
        <f>'Budget Tracker'!$F45</f>
        <v>0</v>
      </c>
      <c r="G43" s="1840"/>
      <c r="H43" s="1405">
        <f>'Budget Tracker'!$H45</f>
        <v>0</v>
      </c>
      <c r="I43" s="1405">
        <f>'Budget Tracker'!$I45</f>
        <v>0</v>
      </c>
      <c r="J43" s="1394"/>
      <c r="K43" s="1395"/>
    </row>
    <row r="44" spans="2:11" s="80" customFormat="1" ht="40.5" customHeight="1" x14ac:dyDescent="0.2">
      <c r="B44" s="1602"/>
      <c r="C44" s="518">
        <f>'Budget Tracker'!C46</f>
        <v>4660</v>
      </c>
      <c r="D44" s="1840"/>
      <c r="E44" s="765" t="str">
        <f>'Budget Tracker'!E46</f>
        <v>Capital Gains</v>
      </c>
      <c r="F44" s="773">
        <f>'Budget Tracker'!$F46</f>
        <v>0</v>
      </c>
      <c r="G44" s="1840"/>
      <c r="H44" s="1405">
        <f>'Budget Tracker'!$H46</f>
        <v>0</v>
      </c>
      <c r="I44" s="1405">
        <f>'Budget Tracker'!$I46</f>
        <v>0</v>
      </c>
      <c r="J44" s="1394"/>
      <c r="K44" s="1395"/>
    </row>
    <row r="45" spans="2:11" s="80" customFormat="1" ht="40.5" customHeight="1" x14ac:dyDescent="0.2">
      <c r="B45" s="1602"/>
      <c r="C45" s="518">
        <f>'Budget Tracker'!C47</f>
        <v>4670</v>
      </c>
      <c r="D45" s="1840"/>
      <c r="E45" s="765" t="str">
        <f>'Budget Tracker'!E47</f>
        <v>Assessments</v>
      </c>
      <c r="F45" s="773">
        <f>'Budget Tracker'!$F47</f>
        <v>0</v>
      </c>
      <c r="G45" s="1840"/>
      <c r="H45" s="1405">
        <f>'Budget Tracker'!$H47</f>
        <v>0</v>
      </c>
      <c r="I45" s="1405">
        <f>'Budget Tracker'!$I47</f>
        <v>0</v>
      </c>
      <c r="J45" s="1394"/>
      <c r="K45" s="1395"/>
    </row>
    <row r="46" spans="2:11" s="80" customFormat="1" ht="40.5" customHeight="1" x14ac:dyDescent="0.2">
      <c r="B46" s="1602"/>
      <c r="C46" s="518">
        <f>'Budget Tracker'!C48</f>
        <v>4680</v>
      </c>
      <c r="D46" s="1840"/>
      <c r="E46" s="765" t="str">
        <f>'Budget Tracker'!E48</f>
        <v>Rental Income</v>
      </c>
      <c r="F46" s="773">
        <f>'Budget Tracker'!$F48</f>
        <v>0</v>
      </c>
      <c r="G46" s="1840"/>
      <c r="H46" s="1405">
        <f>'Budget Tracker'!$H48</f>
        <v>0</v>
      </c>
      <c r="I46" s="1405">
        <f>'Budget Tracker'!$I48</f>
        <v>0</v>
      </c>
      <c r="J46" s="1394"/>
      <c r="K46" s="1395"/>
    </row>
    <row r="47" spans="2:11" s="80" customFormat="1" ht="40.5" customHeight="1" x14ac:dyDescent="0.2">
      <c r="B47" s="1602"/>
      <c r="C47" s="774">
        <f>'Budget Tracker'!C49</f>
        <v>4690</v>
      </c>
      <c r="D47" s="1840"/>
      <c r="E47" s="775" t="str">
        <f>'Budget Tracker'!E49</f>
        <v>Available (Rename)</v>
      </c>
      <c r="F47" s="769">
        <f>'Budget Tracker'!$F49</f>
        <v>0</v>
      </c>
      <c r="G47" s="1840"/>
      <c r="H47" s="1406">
        <f>'Budget Tracker'!$H49</f>
        <v>0</v>
      </c>
      <c r="I47" s="1406">
        <f>'Budget Tracker'!$I49</f>
        <v>0</v>
      </c>
      <c r="J47" s="1400"/>
      <c r="K47" s="1401"/>
    </row>
    <row r="48" spans="2:11" s="80" customFormat="1" ht="40.5" customHeight="1" x14ac:dyDescent="0.2">
      <c r="B48" s="1602" t="str">
        <f>'Budget Tracker'!B50</f>
        <v>4800 - Funding &amp; Recoveries (Gov't)</v>
      </c>
      <c r="C48" s="728">
        <f>'Budget Tracker'!C50</f>
        <v>4810</v>
      </c>
      <c r="D48" s="1840"/>
      <c r="E48" s="729" t="str">
        <f>'Budget Tracker'!E50</f>
        <v>DND Local Support Allocation (LSA)</v>
      </c>
      <c r="F48" s="771" t="str">
        <f>'Budget Tracker'!$F50</f>
        <v>Related to administration</v>
      </c>
      <c r="G48" s="1840"/>
      <c r="H48" s="1380">
        <f>'Budget Tracker'!$H50</f>
        <v>0</v>
      </c>
      <c r="I48" s="1380">
        <f>'Budget Tracker'!$I50</f>
        <v>0</v>
      </c>
      <c r="J48" s="1381"/>
      <c r="K48" s="1382"/>
    </row>
    <row r="49" spans="2:11" s="80" customFormat="1" ht="40.5" customHeight="1" x14ac:dyDescent="0.2">
      <c r="B49" s="1602"/>
      <c r="C49" s="518">
        <f>'Budget Tracker'!C51</f>
        <v>4820</v>
      </c>
      <c r="D49" s="1840"/>
      <c r="E49" s="765" t="str">
        <f>'Budget Tracker'!E51</f>
        <v>DND Allocation - Mandatory and Complementary Pgm (MCP)</v>
      </c>
      <c r="F49" s="773" t="str">
        <f>'Budget Tracker'!$F51</f>
        <v>Related to training</v>
      </c>
      <c r="G49" s="1840"/>
      <c r="H49" s="1405">
        <f>'Budget Tracker'!$H51</f>
        <v>0</v>
      </c>
      <c r="I49" s="1405">
        <f>'Budget Tracker'!$I51</f>
        <v>0</v>
      </c>
      <c r="J49" s="1394"/>
      <c r="K49" s="1395"/>
    </row>
    <row r="50" spans="2:11" s="80" customFormat="1" ht="40.5" customHeight="1" x14ac:dyDescent="0.2">
      <c r="B50" s="1602"/>
      <c r="C50" s="518">
        <f>'Budget Tracker'!C52</f>
        <v>4830</v>
      </c>
      <c r="D50" s="1840"/>
      <c r="E50" s="765" t="str">
        <f>'Budget Tracker'!E52</f>
        <v>Federal Portion - Tax Rebate</v>
      </c>
      <c r="F50" s="773">
        <f>'Budget Tracker'!$F52</f>
        <v>0</v>
      </c>
      <c r="G50" s="1840"/>
      <c r="H50" s="1405">
        <f>'Budget Tracker'!$H52</f>
        <v>0</v>
      </c>
      <c r="I50" s="1405">
        <f>'Budget Tracker'!$I52</f>
        <v>0</v>
      </c>
      <c r="J50" s="1394"/>
      <c r="K50" s="1395"/>
    </row>
    <row r="51" spans="2:11" s="80" customFormat="1" ht="40.5" customHeight="1" x14ac:dyDescent="0.2">
      <c r="B51" s="1602"/>
      <c r="C51" s="518">
        <f>'Budget Tracker'!C53</f>
        <v>4840</v>
      </c>
      <c r="D51" s="1840"/>
      <c r="E51" s="765" t="str">
        <f>'Budget Tracker'!E53</f>
        <v>Governmental Grants - Provincial</v>
      </c>
      <c r="F51" s="773">
        <f>'Budget Tracker'!$F53</f>
        <v>0</v>
      </c>
      <c r="G51" s="1840"/>
      <c r="H51" s="1405">
        <f>'Budget Tracker'!$H53</f>
        <v>0</v>
      </c>
      <c r="I51" s="1405">
        <f>'Budget Tracker'!$I53</f>
        <v>0</v>
      </c>
      <c r="J51" s="1394"/>
      <c r="K51" s="1395"/>
    </row>
    <row r="52" spans="2:11" s="80" customFormat="1" ht="40.5" customHeight="1" x14ac:dyDescent="0.2">
      <c r="B52" s="1602"/>
      <c r="C52" s="518">
        <f>'Budget Tracker'!C54</f>
        <v>4850</v>
      </c>
      <c r="D52" s="1840"/>
      <c r="E52" s="765" t="str">
        <f>'Budget Tracker'!E54</f>
        <v>Available (Rename)</v>
      </c>
      <c r="F52" s="773">
        <f>'Budget Tracker'!$F54</f>
        <v>0</v>
      </c>
      <c r="G52" s="1840"/>
      <c r="H52" s="1405">
        <f>'Budget Tracker'!$H54</f>
        <v>0</v>
      </c>
      <c r="I52" s="1405">
        <f>'Budget Tracker'!$I54</f>
        <v>0</v>
      </c>
      <c r="J52" s="1394"/>
      <c r="K52" s="1395"/>
    </row>
    <row r="53" spans="2:11" s="80" customFormat="1" ht="40.5" customHeight="1" x14ac:dyDescent="0.2">
      <c r="B53" s="1602"/>
      <c r="C53" s="518">
        <f>'Budget Tracker'!C55</f>
        <v>4860</v>
      </c>
      <c r="D53" s="1840"/>
      <c r="E53" s="765" t="str">
        <f>'Budget Tracker'!E55</f>
        <v>Provincial Portion - Tax Rebate</v>
      </c>
      <c r="F53" s="773">
        <f>'Budget Tracker'!$F55</f>
        <v>0</v>
      </c>
      <c r="G53" s="1840"/>
      <c r="H53" s="1405">
        <f>'Budget Tracker'!$H55</f>
        <v>0</v>
      </c>
      <c r="I53" s="1405">
        <f>'Budget Tracker'!$I55</f>
        <v>0</v>
      </c>
      <c r="J53" s="1394"/>
      <c r="K53" s="1395"/>
    </row>
    <row r="54" spans="2:11" s="80" customFormat="1" ht="40.5" customHeight="1" x14ac:dyDescent="0.2">
      <c r="B54" s="1602"/>
      <c r="C54" s="518">
        <f>'Budget Tracker'!C56</f>
        <v>4870</v>
      </c>
      <c r="D54" s="1840"/>
      <c r="E54" s="765" t="str">
        <f>'Budget Tracker'!E56</f>
        <v>Governmental Grants - Regional/
Municipal</v>
      </c>
      <c r="F54" s="773">
        <f>'Budget Tracker'!$F56</f>
        <v>0</v>
      </c>
      <c r="G54" s="1840"/>
      <c r="H54" s="1405">
        <f>'Budget Tracker'!$H56</f>
        <v>0</v>
      </c>
      <c r="I54" s="1405">
        <f>'Budget Tracker'!$I56</f>
        <v>0</v>
      </c>
      <c r="J54" s="1394"/>
      <c r="K54" s="1395"/>
    </row>
    <row r="55" spans="2:11" s="80" customFormat="1" ht="40.5" customHeight="1" x14ac:dyDescent="0.2">
      <c r="B55" s="1602"/>
      <c r="C55" s="518">
        <f>'Budget Tracker'!C57</f>
        <v>4880</v>
      </c>
      <c r="D55" s="1840"/>
      <c r="E55" s="765" t="str">
        <f>'Budget Tracker'!E57</f>
        <v>Available (Rename)</v>
      </c>
      <c r="F55" s="773">
        <f>'Budget Tracker'!$F57</f>
        <v>0</v>
      </c>
      <c r="G55" s="1840"/>
      <c r="H55" s="1405">
        <f>'Budget Tracker'!$H57</f>
        <v>0</v>
      </c>
      <c r="I55" s="1405">
        <f>'Budget Tracker'!$I57</f>
        <v>0</v>
      </c>
      <c r="J55" s="1394"/>
      <c r="K55" s="1395"/>
    </row>
    <row r="56" spans="2:11" s="80" customFormat="1" ht="40.5" customHeight="1" x14ac:dyDescent="0.2">
      <c r="B56" s="1602"/>
      <c r="C56" s="774">
        <f>'Budget Tracker'!C58</f>
        <v>4890</v>
      </c>
      <c r="D56" s="1840"/>
      <c r="E56" s="775" t="str">
        <f>'Budget Tracker'!E58</f>
        <v>Available (Rename)</v>
      </c>
      <c r="F56" s="769">
        <f>'Budget Tracker'!$F58</f>
        <v>0</v>
      </c>
      <c r="G56" s="1840"/>
      <c r="H56" s="1406">
        <f>'Budget Tracker'!$H58</f>
        <v>0</v>
      </c>
      <c r="I56" s="1406">
        <f>'Budget Tracker'!$I58</f>
        <v>0</v>
      </c>
      <c r="J56" s="1400"/>
      <c r="K56" s="1401"/>
    </row>
    <row r="57" spans="2:11" s="80" customFormat="1" ht="7.5" customHeight="1" x14ac:dyDescent="0.2">
      <c r="H57" s="1407"/>
      <c r="I57" s="1407"/>
      <c r="J57" s="1407"/>
      <c r="K57" s="1407"/>
    </row>
    <row r="58" spans="2:11" s="80" customFormat="1" ht="21" customHeight="1" x14ac:dyDescent="0.2">
      <c r="E58" s="1844" t="str">
        <f>'Budget Tracker'!E60:G60</f>
        <v>Sub-Total</v>
      </c>
      <c r="F58" s="1844"/>
      <c r="G58" s="1844"/>
      <c r="H58" s="1408">
        <f>SUM(H8:H10,H15:H56)</f>
        <v>0</v>
      </c>
      <c r="I58" s="1408">
        <f>SUM(I8:I10,I15:I56)</f>
        <v>0</v>
      </c>
      <c r="J58" s="1408"/>
      <c r="K58" s="1408">
        <f>SUM(K8:K10,K15:K56)</f>
        <v>0</v>
      </c>
    </row>
    <row r="59" spans="2:11" s="80" customFormat="1" ht="7.5" customHeight="1" x14ac:dyDescent="0.2">
      <c r="E59" s="1409"/>
      <c r="F59" s="1409"/>
      <c r="G59" s="1409"/>
      <c r="H59" s="1410"/>
      <c r="I59" s="1410"/>
      <c r="J59" s="1410"/>
      <c r="K59" s="1410"/>
    </row>
    <row r="60" spans="2:11" s="80" customFormat="1" ht="21" customHeight="1" x14ac:dyDescent="0.2">
      <c r="B60" s="1845" t="str">
        <f>'Budget Tracker'!B62</f>
        <v>Expense Items</v>
      </c>
      <c r="C60" s="1845"/>
      <c r="D60" s="1845"/>
      <c r="E60" s="1845"/>
      <c r="F60" s="1845"/>
      <c r="G60" s="1845"/>
      <c r="H60" s="1845"/>
      <c r="I60" s="1845"/>
      <c r="J60" s="1845"/>
      <c r="K60" s="1845"/>
    </row>
    <row r="61" spans="2:11" s="80" customFormat="1" ht="40.5" customHeight="1" x14ac:dyDescent="0.2">
      <c r="B61" s="1602" t="str">
        <f>'Budget Tracker'!B63</f>
        <v>5000 - Administrative &amp; Operating Expenses</v>
      </c>
      <c r="C61" s="728">
        <f>'Budget Tracker'!C63</f>
        <v>5010</v>
      </c>
      <c r="D61" s="1840"/>
      <c r="E61" s="729" t="str">
        <f>'Budget Tracker'!E63</f>
        <v>Admin &amp; Office Supplies</v>
      </c>
      <c r="F61" s="771" t="str">
        <f>'Budget Tracker'!F63</f>
        <v>Photocopies, Paper, Toner, Stationary</v>
      </c>
      <c r="G61" s="1840"/>
      <c r="H61" s="1380">
        <f>'Budget Tracker'!$H63</f>
        <v>0</v>
      </c>
      <c r="I61" s="1380">
        <f>'Budget Tracker'!$I63</f>
        <v>0</v>
      </c>
      <c r="J61" s="1381"/>
      <c r="K61" s="1382"/>
    </row>
    <row r="62" spans="2:11" s="80" customFormat="1" ht="40.5" customHeight="1" x14ac:dyDescent="0.2">
      <c r="B62" s="1602"/>
      <c r="C62" s="518">
        <f>'Budget Tracker'!C64</f>
        <v>5020</v>
      </c>
      <c r="D62" s="1840"/>
      <c r="E62" s="765" t="str">
        <f>'Budget Tracker'!E64</f>
        <v>Office Equipment</v>
      </c>
      <c r="F62" s="773" t="str">
        <f>'Budget Tracker'!F64</f>
        <v>Laptops, Printers, Software, Filing Cabinets, Desk, chairs</v>
      </c>
      <c r="G62" s="1840"/>
      <c r="H62" s="1405">
        <f>'Budget Tracker'!$H64</f>
        <v>0</v>
      </c>
      <c r="I62" s="1405">
        <f>'Budget Tracker'!$I64</f>
        <v>0</v>
      </c>
      <c r="J62" s="1394"/>
      <c r="K62" s="1395"/>
    </row>
    <row r="63" spans="2:11" s="80" customFormat="1" ht="40.5" customHeight="1" x14ac:dyDescent="0.2">
      <c r="B63" s="1602"/>
      <c r="C63" s="518">
        <f>'Budget Tracker'!C65</f>
        <v>5030</v>
      </c>
      <c r="D63" s="1840"/>
      <c r="E63" s="765" t="str">
        <f>'Budget Tracker'!E65</f>
        <v>Sqn Quarters Rental and/or Mortgage Costs</v>
      </c>
      <c r="F63" s="773" t="str">
        <f>'Budget Tracker'!F65</f>
        <v>Annual Costs</v>
      </c>
      <c r="G63" s="1840"/>
      <c r="H63" s="1405">
        <f>'Budget Tracker'!$H65</f>
        <v>0</v>
      </c>
      <c r="I63" s="1405">
        <f>'Budget Tracker'!$I65</f>
        <v>0</v>
      </c>
      <c r="J63" s="1394"/>
      <c r="K63" s="1395"/>
    </row>
    <row r="64" spans="2:11" s="80" customFormat="1" ht="40.5" customHeight="1" x14ac:dyDescent="0.2">
      <c r="B64" s="1602"/>
      <c r="C64" s="518">
        <f>'Budget Tracker'!C66</f>
        <v>5040</v>
      </c>
      <c r="D64" s="1840"/>
      <c r="E64" s="765" t="str">
        <f>'Budget Tracker'!E66</f>
        <v>Sqn Quarters Expenditures - Maintenance, Repairs, Expansion, etc</v>
      </c>
      <c r="F64" s="773" t="str">
        <f>'Budget Tracker'!F66</f>
        <v>Maintenance, Expansion, Repairs</v>
      </c>
      <c r="G64" s="1840"/>
      <c r="H64" s="1405">
        <f>'Budget Tracker'!$H66</f>
        <v>0</v>
      </c>
      <c r="I64" s="1405">
        <f>'Budget Tracker'!$I66</f>
        <v>0</v>
      </c>
      <c r="J64" s="1394"/>
      <c r="K64" s="1395"/>
    </row>
    <row r="65" spans="2:11" s="80" customFormat="1" ht="40.5" customHeight="1" x14ac:dyDescent="0.2">
      <c r="B65" s="1602"/>
      <c r="C65" s="518">
        <f>'Budget Tracker'!C67</f>
        <v>5050</v>
      </c>
      <c r="D65" s="1840"/>
      <c r="E65" s="765" t="str">
        <f>'Budget Tracker'!E67</f>
        <v>Utilities/Telephone/Internet/PO Box Rental</v>
      </c>
      <c r="F65" s="773" t="str">
        <f>'Budget Tracker'!F67</f>
        <v>PO Box, Internet, Website, Cell</v>
      </c>
      <c r="G65" s="1840"/>
      <c r="H65" s="1405">
        <f>'Budget Tracker'!$H67</f>
        <v>0</v>
      </c>
      <c r="I65" s="1405">
        <f>'Budget Tracker'!$I67</f>
        <v>0</v>
      </c>
      <c r="J65" s="1394"/>
      <c r="K65" s="1395"/>
    </row>
    <row r="66" spans="2:11" s="80" customFormat="1" ht="40.5" customHeight="1" x14ac:dyDescent="0.2">
      <c r="B66" s="1602"/>
      <c r="C66" s="518">
        <f>'Budget Tracker'!C68</f>
        <v>5060</v>
      </c>
      <c r="D66" s="1840"/>
      <c r="E66" s="765" t="str">
        <f>'Budget Tracker'!E68</f>
        <v>Committee/Staff AGM &amp; Mtg Attendance</v>
      </c>
      <c r="F66" s="773" t="str">
        <f>'Budget Tracker'!F68</f>
        <v>Chair, Treasurer, CO and Cdt Comdr (or representatives)</v>
      </c>
      <c r="G66" s="1840"/>
      <c r="H66" s="1405">
        <f>'Budget Tracker'!$H68</f>
        <v>0</v>
      </c>
      <c r="I66" s="1405">
        <f>'Budget Tracker'!$I68</f>
        <v>0</v>
      </c>
      <c r="J66" s="1394"/>
      <c r="K66" s="1395"/>
    </row>
    <row r="67" spans="2:11" s="80" customFormat="1" ht="40.5" customHeight="1" x14ac:dyDescent="0.2">
      <c r="B67" s="1602"/>
      <c r="C67" s="518">
        <f>'Budget Tracker'!C69</f>
        <v>5070</v>
      </c>
      <c r="D67" s="1840"/>
      <c r="E67" s="765" t="str">
        <f>'Budget Tracker'!E69</f>
        <v>Committee/Staff Accoutrement and such</v>
      </c>
      <c r="F67" s="773">
        <f>'Budget Tracker'!F69</f>
        <v>0</v>
      </c>
      <c r="G67" s="1840"/>
      <c r="H67" s="1405">
        <f>'Budget Tracker'!$H69</f>
        <v>0</v>
      </c>
      <c r="I67" s="1405">
        <f>'Budget Tracker'!$I69</f>
        <v>0</v>
      </c>
      <c r="J67" s="1394"/>
      <c r="K67" s="1395"/>
    </row>
    <row r="68" spans="2:11" s="80" customFormat="1" ht="40.5" customHeight="1" x14ac:dyDescent="0.2">
      <c r="B68" s="1602"/>
      <c r="C68" s="518">
        <f>'Budget Tracker'!C70</f>
        <v>5080</v>
      </c>
      <c r="D68" s="1840"/>
      <c r="E68" s="765" t="str">
        <f>'Budget Tracker'!E70</f>
        <v>Recruiting &amp; Advertizing</v>
      </c>
      <c r="F68" s="773" t="str">
        <f>'Budget Tracker'!F70</f>
        <v>Public Relations, Image, Parents Handbook, Advertising,  Newspaper Ads, Open door, awards, etc.</v>
      </c>
      <c r="G68" s="1840"/>
      <c r="H68" s="1405">
        <f>'Budget Tracker'!$H70</f>
        <v>0</v>
      </c>
      <c r="I68" s="1405">
        <f>'Budget Tracker'!$I70</f>
        <v>0</v>
      </c>
      <c r="J68" s="1394"/>
      <c r="K68" s="1395"/>
    </row>
    <row r="69" spans="2:11" s="80" customFormat="1" ht="40.5" customHeight="1" x14ac:dyDescent="0.2">
      <c r="B69" s="1602"/>
      <c r="C69" s="518">
        <f>'Budget Tracker'!C71</f>
        <v>5090</v>
      </c>
      <c r="D69" s="1840"/>
      <c r="E69" s="765" t="str">
        <f>'Budget Tracker'!E71</f>
        <v>Annual Provinvial Committee Assessment</v>
      </c>
      <c r="F69" s="773" t="str">
        <f>'Budget Tracker'!F71</f>
        <v>Based on the quota as of 31 March of previous FY</v>
      </c>
      <c r="G69" s="1840"/>
      <c r="H69" s="1405">
        <f>'Budget Tracker'!$H71</f>
        <v>0</v>
      </c>
      <c r="I69" s="1405">
        <f>'Budget Tracker'!$I71</f>
        <v>0</v>
      </c>
      <c r="J69" s="1394"/>
      <c r="K69" s="1395"/>
    </row>
    <row r="70" spans="2:11" s="80" customFormat="1" ht="40.5" customHeight="1" x14ac:dyDescent="0.2">
      <c r="B70" s="1602"/>
      <c r="C70" s="518">
        <f>'Budget Tracker'!C72</f>
        <v>5100</v>
      </c>
      <c r="D70" s="1840"/>
      <c r="E70" s="765" t="str">
        <f>'Budget Tracker'!E72</f>
        <v>Air Group, Air Wing Dues and such</v>
      </c>
      <c r="F70" s="773" t="str">
        <f>'Budget Tracker'!F72</f>
        <v>Regional Assessment</v>
      </c>
      <c r="G70" s="1840"/>
      <c r="H70" s="1405">
        <f>'Budget Tracker'!$H72</f>
        <v>0</v>
      </c>
      <c r="I70" s="1405">
        <f>'Budget Tracker'!$I72</f>
        <v>0</v>
      </c>
      <c r="J70" s="1394"/>
      <c r="K70" s="1395"/>
    </row>
    <row r="71" spans="2:11" s="80" customFormat="1" ht="40.5" customHeight="1" x14ac:dyDescent="0.2">
      <c r="B71" s="1602"/>
      <c r="C71" s="518">
        <f>'Budget Tracker'!C73</f>
        <v>5110</v>
      </c>
      <c r="D71" s="1840"/>
      <c r="E71" s="765" t="str">
        <f>'Budget Tracker'!E73</f>
        <v>Financial &amp; Bank Charges</v>
      </c>
      <c r="F71" s="773" t="str">
        <f>'Budget Tracker'!F73</f>
        <v>Monthly Bank Fees, Cheques Printing, Investment Charges, Returned cheque fees</v>
      </c>
      <c r="G71" s="1840"/>
      <c r="H71" s="1405">
        <f>'Budget Tracker'!$H73</f>
        <v>0</v>
      </c>
      <c r="I71" s="1405">
        <f>'Budget Tracker'!$I73</f>
        <v>0</v>
      </c>
      <c r="J71" s="1394"/>
      <c r="K71" s="1395"/>
    </row>
    <row r="72" spans="2:11" s="80" customFormat="1" ht="40.5" customHeight="1" x14ac:dyDescent="0.2">
      <c r="B72" s="1602"/>
      <c r="C72" s="518">
        <f>'Budget Tracker'!C74</f>
        <v>5120</v>
      </c>
      <c r="D72" s="1840"/>
      <c r="E72" s="765" t="str">
        <f>'Budget Tracker'!E74</f>
        <v>Professional Fees</v>
      </c>
      <c r="F72" s="773" t="str">
        <f>'Budget Tracker'!F74</f>
        <v>Stamps. Reg'd Letter, Other Courriers</v>
      </c>
      <c r="G72" s="1840"/>
      <c r="H72" s="1405">
        <f>'Budget Tracker'!$H74</f>
        <v>0</v>
      </c>
      <c r="I72" s="1405">
        <f>'Budget Tracker'!$I74</f>
        <v>0</v>
      </c>
      <c r="J72" s="1394"/>
      <c r="K72" s="1395"/>
    </row>
    <row r="73" spans="2:11" s="80" customFormat="1" ht="40.5" customHeight="1" x14ac:dyDescent="0.2">
      <c r="B73" s="1602"/>
      <c r="C73" s="518">
        <f>'Budget Tracker'!C75</f>
        <v>5130</v>
      </c>
      <c r="D73" s="1840"/>
      <c r="E73" s="765" t="str">
        <f>'Budget Tracker'!E75</f>
        <v>Compensation for employee</v>
      </c>
      <c r="F73" s="773">
        <f>'Budget Tracker'!F75</f>
        <v>0</v>
      </c>
      <c r="G73" s="1840"/>
      <c r="H73" s="1405">
        <f>'Budget Tracker'!$H75</f>
        <v>0</v>
      </c>
      <c r="I73" s="1405">
        <f>'Budget Tracker'!$I75</f>
        <v>0</v>
      </c>
      <c r="J73" s="1394"/>
      <c r="K73" s="1395"/>
    </row>
    <row r="74" spans="2:11" s="80" customFormat="1" ht="40.5" customHeight="1" x14ac:dyDescent="0.2">
      <c r="B74" s="1602"/>
      <c r="C74" s="518">
        <f>'Budget Tracker'!C76</f>
        <v>5140</v>
      </c>
      <c r="D74" s="1840"/>
      <c r="E74" s="765" t="str">
        <f>'Budget Tracker'!E76</f>
        <v>Donations made to qualified donees</v>
      </c>
      <c r="F74" s="773">
        <f>'Budget Tracker'!F76</f>
        <v>0</v>
      </c>
      <c r="G74" s="1840"/>
      <c r="H74" s="1405">
        <f>'Budget Tracker'!$H76</f>
        <v>0</v>
      </c>
      <c r="I74" s="1405">
        <f>'Budget Tracker'!$I76</f>
        <v>0</v>
      </c>
      <c r="J74" s="1394"/>
      <c r="K74" s="1395"/>
    </row>
    <row r="75" spans="2:11" s="80" customFormat="1" ht="40.5" customHeight="1" x14ac:dyDescent="0.2">
      <c r="B75" s="1602"/>
      <c r="C75" s="518">
        <f>'Budget Tracker'!C77</f>
        <v>5150</v>
      </c>
      <c r="D75" s="1840"/>
      <c r="E75" s="765" t="str">
        <f>'Budget Tracker'!E77</f>
        <v>Postage &amp; Shipping Costs</v>
      </c>
      <c r="F75" s="773">
        <f>'Budget Tracker'!F77</f>
        <v>0</v>
      </c>
      <c r="G75" s="1840"/>
      <c r="H75" s="1405">
        <f>'Budget Tracker'!$H77</f>
        <v>0</v>
      </c>
      <c r="I75" s="1405">
        <f>'Budget Tracker'!$I77</f>
        <v>0</v>
      </c>
      <c r="J75" s="1394"/>
      <c r="K75" s="1395"/>
    </row>
    <row r="76" spans="2:11" s="80" customFormat="1" ht="40.5" customHeight="1" x14ac:dyDescent="0.2">
      <c r="B76" s="1602"/>
      <c r="C76" s="518">
        <f>'Budget Tracker'!C78</f>
        <v>5160</v>
      </c>
      <c r="D76" s="1840"/>
      <c r="E76" s="765" t="str">
        <f>'Budget Tracker'!E78</f>
        <v>Storage Rentals</v>
      </c>
      <c r="F76" s="773">
        <f>'Budget Tracker'!F78</f>
        <v>0</v>
      </c>
      <c r="G76" s="1840"/>
      <c r="H76" s="1405">
        <f>'Budget Tracker'!$H78</f>
        <v>0</v>
      </c>
      <c r="I76" s="1405">
        <f>'Budget Tracker'!$I78</f>
        <v>0</v>
      </c>
      <c r="J76" s="1394"/>
      <c r="K76" s="1395"/>
    </row>
    <row r="77" spans="2:11" s="80" customFormat="1" ht="40.5" customHeight="1" x14ac:dyDescent="0.2">
      <c r="B77" s="1602"/>
      <c r="C77" s="518">
        <f>'Budget Tracker'!C79</f>
        <v>5170</v>
      </c>
      <c r="D77" s="1840"/>
      <c r="E77" s="765" t="str">
        <f>'Budget Tracker'!E79</f>
        <v>Building &amp; Contents Insurance</v>
      </c>
      <c r="F77" s="773">
        <f>'Budget Tracker'!F79</f>
        <v>0</v>
      </c>
      <c r="G77" s="1840"/>
      <c r="H77" s="1405">
        <f>'Budget Tracker'!$H79</f>
        <v>0</v>
      </c>
      <c r="I77" s="1405">
        <f>'Budget Tracker'!$I79</f>
        <v>0</v>
      </c>
      <c r="J77" s="1394"/>
      <c r="K77" s="1395"/>
    </row>
    <row r="78" spans="2:11" s="80" customFormat="1" ht="40.5" customHeight="1" x14ac:dyDescent="0.2">
      <c r="B78" s="1602"/>
      <c r="C78" s="518">
        <f>'Budget Tracker'!C80</f>
        <v>5180</v>
      </c>
      <c r="D78" s="1840"/>
      <c r="E78" s="765" t="str">
        <f>'Budget Tracker'!E80</f>
        <v>Available (Rename)</v>
      </c>
      <c r="F78" s="773">
        <f>'Budget Tracker'!F80</f>
        <v>0</v>
      </c>
      <c r="G78" s="1840"/>
      <c r="H78" s="1405">
        <f>'Budget Tracker'!$H80</f>
        <v>0</v>
      </c>
      <c r="I78" s="1405">
        <f>'Budget Tracker'!$I80</f>
        <v>0</v>
      </c>
      <c r="J78" s="1394"/>
      <c r="K78" s="1395"/>
    </row>
    <row r="79" spans="2:11" s="80" customFormat="1" ht="40.5" customHeight="1" x14ac:dyDescent="0.2">
      <c r="B79" s="1602"/>
      <c r="C79" s="774">
        <f>'Budget Tracker'!C81</f>
        <v>5190</v>
      </c>
      <c r="D79" s="1840"/>
      <c r="E79" s="775" t="str">
        <f>'Budget Tracker'!E81</f>
        <v>Available (Rename)</v>
      </c>
      <c r="F79" s="769">
        <f>'Budget Tracker'!F81</f>
        <v>0</v>
      </c>
      <c r="G79" s="1840"/>
      <c r="H79" s="1406">
        <f>'Budget Tracker'!$H81</f>
        <v>0</v>
      </c>
      <c r="I79" s="1406">
        <f>'Budget Tracker'!$I81</f>
        <v>0</v>
      </c>
      <c r="J79" s="1400"/>
      <c r="K79" s="1401"/>
    </row>
    <row r="80" spans="2:11" s="80" customFormat="1" ht="40.5" customHeight="1" x14ac:dyDescent="0.2">
      <c r="B80" s="1846" t="str">
        <f>'Budget Tracker'!B82</f>
        <v>5300 - Squadron/Cadet Activities Expenses</v>
      </c>
      <c r="C80" s="1605">
        <f>'Budget Tracker'!C82</f>
        <v>5310</v>
      </c>
      <c r="D80" s="728"/>
      <c r="E80" s="729" t="str">
        <f>'Budget Tracker'!E82</f>
        <v>Field Training</v>
      </c>
      <c r="F80" s="742" t="str">
        <f>'Budget Tracker'!F82</f>
        <v>5210 TOTAL</v>
      </c>
      <c r="G80" s="742"/>
      <c r="H80" s="1387">
        <f>'Budget Tracker'!$H82</f>
        <v>0</v>
      </c>
      <c r="I80" s="1387">
        <f>'Budget Tracker'!$I82</f>
        <v>0</v>
      </c>
      <c r="J80" s="1388"/>
      <c r="K80" s="1389">
        <f>SUM(K81:K87)</f>
        <v>0</v>
      </c>
    </row>
    <row r="81" spans="2:11" s="80" customFormat="1" ht="40.5" customHeight="1" x14ac:dyDescent="0.2">
      <c r="B81" s="1846"/>
      <c r="C81" s="1605"/>
      <c r="D81" s="1390">
        <f>'Budget Tracker'!D83</f>
        <v>5310.1</v>
      </c>
      <c r="E81" s="1391" t="str">
        <f>'Budget Tracker'!E83</f>
        <v>FTX - Fall</v>
      </c>
      <c r="F81" s="1392">
        <f>'Budget Tracker'!F83</f>
        <v>0</v>
      </c>
      <c r="G81" s="1393">
        <f>'Budget Tracker'!$G83</f>
        <v>0</v>
      </c>
      <c r="H81" s="1842"/>
      <c r="I81" s="1393">
        <f>'Budget Tracker'!$I83</f>
        <v>0</v>
      </c>
      <c r="J81" s="1394"/>
      <c r="K81" s="1395"/>
    </row>
    <row r="82" spans="2:11" s="80" customFormat="1" ht="40.5" customHeight="1" x14ac:dyDescent="0.2">
      <c r="B82" s="1846"/>
      <c r="C82" s="1605"/>
      <c r="D82" s="1390">
        <f>'Budget Tracker'!D84</f>
        <v>5310.2</v>
      </c>
      <c r="E82" s="1391" t="str">
        <f>'Budget Tracker'!E84</f>
        <v>FTX - Spring</v>
      </c>
      <c r="F82" s="1392">
        <f>'Budget Tracker'!F84</f>
        <v>0</v>
      </c>
      <c r="G82" s="1393">
        <f>'Budget Tracker'!$G84</f>
        <v>0</v>
      </c>
      <c r="H82" s="1842"/>
      <c r="I82" s="1393">
        <f>'Budget Tracker'!$I84</f>
        <v>0</v>
      </c>
      <c r="J82" s="1394"/>
      <c r="K82" s="1395"/>
    </row>
    <row r="83" spans="2:11" s="80" customFormat="1" ht="40.5" customHeight="1" x14ac:dyDescent="0.2">
      <c r="B83" s="1846"/>
      <c r="C83" s="1605"/>
      <c r="D83" s="1390">
        <f>'Budget Tracker'!D85</f>
        <v>5310.3</v>
      </c>
      <c r="E83" s="1391" t="str">
        <f>'Budget Tracker'!E85</f>
        <v>Jr NCM Course</v>
      </c>
      <c r="F83" s="1392">
        <f>'Budget Tracker'!F85</f>
        <v>0</v>
      </c>
      <c r="G83" s="1393">
        <f>'Budget Tracker'!$G85</f>
        <v>0</v>
      </c>
      <c r="H83" s="1842"/>
      <c r="I83" s="1393">
        <f>'Budget Tracker'!$I85</f>
        <v>0</v>
      </c>
      <c r="J83" s="1394"/>
      <c r="K83" s="1395"/>
    </row>
    <row r="84" spans="2:11" s="80" customFormat="1" ht="40.5" customHeight="1" x14ac:dyDescent="0.2">
      <c r="B84" s="1846"/>
      <c r="C84" s="1605"/>
      <c r="D84" s="1390">
        <f>'Budget Tracker'!D86</f>
        <v>5310.4</v>
      </c>
      <c r="E84" s="1391" t="str">
        <f>'Budget Tracker'!E86</f>
        <v>Sr NCM Course</v>
      </c>
      <c r="F84" s="1392">
        <f>'Budget Tracker'!F86</f>
        <v>0</v>
      </c>
      <c r="G84" s="1393">
        <f>'Budget Tracker'!$G86</f>
        <v>0</v>
      </c>
      <c r="H84" s="1842"/>
      <c r="I84" s="1393">
        <f>'Budget Tracker'!$I86</f>
        <v>0</v>
      </c>
      <c r="J84" s="1394"/>
      <c r="K84" s="1395"/>
    </row>
    <row r="85" spans="2:11" s="80" customFormat="1" ht="40.5" customHeight="1" x14ac:dyDescent="0.2">
      <c r="B85" s="1846"/>
      <c r="C85" s="1605"/>
      <c r="D85" s="1390">
        <f>'Budget Tracker'!D87</f>
        <v>5310.5</v>
      </c>
      <c r="E85" s="1391" t="str">
        <f>'Budget Tracker'!E87</f>
        <v>Level 1 - Boot Campt</v>
      </c>
      <c r="F85" s="1392">
        <f>'Budget Tracker'!F87</f>
        <v>0</v>
      </c>
      <c r="G85" s="1393">
        <f>'Budget Tracker'!$G87</f>
        <v>0</v>
      </c>
      <c r="H85" s="1842"/>
      <c r="I85" s="1393">
        <f>'Budget Tracker'!$I87</f>
        <v>0</v>
      </c>
      <c r="J85" s="1394"/>
      <c r="K85" s="1395"/>
    </row>
    <row r="86" spans="2:11" s="80" customFormat="1" ht="40.5" customHeight="1" x14ac:dyDescent="0.2">
      <c r="B86" s="1846"/>
      <c r="C86" s="1605"/>
      <c r="D86" s="1390">
        <f>'Budget Tracker'!D88</f>
        <v>5310.6</v>
      </c>
      <c r="E86" s="1391" t="str">
        <f>'Budget Tracker'!E88</f>
        <v>Level 5 Workshop</v>
      </c>
      <c r="F86" s="1392">
        <f>'Budget Tracker'!F88</f>
        <v>0</v>
      </c>
      <c r="G86" s="1393">
        <f>'Budget Tracker'!$G88</f>
        <v>0</v>
      </c>
      <c r="H86" s="1842"/>
      <c r="I86" s="1393">
        <f>'Budget Tracker'!$I88</f>
        <v>0</v>
      </c>
      <c r="J86" s="1394"/>
      <c r="K86" s="1395"/>
    </row>
    <row r="87" spans="2:11" s="80" customFormat="1" ht="40.5" customHeight="1" x14ac:dyDescent="0.2">
      <c r="B87" s="1846"/>
      <c r="C87" s="1605"/>
      <c r="D87" s="1396">
        <f>'Budget Tracker'!D89</f>
        <v>5310.7</v>
      </c>
      <c r="E87" s="1397" t="str">
        <f>'Budget Tracker'!E89</f>
        <v>Available (Rename)</v>
      </c>
      <c r="F87" s="1398">
        <f>'Budget Tracker'!F89</f>
        <v>0</v>
      </c>
      <c r="G87" s="1399">
        <f>'Budget Tracker'!$G89</f>
        <v>0</v>
      </c>
      <c r="H87" s="1842"/>
      <c r="I87" s="1399">
        <f>'Budget Tracker'!$I89</f>
        <v>0</v>
      </c>
      <c r="J87" s="1400"/>
      <c r="K87" s="1401"/>
    </row>
    <row r="88" spans="2:11" s="80" customFormat="1" ht="40.5" customHeight="1" x14ac:dyDescent="0.2">
      <c r="B88" s="1846"/>
      <c r="C88" s="759">
        <f>'Budget Tracker'!C90</f>
        <v>5320</v>
      </c>
      <c r="D88" s="1411"/>
      <c r="E88" s="760" t="str">
        <f>'Budget Tracker'!E90</f>
        <v>Band Equip., Accessories, Maint. &amp; Music Pgm</v>
      </c>
      <c r="F88" s="797">
        <f>'Budget Tracker'!F90</f>
        <v>0</v>
      </c>
      <c r="G88" s="1412"/>
      <c r="H88" s="1402">
        <f>'Budget Tracker'!H90</f>
        <v>0</v>
      </c>
      <c r="I88" s="1402">
        <f>'Budget Tracker'!I90</f>
        <v>0</v>
      </c>
      <c r="J88" s="1403"/>
      <c r="K88" s="1404"/>
    </row>
    <row r="89" spans="2:11" s="80" customFormat="1" ht="40.5" customHeight="1" x14ac:dyDescent="0.2">
      <c r="B89" s="1846"/>
      <c r="C89" s="518">
        <f>'Budget Tracker'!C91</f>
        <v>5330</v>
      </c>
      <c r="D89" s="1413"/>
      <c r="E89" s="765" t="str">
        <f>'Budget Tracker'!E91</f>
        <v>Sports &amp; Phys Ed Related Activities</v>
      </c>
      <c r="F89" s="773">
        <f>'Budget Tracker'!F91</f>
        <v>0</v>
      </c>
      <c r="G89" s="1412"/>
      <c r="H89" s="1405">
        <f>'Budget Tracker'!H91</f>
        <v>0</v>
      </c>
      <c r="I89" s="1405">
        <f>'Budget Tracker'!I91</f>
        <v>0</v>
      </c>
      <c r="J89" s="1394"/>
      <c r="K89" s="1395"/>
    </row>
    <row r="90" spans="2:11" s="80" customFormat="1" ht="40.5" customHeight="1" x14ac:dyDescent="0.2">
      <c r="B90" s="1846"/>
      <c r="C90" s="518">
        <f>'Budget Tracker'!C92</f>
        <v>5340</v>
      </c>
      <c r="D90" s="1413"/>
      <c r="E90" s="765" t="str">
        <f>'Budget Tracker'!E92</f>
        <v>Flying and Gliding related outlays</v>
      </c>
      <c r="F90" s="773">
        <f>'Budget Tracker'!F92</f>
        <v>0</v>
      </c>
      <c r="G90" s="1412"/>
      <c r="H90" s="1405">
        <f>'Budget Tracker'!H92</f>
        <v>0</v>
      </c>
      <c r="I90" s="1405">
        <f>'Budget Tracker'!I92</f>
        <v>0</v>
      </c>
      <c r="J90" s="1394"/>
      <c r="K90" s="1395"/>
    </row>
    <row r="91" spans="2:11" s="80" customFormat="1" ht="40.5" customHeight="1" x14ac:dyDescent="0.2">
      <c r="B91" s="1846"/>
      <c r="C91" s="518">
        <f>'Budget Tracker'!C93</f>
        <v>5350</v>
      </c>
      <c r="D91" s="1413"/>
      <c r="E91" s="765" t="str">
        <f>'Budget Tracker'!E93</f>
        <v>Training Equipment, Manuals &amp;  Durable Supplies</v>
      </c>
      <c r="F91" s="773">
        <f>'Budget Tracker'!F93</f>
        <v>0</v>
      </c>
      <c r="G91" s="1412"/>
      <c r="H91" s="1405">
        <f>'Budget Tracker'!H93</f>
        <v>0</v>
      </c>
      <c r="I91" s="1405">
        <f>'Budget Tracker'!I93</f>
        <v>0</v>
      </c>
      <c r="J91" s="1394"/>
      <c r="K91" s="1395"/>
    </row>
    <row r="92" spans="2:11" s="80" customFormat="1" ht="40.5" customHeight="1" x14ac:dyDescent="0.2">
      <c r="B92" s="1846"/>
      <c r="C92" s="518">
        <f>'Budget Tracker'!C94</f>
        <v>5360</v>
      </c>
      <c r="D92" s="1413"/>
      <c r="E92" s="765" t="str">
        <f>'Budget Tracker'!E94</f>
        <v>Other Non-DND Supported Trg/Activities Outlays</v>
      </c>
      <c r="F92" s="773">
        <f>'Budget Tracker'!F94</f>
        <v>0</v>
      </c>
      <c r="G92" s="1412"/>
      <c r="H92" s="1405">
        <f>'Budget Tracker'!H94</f>
        <v>0</v>
      </c>
      <c r="I92" s="1405">
        <f>'Budget Tracker'!I94</f>
        <v>0</v>
      </c>
      <c r="J92" s="1394"/>
      <c r="K92" s="1395"/>
    </row>
    <row r="93" spans="2:11" s="80" customFormat="1" ht="40.5" customHeight="1" x14ac:dyDescent="0.2">
      <c r="B93" s="1846"/>
      <c r="C93" s="518">
        <f>'Budget Tracker'!C95</f>
        <v>5370</v>
      </c>
      <c r="D93" s="1413"/>
      <c r="E93" s="765" t="str">
        <f>'Budget Tracker'!E95</f>
        <v>Sqn Level Insurance</v>
      </c>
      <c r="F93" s="773" t="str">
        <f>'Budget Tracker'!F95</f>
        <v>Insurance for SSC Material (through League)</v>
      </c>
      <c r="G93" s="1412"/>
      <c r="H93" s="1405">
        <f>'Budget Tracker'!H95</f>
        <v>0</v>
      </c>
      <c r="I93" s="1405">
        <f>'Budget Tracker'!I95</f>
        <v>0</v>
      </c>
      <c r="J93" s="1394"/>
      <c r="K93" s="1395"/>
    </row>
    <row r="94" spans="2:11" s="80" customFormat="1" ht="40.5" customHeight="1" x14ac:dyDescent="0.2">
      <c r="B94" s="1846"/>
      <c r="C94" s="518">
        <f>'Budget Tracker'!C96</f>
        <v>5380</v>
      </c>
      <c r="D94" s="1413"/>
      <c r="E94" s="765" t="str">
        <f>'Budget Tracker'!E96</f>
        <v>Volunteer Reg &amp; Screening Costs</v>
      </c>
      <c r="F94" s="773">
        <f>'Budget Tracker'!F96</f>
        <v>0</v>
      </c>
      <c r="G94" s="1412"/>
      <c r="H94" s="1405">
        <f>'Budget Tracker'!H96</f>
        <v>0</v>
      </c>
      <c r="I94" s="1405">
        <f>'Budget Tracker'!I96</f>
        <v>0</v>
      </c>
      <c r="J94" s="1394"/>
      <c r="K94" s="1395"/>
    </row>
    <row r="95" spans="2:11" s="80" customFormat="1" ht="40.5" customHeight="1" x14ac:dyDescent="0.2">
      <c r="B95" s="1846"/>
      <c r="C95" s="518">
        <f>'Budget Tracker'!C97</f>
        <v>5390</v>
      </c>
      <c r="D95" s="1413"/>
      <c r="E95" s="765" t="str">
        <f>'Budget Tracker'!E97</f>
        <v>Honours &amp; Awards</v>
      </c>
      <c r="F95" s="773">
        <f>'Budget Tracker'!F97</f>
        <v>0</v>
      </c>
      <c r="G95" s="1412"/>
      <c r="H95" s="1405">
        <f>'Budget Tracker'!H97</f>
        <v>0</v>
      </c>
      <c r="I95" s="1405">
        <f>'Budget Tracker'!I97</f>
        <v>0</v>
      </c>
      <c r="J95" s="1394"/>
      <c r="K95" s="1395"/>
    </row>
    <row r="96" spans="2:11" s="80" customFormat="1" ht="40.5" customHeight="1" x14ac:dyDescent="0.2">
      <c r="B96" s="1846"/>
      <c r="C96" s="734">
        <f>'Budget Tracker'!C98</f>
        <v>5400</v>
      </c>
      <c r="D96" s="1414"/>
      <c r="E96" s="735" t="str">
        <f>'Budget Tracker'!E98</f>
        <v>Annual Ceremonial Review</v>
      </c>
      <c r="F96" s="736">
        <f>'Budget Tracker'!F98</f>
        <v>0</v>
      </c>
      <c r="G96" s="1412"/>
      <c r="H96" s="1383">
        <f>'Budget Tracker'!H98</f>
        <v>0</v>
      </c>
      <c r="I96" s="1383">
        <f>'Budget Tracker'!I98</f>
        <v>0</v>
      </c>
      <c r="J96" s="1384"/>
      <c r="K96" s="1385"/>
    </row>
    <row r="97" spans="2:11" s="80" customFormat="1" ht="40.5" customHeight="1" x14ac:dyDescent="0.2">
      <c r="B97" s="1847" t="str">
        <f>'Budget Tracker'!B82</f>
        <v>5300 - Squadron/Cadet Activities Expenses</v>
      </c>
      <c r="C97" s="1605">
        <f>'Budget Tracker'!C99</f>
        <v>5410</v>
      </c>
      <c r="D97" s="1386"/>
      <c r="E97" s="729" t="str">
        <f>'Budget Tracker'!E99</f>
        <v>Cadet Banquets and Special Events</v>
      </c>
      <c r="F97" s="771">
        <f>'Budget Tracker'!F99</f>
        <v>0</v>
      </c>
      <c r="G97" s="1415"/>
      <c r="H97" s="1387">
        <f>'Budget Tracker'!H99</f>
        <v>0</v>
      </c>
      <c r="I97" s="1387">
        <f>'Budget Tracker'!I99</f>
        <v>0</v>
      </c>
      <c r="J97" s="1416"/>
      <c r="K97" s="1389">
        <f>SUM(K98:K104)</f>
        <v>0</v>
      </c>
    </row>
    <row r="98" spans="2:11" s="80" customFormat="1" ht="40.5" customHeight="1" x14ac:dyDescent="0.2">
      <c r="B98" s="1847"/>
      <c r="C98" s="1605"/>
      <c r="D98" s="1390">
        <f>'Budget Tracker'!D100</f>
        <v>5410.1</v>
      </c>
      <c r="E98" s="1391" t="str">
        <f>'Budget Tracker'!E100</f>
        <v>Remembrance Day</v>
      </c>
      <c r="F98" s="1392">
        <f>'Budget Tracker'!F100</f>
        <v>0</v>
      </c>
      <c r="G98" s="1393">
        <f>'Budget Tracker'!$G100</f>
        <v>0</v>
      </c>
      <c r="H98" s="1848"/>
      <c r="I98" s="1393">
        <f>'Budget Tracker'!$I100</f>
        <v>0</v>
      </c>
      <c r="J98" s="1394"/>
      <c r="K98" s="1395"/>
    </row>
    <row r="99" spans="2:11" s="80" customFormat="1" ht="40.5" customHeight="1" x14ac:dyDescent="0.2">
      <c r="B99" s="1847"/>
      <c r="C99" s="1605"/>
      <c r="D99" s="1390">
        <f>'Budget Tracker'!D101</f>
        <v>5410.2</v>
      </c>
      <c r="E99" s="1391" t="str">
        <f>'Budget Tracker'!E101</f>
        <v>Mess Dinner</v>
      </c>
      <c r="F99" s="1392">
        <f>'Budget Tracker'!F101</f>
        <v>0</v>
      </c>
      <c r="G99" s="1393">
        <f>'Budget Tracker'!$G101</f>
        <v>0</v>
      </c>
      <c r="H99" s="1848"/>
      <c r="I99" s="1393">
        <f>'Budget Tracker'!$I101</f>
        <v>0</v>
      </c>
      <c r="J99" s="1394"/>
      <c r="K99" s="1395"/>
    </row>
    <row r="100" spans="2:11" s="80" customFormat="1" ht="40.5" customHeight="1" x14ac:dyDescent="0.2">
      <c r="B100" s="1847"/>
      <c r="C100" s="1605"/>
      <c r="D100" s="1390">
        <f>'Budget Tracker'!D102</f>
        <v>5410.3</v>
      </c>
      <c r="E100" s="1391" t="str">
        <f>'Budget Tracker'!E102</f>
        <v>Halloween</v>
      </c>
      <c r="F100" s="1392">
        <f>'Budget Tracker'!F102</f>
        <v>0</v>
      </c>
      <c r="G100" s="1393">
        <f>'Budget Tracker'!$G102</f>
        <v>0</v>
      </c>
      <c r="H100" s="1848"/>
      <c r="I100" s="1393">
        <f>'Budget Tracker'!$I102</f>
        <v>0</v>
      </c>
      <c r="J100" s="1394"/>
      <c r="K100" s="1395"/>
    </row>
    <row r="101" spans="2:11" s="80" customFormat="1" ht="40.5" customHeight="1" x14ac:dyDescent="0.2">
      <c r="B101" s="1847"/>
      <c r="C101" s="1605"/>
      <c r="D101" s="1390">
        <f>'Budget Tracker'!D103</f>
        <v>5410.4</v>
      </c>
      <c r="E101" s="1391" t="str">
        <f>'Budget Tracker'!E103</f>
        <v>Christmas</v>
      </c>
      <c r="F101" s="1392">
        <f>'Budget Tracker'!F103</f>
        <v>0</v>
      </c>
      <c r="G101" s="1393">
        <f>'Budget Tracker'!$G103</f>
        <v>0</v>
      </c>
      <c r="H101" s="1848"/>
      <c r="I101" s="1393">
        <f>'Budget Tracker'!$I103</f>
        <v>0</v>
      </c>
      <c r="J101" s="1394"/>
      <c r="K101" s="1395"/>
    </row>
    <row r="102" spans="2:11" s="80" customFormat="1" ht="40.5" customHeight="1" x14ac:dyDescent="0.2">
      <c r="B102" s="1847"/>
      <c r="C102" s="1605"/>
      <c r="D102" s="1390">
        <f>'Budget Tracker'!D104</f>
        <v>5410.5</v>
      </c>
      <c r="E102" s="1391" t="str">
        <f>'Budget Tracker'!E104</f>
        <v>Year-End Activity</v>
      </c>
      <c r="F102" s="1392">
        <f>'Budget Tracker'!F104</f>
        <v>0</v>
      </c>
      <c r="G102" s="1393">
        <f>'Budget Tracker'!$G104</f>
        <v>0</v>
      </c>
      <c r="H102" s="1848"/>
      <c r="I102" s="1393">
        <f>'Budget Tracker'!$I104</f>
        <v>0</v>
      </c>
      <c r="J102" s="1394"/>
      <c r="K102" s="1395"/>
    </row>
    <row r="103" spans="2:11" s="80" customFormat="1" ht="40.5" customHeight="1" x14ac:dyDescent="0.2">
      <c r="B103" s="1847"/>
      <c r="C103" s="1605"/>
      <c r="D103" s="1390">
        <f>'Budget Tracker'!D105</f>
        <v>5410.6</v>
      </c>
      <c r="E103" s="1391" t="str">
        <f>'Budget Tracker'!E105</f>
        <v>Available (Rename)</v>
      </c>
      <c r="F103" s="1392">
        <f>'Budget Tracker'!F105</f>
        <v>0</v>
      </c>
      <c r="G103" s="1393">
        <f>'Budget Tracker'!$G105</f>
        <v>0</v>
      </c>
      <c r="H103" s="1848"/>
      <c r="I103" s="1393">
        <f>'Budget Tracker'!$I105</f>
        <v>0</v>
      </c>
      <c r="J103" s="1394"/>
      <c r="K103" s="1395"/>
    </row>
    <row r="104" spans="2:11" s="80" customFormat="1" ht="40.5" customHeight="1" x14ac:dyDescent="0.2">
      <c r="B104" s="1847"/>
      <c r="C104" s="1605"/>
      <c r="D104" s="1396">
        <f>'Budget Tracker'!D106</f>
        <v>5410.7</v>
      </c>
      <c r="E104" s="1397" t="str">
        <f>'Budget Tracker'!E106</f>
        <v>Available (Rename)</v>
      </c>
      <c r="F104" s="1398" t="str">
        <f>'Budget Tracker'!F106</f>
        <v>4 x Activities</v>
      </c>
      <c r="G104" s="1399">
        <f>'Budget Tracker'!$G106</f>
        <v>0</v>
      </c>
      <c r="H104" s="1848"/>
      <c r="I104" s="1399">
        <f>'Budget Tracker'!$I106</f>
        <v>0</v>
      </c>
      <c r="J104" s="1400"/>
      <c r="K104" s="1401"/>
    </row>
    <row r="105" spans="2:11" s="80" customFormat="1" ht="40.5" customHeight="1" x14ac:dyDescent="0.2">
      <c r="B105" s="1847"/>
      <c r="C105" s="759">
        <f>'Budget Tracker'!C107</f>
        <v>5420</v>
      </c>
      <c r="D105" s="1843"/>
      <c r="E105" s="760" t="str">
        <f>'Budget Tracker'!E107</f>
        <v>Cadet &amp; Ceremonial Accoutrements</v>
      </c>
      <c r="F105" s="797">
        <f>'Budget Tracker'!F107</f>
        <v>0</v>
      </c>
      <c r="G105" s="1843"/>
      <c r="H105" s="1402">
        <f>'Budget Tracker'!$H107</f>
        <v>0</v>
      </c>
      <c r="I105" s="1402">
        <f>'Budget Tracker'!$I107</f>
        <v>0</v>
      </c>
      <c r="J105" s="1403"/>
      <c r="K105" s="1404"/>
    </row>
    <row r="106" spans="2:11" s="80" customFormat="1" ht="40.5" customHeight="1" x14ac:dyDescent="0.2">
      <c r="B106" s="1847"/>
      <c r="C106" s="518">
        <f>'Budget Tracker'!C108</f>
        <v>5430</v>
      </c>
      <c r="D106" s="1843"/>
      <c r="E106" s="765" t="str">
        <f>'Budget Tracker'!E108</f>
        <v>Bursaries</v>
      </c>
      <c r="F106" s="773">
        <f>'Budget Tracker'!F108</f>
        <v>0</v>
      </c>
      <c r="G106" s="1843"/>
      <c r="H106" s="1405">
        <f>'Budget Tracker'!$H108</f>
        <v>0</v>
      </c>
      <c r="I106" s="1405">
        <f>'Budget Tracker'!$I108</f>
        <v>0</v>
      </c>
      <c r="J106" s="1394"/>
      <c r="K106" s="1395"/>
    </row>
    <row r="107" spans="2:11" s="80" customFormat="1" ht="40.5" customHeight="1" x14ac:dyDescent="0.2">
      <c r="B107" s="1847"/>
      <c r="C107" s="518">
        <f>'Budget Tracker'!C109</f>
        <v>5440</v>
      </c>
      <c r="D107" s="1843"/>
      <c r="E107" s="765" t="str">
        <f>'Budget Tracker'!E109</f>
        <v>Ground School</v>
      </c>
      <c r="F107" s="773">
        <f>'Budget Tracker'!F109</f>
        <v>0</v>
      </c>
      <c r="G107" s="1843"/>
      <c r="H107" s="1405">
        <f>'Budget Tracker'!$H109</f>
        <v>0</v>
      </c>
      <c r="I107" s="1405">
        <f>'Budget Tracker'!$I109</f>
        <v>0</v>
      </c>
      <c r="J107" s="1394"/>
      <c r="K107" s="1395"/>
    </row>
    <row r="108" spans="2:11" s="80" customFormat="1" ht="40.5" customHeight="1" x14ac:dyDescent="0.2">
      <c r="B108" s="1847"/>
      <c r="C108" s="518">
        <f>'Budget Tracker'!C110</f>
        <v>5450</v>
      </c>
      <c r="D108" s="1843"/>
      <c r="E108" s="765" t="str">
        <f>'Budget Tracker'!E110</f>
        <v>Available (Rename)</v>
      </c>
      <c r="F108" s="1417">
        <f>'Budget Tracker'!F110</f>
        <v>0</v>
      </c>
      <c r="G108" s="1843"/>
      <c r="H108" s="1405">
        <f>'Budget Tracker'!$H110</f>
        <v>0</v>
      </c>
      <c r="I108" s="1405">
        <f>'Budget Tracker'!$I110</f>
        <v>0</v>
      </c>
      <c r="J108" s="1394"/>
      <c r="K108" s="1395"/>
    </row>
    <row r="109" spans="2:11" s="80" customFormat="1" ht="40.5" customHeight="1" x14ac:dyDescent="0.2">
      <c r="B109" s="1847"/>
      <c r="C109" s="518">
        <f>'Budget Tracker'!C111</f>
        <v>5460</v>
      </c>
      <c r="D109" s="1843"/>
      <c r="E109" s="765" t="str">
        <f>'Budget Tracker'!E111</f>
        <v>Available (Rename)</v>
      </c>
      <c r="F109" s="1417">
        <f>'Budget Tracker'!F111</f>
        <v>0</v>
      </c>
      <c r="G109" s="1843"/>
      <c r="H109" s="1405">
        <f>'Budget Tracker'!$H111</f>
        <v>0</v>
      </c>
      <c r="I109" s="1405">
        <f>'Budget Tracker'!$I111</f>
        <v>0</v>
      </c>
      <c r="J109" s="1394"/>
      <c r="K109" s="1395"/>
    </row>
    <row r="110" spans="2:11" s="80" customFormat="1" ht="40.5" customHeight="1" x14ac:dyDescent="0.2">
      <c r="B110" s="1847"/>
      <c r="C110" s="518">
        <f>'Budget Tracker'!C112</f>
        <v>5470</v>
      </c>
      <c r="D110" s="1843"/>
      <c r="E110" s="789" t="str">
        <f>'Budget Tracker'!E112</f>
        <v>Available (Rename)</v>
      </c>
      <c r="F110" s="773">
        <f>'Budget Tracker'!F112</f>
        <v>0</v>
      </c>
      <c r="G110" s="1843"/>
      <c r="H110" s="1405">
        <f>'Budget Tracker'!$H112</f>
        <v>0</v>
      </c>
      <c r="I110" s="1418">
        <f>'Budget Tracker'!$I112</f>
        <v>0</v>
      </c>
      <c r="J110" s="1394"/>
      <c r="K110" s="1395"/>
    </row>
    <row r="111" spans="2:11" s="80" customFormat="1" ht="40.5" customHeight="1" x14ac:dyDescent="0.2">
      <c r="B111" s="1847"/>
      <c r="C111" s="518">
        <f>'Budget Tracker'!C113</f>
        <v>5480</v>
      </c>
      <c r="D111" s="1843"/>
      <c r="E111" s="789" t="str">
        <f>'Budget Tracker'!E113</f>
        <v>Available (Rename)</v>
      </c>
      <c r="F111" s="773">
        <f>'Budget Tracker'!F113</f>
        <v>0</v>
      </c>
      <c r="G111" s="1843"/>
      <c r="H111" s="1405">
        <f>'Budget Tracker'!$I113</f>
        <v>0</v>
      </c>
      <c r="I111" s="1418">
        <f>'Budget Tracker'!$I113</f>
        <v>0</v>
      </c>
      <c r="J111" s="1394"/>
      <c r="K111" s="1395"/>
    </row>
    <row r="112" spans="2:11" s="80" customFormat="1" ht="40.5" customHeight="1" x14ac:dyDescent="0.2">
      <c r="B112" s="1847"/>
      <c r="C112" s="774">
        <f>'Budget Tracker'!C114</f>
        <v>5490</v>
      </c>
      <c r="D112" s="1843"/>
      <c r="E112" s="1419" t="str">
        <f>'Budget Tracker'!E114</f>
        <v>Available (Rename)</v>
      </c>
      <c r="F112" s="769">
        <f>'Budget Tracker'!F114</f>
        <v>0</v>
      </c>
      <c r="G112" s="1843"/>
      <c r="H112" s="1406">
        <f>'Budget Tracker'!$I114</f>
        <v>0</v>
      </c>
      <c r="I112" s="1420">
        <f>'Budget Tracker'!$I114</f>
        <v>0</v>
      </c>
      <c r="J112" s="1400"/>
      <c r="K112" s="1401"/>
    </row>
    <row r="113" spans="2:11" s="80" customFormat="1" ht="40.5" customHeight="1" x14ac:dyDescent="0.2">
      <c r="B113" s="1602" t="str">
        <f>'Budget Tracker'!B115</f>
        <v>5500 - Expenses - Gaming &amp; Lotteries Fundraising</v>
      </c>
      <c r="C113" s="1421">
        <f>'Budget Tracker'!C115</f>
        <v>5510</v>
      </c>
      <c r="D113" s="1840"/>
      <c r="E113" s="1422" t="str">
        <f>'Budget Tracker'!E115</f>
        <v>Sqn Lottery/Raffle</v>
      </c>
      <c r="F113" s="771">
        <f>'Budget Tracker'!F115</f>
        <v>0</v>
      </c>
      <c r="G113" s="1840"/>
      <c r="H113" s="1380">
        <f>'Budget Tracker'!$I115</f>
        <v>0</v>
      </c>
      <c r="I113" s="1423">
        <f>'Budget Tracker'!$I115</f>
        <v>0</v>
      </c>
      <c r="J113" s="1381"/>
      <c r="K113" s="1382"/>
    </row>
    <row r="114" spans="2:11" s="80" customFormat="1" ht="40.5" customHeight="1" x14ac:dyDescent="0.2">
      <c r="B114" s="1602"/>
      <c r="C114" s="1421">
        <f>'Budget Tracker'!C116</f>
        <v>5520</v>
      </c>
      <c r="D114" s="1840"/>
      <c r="E114" s="789" t="str">
        <f>'Budget Tracker'!E116</f>
        <v>Available (Rename)</v>
      </c>
      <c r="F114" s="773">
        <f>'Budget Tracker'!F116</f>
        <v>0</v>
      </c>
      <c r="G114" s="1840"/>
      <c r="H114" s="1405">
        <f>'Budget Tracker'!$I116</f>
        <v>0</v>
      </c>
      <c r="I114" s="1418">
        <f>'Budget Tracker'!$I116</f>
        <v>0</v>
      </c>
      <c r="J114" s="1394"/>
      <c r="K114" s="1395"/>
    </row>
    <row r="115" spans="2:11" s="80" customFormat="1" ht="40.5" customHeight="1" x14ac:dyDescent="0.2">
      <c r="B115" s="1602"/>
      <c r="C115" s="1421">
        <f>'Budget Tracker'!C117</f>
        <v>5530</v>
      </c>
      <c r="D115" s="1840"/>
      <c r="E115" s="789" t="str">
        <f>'Budget Tracker'!E117</f>
        <v>Available (Rename)</v>
      </c>
      <c r="F115" s="773">
        <f>'Budget Tracker'!F117</f>
        <v>0</v>
      </c>
      <c r="G115" s="1840"/>
      <c r="H115" s="1405">
        <f>'Budget Tracker'!$I117</f>
        <v>0</v>
      </c>
      <c r="I115" s="1418">
        <f>'Budget Tracker'!$I117</f>
        <v>0</v>
      </c>
      <c r="J115" s="1394"/>
      <c r="K115" s="1395"/>
    </row>
    <row r="116" spans="2:11" s="80" customFormat="1" ht="40.5" customHeight="1" x14ac:dyDescent="0.2">
      <c r="B116" s="1602"/>
      <c r="C116" s="1421">
        <f>'Budget Tracker'!C118</f>
        <v>5540</v>
      </c>
      <c r="D116" s="1840"/>
      <c r="E116" s="789" t="str">
        <f>'Budget Tracker'!E118</f>
        <v>Available (Rename)</v>
      </c>
      <c r="F116" s="773">
        <f>'Budget Tracker'!F118</f>
        <v>0</v>
      </c>
      <c r="G116" s="1840"/>
      <c r="H116" s="1405">
        <f>'Budget Tracker'!$I118</f>
        <v>0</v>
      </c>
      <c r="I116" s="1418">
        <f>'Budget Tracker'!$I118</f>
        <v>0</v>
      </c>
      <c r="J116" s="1394"/>
      <c r="K116" s="1395"/>
    </row>
    <row r="117" spans="2:11" s="80" customFormat="1" ht="40.5" customHeight="1" x14ac:dyDescent="0.2">
      <c r="B117" s="1602"/>
      <c r="C117" s="1421">
        <f>'Budget Tracker'!C119</f>
        <v>5550</v>
      </c>
      <c r="D117" s="1840"/>
      <c r="E117" s="789" t="str">
        <f>'Budget Tracker'!E119</f>
        <v>Available (Rename)</v>
      </c>
      <c r="F117" s="773">
        <f>'Budget Tracker'!F119</f>
        <v>0</v>
      </c>
      <c r="G117" s="1840"/>
      <c r="H117" s="1405">
        <f>'Budget Tracker'!$I119</f>
        <v>0</v>
      </c>
      <c r="I117" s="1418">
        <f>'Budget Tracker'!$I119</f>
        <v>0</v>
      </c>
      <c r="J117" s="1394"/>
      <c r="K117" s="1395"/>
    </row>
    <row r="118" spans="2:11" s="80" customFormat="1" ht="40.5" customHeight="1" x14ac:dyDescent="0.2">
      <c r="B118" s="1602"/>
      <c r="C118" s="1421">
        <f>'Budget Tracker'!C120</f>
        <v>5560</v>
      </c>
      <c r="D118" s="1840"/>
      <c r="E118" s="789" t="str">
        <f>'Budget Tracker'!E120</f>
        <v>Available (Rename)</v>
      </c>
      <c r="F118" s="773">
        <f>'Budget Tracker'!F120</f>
        <v>0</v>
      </c>
      <c r="G118" s="1840"/>
      <c r="H118" s="1405">
        <f>'Budget Tracker'!$I120</f>
        <v>0</v>
      </c>
      <c r="I118" s="1418">
        <f>'Budget Tracker'!$I120</f>
        <v>0</v>
      </c>
      <c r="J118" s="1394"/>
      <c r="K118" s="1395"/>
    </row>
    <row r="119" spans="2:11" s="80" customFormat="1" ht="40.5" customHeight="1" x14ac:dyDescent="0.2">
      <c r="B119" s="1602"/>
      <c r="C119" s="1421">
        <f>'Budget Tracker'!C121</f>
        <v>5570</v>
      </c>
      <c r="D119" s="1840"/>
      <c r="E119" s="789" t="str">
        <f>'Budget Tracker'!E121</f>
        <v>Available (Rename)</v>
      </c>
      <c r="F119" s="773">
        <f>'Budget Tracker'!F121</f>
        <v>0</v>
      </c>
      <c r="G119" s="1840"/>
      <c r="H119" s="1405">
        <f>'Budget Tracker'!$I121</f>
        <v>0</v>
      </c>
      <c r="I119" s="1418">
        <f>'Budget Tracker'!$I121</f>
        <v>0</v>
      </c>
      <c r="J119" s="1394"/>
      <c r="K119" s="1395"/>
    </row>
    <row r="120" spans="2:11" s="80" customFormat="1" ht="40.5" customHeight="1" x14ac:dyDescent="0.2">
      <c r="B120" s="1602"/>
      <c r="C120" s="1421">
        <f>'Budget Tracker'!C122</f>
        <v>5580</v>
      </c>
      <c r="D120" s="1840"/>
      <c r="E120" s="789" t="str">
        <f>'Budget Tracker'!E122</f>
        <v>Available (Rename)</v>
      </c>
      <c r="F120" s="773">
        <f>'Budget Tracker'!F122</f>
        <v>0</v>
      </c>
      <c r="G120" s="1840"/>
      <c r="H120" s="1405">
        <f>'Budget Tracker'!$I122</f>
        <v>0</v>
      </c>
      <c r="I120" s="1418">
        <f>'Budget Tracker'!$I122</f>
        <v>0</v>
      </c>
      <c r="J120" s="1394"/>
      <c r="K120" s="1395"/>
    </row>
    <row r="121" spans="2:11" s="80" customFormat="1" ht="40.5" customHeight="1" x14ac:dyDescent="0.2">
      <c r="B121" s="1602"/>
      <c r="C121" s="1421">
        <f>'Budget Tracker'!C123</f>
        <v>5590</v>
      </c>
      <c r="D121" s="1840"/>
      <c r="E121" s="1419" t="str">
        <f>'Budget Tracker'!E123</f>
        <v>Available (Rename)</v>
      </c>
      <c r="F121" s="769">
        <f>'Budget Tracker'!F123</f>
        <v>0</v>
      </c>
      <c r="G121" s="1840"/>
      <c r="H121" s="1406">
        <f>'Budget Tracker'!$I123</f>
        <v>0</v>
      </c>
      <c r="I121" s="1420">
        <f>'Budget Tracker'!$I123</f>
        <v>0</v>
      </c>
      <c r="J121" s="1400"/>
      <c r="K121" s="1401"/>
    </row>
    <row r="122" spans="2:11" s="80" customFormat="1" ht="40.5" customHeight="1" x14ac:dyDescent="0.2">
      <c r="B122" s="1602" t="str">
        <f>'Budget Tracker'!B124</f>
        <v>5600 - Expenses - Other Fundraising</v>
      </c>
      <c r="C122" s="728">
        <f>'Budget Tracker'!C124</f>
        <v>5610</v>
      </c>
      <c r="D122" s="1849"/>
      <c r="E122" s="1422" t="str">
        <f>'Budget Tracker'!E124</f>
        <v>Tagging (Fall)</v>
      </c>
      <c r="F122" s="771">
        <f>'Budget Tracker'!F124</f>
        <v>0</v>
      </c>
      <c r="G122" s="1850"/>
      <c r="H122" s="1380">
        <f>'Budget Tracker'!$I124</f>
        <v>0</v>
      </c>
      <c r="I122" s="1423">
        <f>'Budget Tracker'!$I124</f>
        <v>0</v>
      </c>
      <c r="J122" s="1381"/>
      <c r="K122" s="1382"/>
    </row>
    <row r="123" spans="2:11" s="80" customFormat="1" ht="40.5" customHeight="1" x14ac:dyDescent="0.2">
      <c r="B123" s="1602"/>
      <c r="C123" s="518">
        <f>'Budget Tracker'!C125</f>
        <v>5620</v>
      </c>
      <c r="D123" s="1849"/>
      <c r="E123" s="789" t="str">
        <f>'Budget Tracker'!E125</f>
        <v>Tagging (Spring)</v>
      </c>
      <c r="F123" s="773">
        <f>'Budget Tracker'!F125</f>
        <v>0</v>
      </c>
      <c r="G123" s="1850"/>
      <c r="H123" s="1405">
        <f>'Budget Tracker'!$H125</f>
        <v>0</v>
      </c>
      <c r="I123" s="1418">
        <f>'Budget Tracker'!$I125</f>
        <v>0</v>
      </c>
      <c r="J123" s="1394"/>
      <c r="K123" s="1395"/>
    </row>
    <row r="124" spans="2:11" s="80" customFormat="1" ht="40.5" customHeight="1" x14ac:dyDescent="0.2">
      <c r="B124" s="1602"/>
      <c r="C124" s="518">
        <f>'Budget Tracker'!C126</f>
        <v>5630</v>
      </c>
      <c r="D124" s="1849"/>
      <c r="E124" s="789" t="str">
        <f>'Budget Tracker'!E126</f>
        <v>Canteen Expenses</v>
      </c>
      <c r="F124" s="773">
        <f>'Budget Tracker'!F126</f>
        <v>0</v>
      </c>
      <c r="G124" s="1850"/>
      <c r="H124" s="1405">
        <f>'Budget Tracker'!$H126</f>
        <v>0</v>
      </c>
      <c r="I124" s="1418">
        <f>'Budget Tracker'!$I126</f>
        <v>0</v>
      </c>
      <c r="J124" s="1394"/>
      <c r="K124" s="1395"/>
    </row>
    <row r="125" spans="2:11" s="80" customFormat="1" ht="40.5" customHeight="1" x14ac:dyDescent="0.2">
      <c r="B125" s="1602"/>
      <c r="C125" s="518">
        <f>'Budget Tracker'!C127</f>
        <v>5640</v>
      </c>
      <c r="D125" s="1849"/>
      <c r="E125" s="789" t="str">
        <f>'Budget Tracker'!E127</f>
        <v>Bottle Drive Expenses</v>
      </c>
      <c r="F125" s="773">
        <f>'Budget Tracker'!F127</f>
        <v>0</v>
      </c>
      <c r="G125" s="1850"/>
      <c r="H125" s="1405">
        <f>'Budget Tracker'!$H127</f>
        <v>0</v>
      </c>
      <c r="I125" s="1418">
        <f>'Budget Tracker'!$I127</f>
        <v>0</v>
      </c>
      <c r="J125" s="1394"/>
      <c r="K125" s="1395"/>
    </row>
    <row r="126" spans="2:11" s="80" customFormat="1" ht="40.5" customHeight="1" x14ac:dyDescent="0.2">
      <c r="B126" s="1602"/>
      <c r="C126" s="518">
        <f>'Budget Tracker'!C128</f>
        <v>5650</v>
      </c>
      <c r="D126" s="1849"/>
      <c r="E126" s="789" t="str">
        <f>'Budget Tracker'!E128</f>
        <v>Available (Rename)</v>
      </c>
      <c r="F126" s="773">
        <f>'Budget Tracker'!F128</f>
        <v>0</v>
      </c>
      <c r="G126" s="1850"/>
      <c r="H126" s="1405">
        <f>'Budget Tracker'!$H128</f>
        <v>0</v>
      </c>
      <c r="I126" s="1418">
        <f>'Budget Tracker'!$I128</f>
        <v>0</v>
      </c>
      <c r="J126" s="1394"/>
      <c r="K126" s="1395"/>
    </row>
    <row r="127" spans="2:11" s="80" customFormat="1" ht="40.5" customHeight="1" x14ac:dyDescent="0.2">
      <c r="B127" s="1602"/>
      <c r="C127" s="518">
        <f>'Budget Tracker'!C129</f>
        <v>5660</v>
      </c>
      <c r="D127" s="1849"/>
      <c r="E127" s="789" t="str">
        <f>'Budget Tracker'!E129</f>
        <v>Available (Rename)</v>
      </c>
      <c r="F127" s="773">
        <f>'Budget Tracker'!F129</f>
        <v>0</v>
      </c>
      <c r="G127" s="1850"/>
      <c r="H127" s="1405">
        <f>'Budget Tracker'!$H129</f>
        <v>0</v>
      </c>
      <c r="I127" s="1418">
        <f>'Budget Tracker'!$I129</f>
        <v>0</v>
      </c>
      <c r="J127" s="1394"/>
      <c r="K127" s="1395"/>
    </row>
    <row r="128" spans="2:11" s="80" customFormat="1" ht="40.5" customHeight="1" x14ac:dyDescent="0.2">
      <c r="B128" s="1602"/>
      <c r="C128" s="518">
        <f>'Budget Tracker'!C130</f>
        <v>5670</v>
      </c>
      <c r="D128" s="1849"/>
      <c r="E128" s="789" t="str">
        <f>'Budget Tracker'!E130</f>
        <v>Available (Rename)</v>
      </c>
      <c r="F128" s="773">
        <f>'Budget Tracker'!F130</f>
        <v>0</v>
      </c>
      <c r="G128" s="1850"/>
      <c r="H128" s="1405">
        <f>'Budget Tracker'!$H130</f>
        <v>0</v>
      </c>
      <c r="I128" s="1418">
        <f>'Budget Tracker'!$I130</f>
        <v>0</v>
      </c>
      <c r="J128" s="1394"/>
      <c r="K128" s="1395"/>
    </row>
    <row r="129" spans="2:11" s="80" customFormat="1" ht="40.5" customHeight="1" x14ac:dyDescent="0.2">
      <c r="B129" s="1602"/>
      <c r="C129" s="518">
        <f>'Budget Tracker'!C131</f>
        <v>5680</v>
      </c>
      <c r="D129" s="1849"/>
      <c r="E129" s="789" t="str">
        <f>'Budget Tracker'!E131</f>
        <v>Available (Rename)</v>
      </c>
      <c r="F129" s="773">
        <f>'Budget Tracker'!F131</f>
        <v>0</v>
      </c>
      <c r="G129" s="1850"/>
      <c r="H129" s="1405">
        <f>'Budget Tracker'!$H131</f>
        <v>0</v>
      </c>
      <c r="I129" s="1418">
        <f>'Budget Tracker'!$I131</f>
        <v>0</v>
      </c>
      <c r="J129" s="1394"/>
      <c r="K129" s="1395"/>
    </row>
    <row r="130" spans="2:11" s="80" customFormat="1" ht="40.5" customHeight="1" x14ac:dyDescent="0.2">
      <c r="B130" s="1602"/>
      <c r="C130" s="774">
        <f>'Budget Tracker'!C132</f>
        <v>5690</v>
      </c>
      <c r="D130" s="1849"/>
      <c r="E130" s="1419" t="str">
        <f>'Budget Tracker'!E132</f>
        <v>Available (Rename)</v>
      </c>
      <c r="F130" s="769">
        <f>'Budget Tracker'!F132</f>
        <v>0</v>
      </c>
      <c r="G130" s="1850"/>
      <c r="H130" s="1406">
        <f>'Budget Tracker'!$H132</f>
        <v>0</v>
      </c>
      <c r="I130" s="1420">
        <f>'Budget Tracker'!$I132</f>
        <v>0</v>
      </c>
      <c r="J130" s="1400"/>
      <c r="K130" s="1401"/>
    </row>
    <row r="131" spans="2:11" s="80" customFormat="1" ht="40.5" customHeight="1" x14ac:dyDescent="0.2">
      <c r="B131" s="1602" t="str">
        <f>'Budget Tracker'!B133</f>
        <v>5800 - Other Expenses</v>
      </c>
      <c r="C131" s="728">
        <f>'Budget Tracker'!C133</f>
        <v>5810</v>
      </c>
      <c r="D131" s="1840"/>
      <c r="E131" s="1422" t="str">
        <f>'Budget Tracker'!E133</f>
        <v>Travel Expenses (not entered elsewhere)</v>
      </c>
      <c r="F131" s="771">
        <f>'Budget Tracker'!F133</f>
        <v>0</v>
      </c>
      <c r="G131" s="1840"/>
      <c r="H131" s="1380">
        <f>'Budget Tracker'!$H133</f>
        <v>0</v>
      </c>
      <c r="I131" s="1423">
        <f>'Budget Tracker'!$I133</f>
        <v>0</v>
      </c>
      <c r="J131" s="1381"/>
      <c r="K131" s="1382"/>
    </row>
    <row r="132" spans="2:11" s="80" customFormat="1" ht="40.5" customHeight="1" x14ac:dyDescent="0.2">
      <c r="B132" s="1602"/>
      <c r="C132" s="518">
        <f>'Budget Tracker'!C134</f>
        <v>5820</v>
      </c>
      <c r="D132" s="1840"/>
      <c r="E132" s="789" t="str">
        <f>'Budget Tracker'!E134</f>
        <v>Capital Losts</v>
      </c>
      <c r="F132" s="773">
        <f>'Budget Tracker'!F134</f>
        <v>0</v>
      </c>
      <c r="G132" s="1840"/>
      <c r="H132" s="1405">
        <f>'Budget Tracker'!$H134</f>
        <v>0</v>
      </c>
      <c r="I132" s="1418">
        <f>'Budget Tracker'!$I134</f>
        <v>0</v>
      </c>
      <c r="J132" s="1394"/>
      <c r="K132" s="1395"/>
    </row>
    <row r="133" spans="2:11" s="80" customFormat="1" ht="40.5" customHeight="1" x14ac:dyDescent="0.2">
      <c r="B133" s="1602"/>
      <c r="C133" s="518">
        <f>'Budget Tracker'!C135</f>
        <v>5830</v>
      </c>
      <c r="D133" s="1840"/>
      <c r="E133" s="789" t="str">
        <f>'Budget Tracker'!E135</f>
        <v>Sqn Logo Clothing and Other Sales Items</v>
      </c>
      <c r="F133" s="773">
        <f>'Budget Tracker'!F135</f>
        <v>0</v>
      </c>
      <c r="G133" s="1840"/>
      <c r="H133" s="1405">
        <f>'Budget Tracker'!$H135</f>
        <v>0</v>
      </c>
      <c r="I133" s="1418">
        <f>'Budget Tracker'!$I135</f>
        <v>0</v>
      </c>
      <c r="J133" s="1394"/>
      <c r="K133" s="1395"/>
    </row>
    <row r="134" spans="2:11" s="80" customFormat="1" ht="40.5" customHeight="1" x14ac:dyDescent="0.2">
      <c r="B134" s="1602"/>
      <c r="C134" s="518">
        <f>'Budget Tracker'!C136</f>
        <v>5840</v>
      </c>
      <c r="D134" s="1840"/>
      <c r="E134" s="789" t="str">
        <f>'Budget Tracker'!E136</f>
        <v>Available (Rename)</v>
      </c>
      <c r="F134" s="773">
        <f>'Budget Tracker'!F136</f>
        <v>0</v>
      </c>
      <c r="G134" s="1840"/>
      <c r="H134" s="1405">
        <f>'Budget Tracker'!$H136</f>
        <v>0</v>
      </c>
      <c r="I134" s="1418">
        <f>'Budget Tracker'!$I136</f>
        <v>0</v>
      </c>
      <c r="J134" s="1394"/>
      <c r="K134" s="1395"/>
    </row>
    <row r="135" spans="2:11" s="80" customFormat="1" ht="40.5" customHeight="1" x14ac:dyDescent="0.2">
      <c r="B135" s="1602"/>
      <c r="C135" s="518">
        <f>'Budget Tracker'!C137</f>
        <v>5850</v>
      </c>
      <c r="D135" s="1840"/>
      <c r="E135" s="789" t="str">
        <f>'Budget Tracker'!E137</f>
        <v>Available (Rename)</v>
      </c>
      <c r="F135" s="773">
        <f>'Budget Tracker'!F137</f>
        <v>0</v>
      </c>
      <c r="G135" s="1840"/>
      <c r="H135" s="1405">
        <f>'Budget Tracker'!$H137</f>
        <v>0</v>
      </c>
      <c r="I135" s="1418">
        <f>'Budget Tracker'!$I137</f>
        <v>0</v>
      </c>
      <c r="J135" s="1394"/>
      <c r="K135" s="1395"/>
    </row>
    <row r="136" spans="2:11" s="80" customFormat="1" ht="40.5" customHeight="1" x14ac:dyDescent="0.2">
      <c r="B136" s="1602"/>
      <c r="C136" s="518">
        <f>'Budget Tracker'!C138</f>
        <v>5860</v>
      </c>
      <c r="D136" s="1840"/>
      <c r="E136" s="789" t="str">
        <f>'Budget Tracker'!E138</f>
        <v>Available (Rename)</v>
      </c>
      <c r="F136" s="773">
        <f>'Budget Tracker'!F138</f>
        <v>0</v>
      </c>
      <c r="G136" s="1840"/>
      <c r="H136" s="1405">
        <f>'Budget Tracker'!$H138</f>
        <v>0</v>
      </c>
      <c r="I136" s="1418">
        <f>'Budget Tracker'!$I138</f>
        <v>0</v>
      </c>
      <c r="J136" s="1394"/>
      <c r="K136" s="1395"/>
    </row>
    <row r="137" spans="2:11" s="799" customFormat="1" ht="40.5" customHeight="1" x14ac:dyDescent="0.2">
      <c r="B137" s="1602"/>
      <c r="C137" s="518">
        <f>'Budget Tracker'!C139</f>
        <v>5870</v>
      </c>
      <c r="D137" s="1840"/>
      <c r="E137" s="789" t="str">
        <f>'Budget Tracker'!E139</f>
        <v>Available (Rename)</v>
      </c>
      <c r="F137" s="773">
        <f>'Budget Tracker'!F139</f>
        <v>0</v>
      </c>
      <c r="G137" s="1840"/>
      <c r="H137" s="1405">
        <f>'Budget Tracker'!$H139</f>
        <v>0</v>
      </c>
      <c r="I137" s="1418">
        <f>'Budget Tracker'!$I139</f>
        <v>0</v>
      </c>
      <c r="J137" s="1394"/>
      <c r="K137" s="1395"/>
    </row>
    <row r="138" spans="2:11" s="80" customFormat="1" ht="40.5" customHeight="1" x14ac:dyDescent="0.2">
      <c r="B138" s="1602"/>
      <c r="C138" s="774">
        <f>'Budget Tracker'!C140</f>
        <v>5880</v>
      </c>
      <c r="D138" s="1840"/>
      <c r="E138" s="1419" t="str">
        <f>'Budget Tracker'!E140</f>
        <v>Other Expenses (Must not be Excessive)</v>
      </c>
      <c r="F138" s="769">
        <f>'Budget Tracker'!F140</f>
        <v>0</v>
      </c>
      <c r="G138" s="1840"/>
      <c r="H138" s="1406">
        <f>'Budget Tracker'!$H140</f>
        <v>0</v>
      </c>
      <c r="I138" s="1420">
        <f>'Budget Tracker'!$I140</f>
        <v>0</v>
      </c>
      <c r="J138" s="1400"/>
      <c r="K138" s="1401"/>
    </row>
    <row r="139" spans="2:11" s="80" customFormat="1" x14ac:dyDescent="0.2">
      <c r="B139" s="155"/>
      <c r="C139" s="206"/>
      <c r="D139" s="206"/>
      <c r="E139" s="803"/>
      <c r="F139" s="154"/>
      <c r="G139" s="154"/>
      <c r="I139" s="1424"/>
      <c r="J139" s="1425"/>
      <c r="K139" s="1424"/>
    </row>
    <row r="140" spans="2:11" s="80" customFormat="1" ht="21" customHeight="1" x14ac:dyDescent="0.2">
      <c r="B140" s="155"/>
      <c r="C140" s="206"/>
      <c r="D140" s="206"/>
      <c r="E140" s="1844" t="str">
        <f>'Budget Tracker'!E142:G142</f>
        <v>Sub-Total</v>
      </c>
      <c r="F140" s="1844"/>
      <c r="G140" s="1844"/>
      <c r="H140" s="1408">
        <f>SUM(H61:H80,H88:H97,H105:H138)</f>
        <v>0</v>
      </c>
      <c r="I140" s="1408">
        <f>SUM(I61:I80,I88:I97,I105:I138)</f>
        <v>0</v>
      </c>
      <c r="J140" s="1408"/>
      <c r="K140" s="1408">
        <f>SUM(K61:K80,K88:K97,K105:K138)</f>
        <v>0</v>
      </c>
    </row>
    <row r="141" spans="2:11" ht="24" customHeight="1" x14ac:dyDescent="0.2">
      <c r="B141" s="1852" t="s">
        <v>692</v>
      </c>
      <c r="C141" s="1852"/>
      <c r="D141" s="1852"/>
      <c r="E141" s="1853" t="str">
        <f>IF(L1=2,"Coût estimé de financement par cadet","Cadet Funding Cost estimate")</f>
        <v>Cadet Funding Cost estimate</v>
      </c>
      <c r="F141" s="1853"/>
      <c r="G141" s="1853"/>
      <c r="H141" s="1426"/>
      <c r="I141" s="1426"/>
      <c r="J141" s="1426"/>
      <c r="K141" s="1426"/>
    </row>
    <row r="142" spans="2:11" ht="24" customHeight="1" x14ac:dyDescent="0.2">
      <c r="B142" s="1851" t="str">
        <f>'Data Set up'!F14&amp;" Cadets"</f>
        <v xml:space="preserve"> Cadets</v>
      </c>
      <c r="C142" s="1851"/>
      <c r="D142" s="1851"/>
      <c r="E142" s="1427"/>
      <c r="F142" s="1427"/>
      <c r="G142" s="1427"/>
      <c r="H142" s="1427"/>
      <c r="I142" s="1427"/>
      <c r="J142" s="1427"/>
      <c r="K142" s="1427"/>
    </row>
    <row r="143" spans="2:11" ht="24" customHeight="1" x14ac:dyDescent="0.2">
      <c r="B143" s="1428"/>
      <c r="C143" s="1428"/>
      <c r="D143" s="1428"/>
      <c r="E143" s="1429" t="str">
        <f>IF(L1=2,"Financement requis par les levées de fonds","Funding required through Fundraising")</f>
        <v>Funding required through Fundraising</v>
      </c>
      <c r="F143" s="1430">
        <f>SUM(K21:K38)</f>
        <v>0</v>
      </c>
      <c r="G143" s="1427"/>
      <c r="H143" s="1427"/>
      <c r="I143" s="1427"/>
      <c r="J143" s="1427"/>
      <c r="K143" s="1427"/>
    </row>
    <row r="144" spans="2:11" ht="24" customHeight="1" x14ac:dyDescent="0.2">
      <c r="B144" s="1428"/>
      <c r="C144" s="1428"/>
      <c r="D144" s="1428"/>
      <c r="E144" s="1431" t="str">
        <f>IF(L1=2,"Financement requis par cadet","Funding required Per Cadet")</f>
        <v>Funding required Per Cadet</v>
      </c>
      <c r="F144" s="1432"/>
      <c r="G144" s="1433">
        <f>IF('Data Set up'!F14&gt;0,F143/'Data Set up'!F14,0)</f>
        <v>0</v>
      </c>
      <c r="H144" s="1427"/>
      <c r="I144" s="1427"/>
      <c r="J144" s="1427"/>
      <c r="K144" s="1427"/>
    </row>
    <row r="145" spans="2:11" ht="24" customHeight="1" x14ac:dyDescent="0.2">
      <c r="B145" s="1428"/>
      <c r="C145" s="1428"/>
      <c r="D145" s="1428"/>
      <c r="E145" s="1429" t="str">
        <f>IF(L1=2,"Revenus totaux requis","Total Revenue Required")</f>
        <v>Total Revenue Required</v>
      </c>
      <c r="F145" s="1430">
        <f>K58</f>
        <v>0</v>
      </c>
      <c r="G145" s="1434"/>
      <c r="H145" s="1427"/>
      <c r="I145" s="1427"/>
      <c r="J145" s="1427"/>
      <c r="K145" s="1427"/>
    </row>
    <row r="146" spans="2:11" ht="24" customHeight="1" x14ac:dyDescent="0.2">
      <c r="B146" s="1428"/>
      <c r="C146" s="1428"/>
      <c r="D146" s="1428"/>
      <c r="E146" s="1431" t="str">
        <f>IF(L1=2,"Coût total par cadet","Total Cost Per Cadet")</f>
        <v>Total Cost Per Cadet</v>
      </c>
      <c r="F146" s="1432"/>
      <c r="G146" s="1433">
        <f>IF('Data Set up'!F14&gt;0,F145/'Data Set up'!F14,0)</f>
        <v>0</v>
      </c>
      <c r="H146" s="1427"/>
      <c r="I146" s="1427"/>
      <c r="J146" s="1427"/>
      <c r="K146" s="1427"/>
    </row>
    <row r="147" spans="2:11" s="1" customFormat="1" ht="23.25" customHeight="1" x14ac:dyDescent="0.2"/>
    <row r="148" spans="2:11" s="1" customFormat="1" ht="23.25" customHeight="1" x14ac:dyDescent="0.2"/>
    <row r="149" spans="2:11" s="1" customFormat="1" ht="23.25" customHeight="1" x14ac:dyDescent="0.2"/>
    <row r="150" spans="2:11" s="1" customFormat="1" ht="23.25" customHeight="1" x14ac:dyDescent="0.2"/>
    <row r="151" spans="2:11" s="1" customFormat="1" ht="23.25" customHeight="1" x14ac:dyDescent="0.2"/>
    <row r="152" spans="2:11" s="1" customFormat="1" ht="23.25" customHeight="1" x14ac:dyDescent="0.2"/>
    <row r="153" spans="2:11" s="1" customFormat="1" ht="23.25" hidden="1" customHeight="1" x14ac:dyDescent="0.2"/>
    <row r="154" spans="2:11" s="1" customFormat="1" ht="23.25" hidden="1" customHeight="1" x14ac:dyDescent="0.2"/>
    <row r="155" spans="2:11" s="1" customFormat="1" ht="23.25" hidden="1" customHeight="1" x14ac:dyDescent="0.2"/>
    <row r="156" spans="2:11" s="1" customFormat="1" ht="23.25" hidden="1" customHeight="1" x14ac:dyDescent="0.2"/>
    <row r="157" spans="2:11" s="1" customFormat="1" ht="23.25" hidden="1" customHeight="1" x14ac:dyDescent="0.2"/>
    <row r="158" spans="2:11" s="1" customFormat="1" ht="23.25" hidden="1" customHeight="1" x14ac:dyDescent="0.2"/>
    <row r="159" spans="2:11" s="1" customFormat="1" ht="23.25" hidden="1" customHeight="1" x14ac:dyDescent="0.2"/>
    <row r="160" spans="2:11" s="1" customFormat="1" ht="23.25" hidden="1" customHeight="1" x14ac:dyDescent="0.2"/>
    <row r="161" s="1" customFormat="1" ht="23.25" hidden="1" customHeight="1" x14ac:dyDescent="0.2"/>
    <row r="162" s="1" customFormat="1" ht="23.25" customHeight="1" x14ac:dyDescent="0.2"/>
    <row r="163" s="1" customFormat="1" ht="23.25" customHeight="1" x14ac:dyDescent="0.2"/>
    <row r="164" s="1" customFormat="1" ht="23.25" customHeight="1" x14ac:dyDescent="0.2"/>
    <row r="165" s="1" customFormat="1" ht="23.25" customHeight="1" x14ac:dyDescent="0.2"/>
    <row r="166" s="1" customFormat="1" ht="23.25" customHeight="1" x14ac:dyDescent="0.2"/>
    <row r="167" s="1" customFormat="1" ht="23.25" hidden="1" customHeight="1" x14ac:dyDescent="0.2"/>
    <row r="168" s="1" customFormat="1" ht="23.25" customHeight="1" x14ac:dyDescent="0.2"/>
    <row r="169" s="1" customFormat="1" ht="23.25" customHeight="1" x14ac:dyDescent="0.2"/>
    <row r="170" s="1" customFormat="1" ht="23.25" customHeight="1" x14ac:dyDescent="0.2"/>
    <row r="171" s="1" customFormat="1" ht="23.25" customHeight="1" x14ac:dyDescent="0.2"/>
    <row r="172" s="1" customFormat="1" ht="23.25" customHeight="1" x14ac:dyDescent="0.2"/>
    <row r="173" s="1" customFormat="1" ht="23.25" customHeight="1" x14ac:dyDescent="0.2"/>
    <row r="174" s="1" customFormat="1" ht="23.25" customHeight="1" x14ac:dyDescent="0.2"/>
    <row r="175" s="1" customFormat="1" ht="23.25" hidden="1" customHeight="1" x14ac:dyDescent="0.2"/>
    <row r="176" s="1" customFormat="1" ht="23.25" hidden="1" customHeight="1" x14ac:dyDescent="0.2"/>
    <row r="177" spans="8:11" s="1" customFormat="1" ht="23.25" customHeight="1" x14ac:dyDescent="0.2"/>
    <row r="178" spans="8:11" s="1" customFormat="1" ht="23.25" customHeight="1" x14ac:dyDescent="0.2"/>
    <row r="179" spans="8:11" s="1" customFormat="1" ht="23.25" customHeight="1" x14ac:dyDescent="0.2"/>
    <row r="180" spans="8:11" s="1" customFormat="1" ht="23.25" customHeight="1" x14ac:dyDescent="0.2"/>
    <row r="181" spans="8:11" s="1" customFormat="1" ht="23.25" hidden="1" customHeight="1" x14ac:dyDescent="0.2"/>
    <row r="182" spans="8:11" s="1" customFormat="1" x14ac:dyDescent="0.2"/>
    <row r="183" spans="8:11" s="1" customFormat="1" x14ac:dyDescent="0.2"/>
    <row r="184" spans="8:11" s="1" customFormat="1" x14ac:dyDescent="0.2"/>
    <row r="185" spans="8:11" x14ac:dyDescent="0.2">
      <c r="H185" s="706"/>
    </row>
    <row r="186" spans="8:11" s="1" customFormat="1" ht="90" customHeight="1" x14ac:dyDescent="0.2">
      <c r="H186" s="706"/>
      <c r="I186" s="703"/>
      <c r="J186" s="706"/>
      <c r="K186" s="703"/>
    </row>
    <row r="187" spans="8:11" s="1" customFormat="1" ht="90" customHeight="1" x14ac:dyDescent="0.2">
      <c r="H187" s="706"/>
      <c r="I187" s="703"/>
      <c r="J187" s="706"/>
      <c r="K187" s="703"/>
    </row>
    <row r="188" spans="8:11" s="1" customFormat="1" ht="90" customHeight="1" x14ac:dyDescent="0.2">
      <c r="H188" s="706"/>
      <c r="I188" s="703"/>
      <c r="J188" s="706"/>
      <c r="K188" s="703"/>
    </row>
    <row r="189" spans="8:11" s="1" customFormat="1" ht="90" customHeight="1" x14ac:dyDescent="0.2">
      <c r="H189" s="706"/>
      <c r="I189" s="703"/>
      <c r="J189" s="706"/>
      <c r="K189" s="703"/>
    </row>
    <row r="190" spans="8:11" s="1" customFormat="1" ht="90" customHeight="1" x14ac:dyDescent="0.2">
      <c r="H190" s="706"/>
      <c r="I190" s="703"/>
      <c r="J190" s="706"/>
      <c r="K190" s="703"/>
    </row>
    <row r="191" spans="8:11" s="1" customFormat="1" ht="90" customHeight="1" x14ac:dyDescent="0.2">
      <c r="H191" s="706"/>
      <c r="I191" s="703"/>
      <c r="J191" s="706"/>
      <c r="K191" s="703"/>
    </row>
    <row r="192" spans="8:11" s="1" customFormat="1" ht="22.5" customHeight="1" x14ac:dyDescent="0.2">
      <c r="H192" s="706"/>
      <c r="I192" s="703"/>
      <c r="J192" s="706"/>
      <c r="K192" s="703"/>
    </row>
    <row r="193" spans="8:11" s="1" customFormat="1" x14ac:dyDescent="0.2">
      <c r="H193" s="706"/>
      <c r="I193" s="703"/>
      <c r="J193" s="706"/>
      <c r="K193" s="703"/>
    </row>
    <row r="194" spans="8:11" s="1" customFormat="1" x14ac:dyDescent="0.2">
      <c r="H194" s="706"/>
      <c r="I194" s="703"/>
      <c r="J194" s="706"/>
      <c r="K194" s="703"/>
    </row>
    <row r="195" spans="8:11" s="1" customFormat="1" x14ac:dyDescent="0.2">
      <c r="H195" s="706"/>
      <c r="I195" s="703"/>
      <c r="J195" s="706"/>
      <c r="K195" s="703"/>
    </row>
    <row r="196" spans="8:11" s="1" customFormat="1" x14ac:dyDescent="0.2">
      <c r="H196" s="706"/>
      <c r="I196" s="703"/>
      <c r="J196" s="706"/>
      <c r="K196" s="703"/>
    </row>
    <row r="197" spans="8:11" s="1" customFormat="1" ht="90" customHeight="1" x14ac:dyDescent="0.2">
      <c r="H197" s="706"/>
      <c r="I197" s="703"/>
      <c r="J197" s="706"/>
      <c r="K197" s="703"/>
    </row>
    <row r="198" spans="8:11" s="1" customFormat="1" x14ac:dyDescent="0.2">
      <c r="H198" s="706"/>
      <c r="I198" s="703"/>
      <c r="J198" s="706"/>
      <c r="K198" s="703"/>
    </row>
    <row r="199" spans="8:11" s="1" customFormat="1" ht="56.25" customHeight="1" x14ac:dyDescent="0.2">
      <c r="H199" s="706"/>
      <c r="I199" s="703"/>
      <c r="J199" s="706"/>
      <c r="K199" s="703"/>
    </row>
    <row r="200" spans="8:11" s="1" customFormat="1" ht="45" customHeight="1" x14ac:dyDescent="0.2">
      <c r="H200" s="706"/>
      <c r="I200" s="703"/>
      <c r="J200" s="706"/>
      <c r="K200" s="703"/>
    </row>
    <row r="201" spans="8:11" s="1" customFormat="1" ht="56.25" customHeight="1" x14ac:dyDescent="0.2">
      <c r="H201" s="706"/>
      <c r="I201" s="703"/>
      <c r="J201" s="706"/>
      <c r="K201" s="703"/>
    </row>
    <row r="202" spans="8:11" s="1" customFormat="1" x14ac:dyDescent="0.2">
      <c r="H202" s="706"/>
      <c r="I202" s="703"/>
      <c r="J202" s="706"/>
      <c r="K202" s="703"/>
    </row>
    <row r="203" spans="8:11" s="1" customFormat="1" ht="56.25" customHeight="1" x14ac:dyDescent="0.2">
      <c r="H203" s="706"/>
      <c r="I203" s="703"/>
      <c r="J203" s="706"/>
      <c r="K203" s="703"/>
    </row>
    <row r="204" spans="8:11" s="1" customFormat="1" ht="45" customHeight="1" x14ac:dyDescent="0.2">
      <c r="H204" s="706"/>
      <c r="I204" s="703"/>
      <c r="J204" s="706"/>
      <c r="K204" s="703"/>
    </row>
    <row r="205" spans="8:11" s="1" customFormat="1" ht="90" customHeight="1" x14ac:dyDescent="0.2">
      <c r="H205" s="706"/>
      <c r="I205" s="703"/>
      <c r="J205" s="706"/>
      <c r="K205" s="703"/>
    </row>
    <row r="206" spans="8:11" s="1" customFormat="1" ht="90" customHeight="1" x14ac:dyDescent="0.2">
      <c r="H206" s="706"/>
      <c r="I206" s="703"/>
      <c r="J206" s="706"/>
      <c r="K206" s="703"/>
    </row>
    <row r="207" spans="8:11" s="1" customFormat="1" ht="45" customHeight="1" x14ac:dyDescent="0.2">
      <c r="H207" s="706"/>
      <c r="I207" s="703"/>
      <c r="J207" s="706"/>
      <c r="K207" s="703"/>
    </row>
    <row r="208" spans="8:11" s="1" customFormat="1" ht="56.25" customHeight="1" x14ac:dyDescent="0.2">
      <c r="H208" s="706"/>
      <c r="I208" s="703"/>
      <c r="J208" s="706"/>
      <c r="K208" s="703"/>
    </row>
    <row r="209" spans="8:11" s="1" customFormat="1" ht="45" customHeight="1" x14ac:dyDescent="0.2">
      <c r="H209" s="706"/>
      <c r="I209" s="703"/>
      <c r="J209" s="706"/>
      <c r="K209" s="703"/>
    </row>
    <row r="210" spans="8:11" s="1" customFormat="1" ht="45" customHeight="1" x14ac:dyDescent="0.2">
      <c r="H210" s="706"/>
      <c r="I210" s="703"/>
      <c r="J210" s="706"/>
      <c r="K210" s="703"/>
    </row>
    <row r="211" spans="8:11" s="1" customFormat="1" x14ac:dyDescent="0.2">
      <c r="H211" s="706"/>
      <c r="I211" s="703"/>
      <c r="J211" s="706"/>
      <c r="K211" s="703"/>
    </row>
    <row r="212" spans="8:11" s="1" customFormat="1" x14ac:dyDescent="0.2">
      <c r="H212" s="706"/>
      <c r="I212" s="703"/>
      <c r="J212" s="706"/>
      <c r="K212" s="703"/>
    </row>
    <row r="213" spans="8:11" s="1" customFormat="1" x14ac:dyDescent="0.2">
      <c r="H213" s="706"/>
      <c r="I213" s="703"/>
      <c r="J213" s="706"/>
      <c r="K213" s="703"/>
    </row>
    <row r="214" spans="8:11" s="1" customFormat="1" x14ac:dyDescent="0.2">
      <c r="H214" s="706"/>
      <c r="I214" s="703"/>
      <c r="J214" s="706"/>
      <c r="K214" s="703"/>
    </row>
    <row r="215" spans="8:11" s="1" customFormat="1" x14ac:dyDescent="0.2">
      <c r="H215" s="706"/>
      <c r="I215" s="703"/>
      <c r="J215" s="706"/>
      <c r="K215" s="703"/>
    </row>
    <row r="216" spans="8:11" s="1" customFormat="1" x14ac:dyDescent="0.2">
      <c r="H216" s="706"/>
      <c r="I216" s="703"/>
      <c r="J216" s="706"/>
      <c r="K216" s="703"/>
    </row>
    <row r="217" spans="8:11" s="1" customFormat="1" x14ac:dyDescent="0.2">
      <c r="H217" s="706"/>
      <c r="I217" s="703"/>
      <c r="J217" s="706"/>
      <c r="K217" s="703"/>
    </row>
    <row r="218" spans="8:11" s="1" customFormat="1" x14ac:dyDescent="0.2">
      <c r="H218" s="706"/>
      <c r="I218" s="703"/>
      <c r="J218" s="706"/>
      <c r="K218" s="703"/>
    </row>
    <row r="219" spans="8:11" s="1" customFormat="1" x14ac:dyDescent="0.2">
      <c r="H219" s="706"/>
      <c r="I219" s="703"/>
      <c r="J219" s="706"/>
      <c r="K219" s="703"/>
    </row>
    <row r="220" spans="8:11" s="1" customFormat="1" x14ac:dyDescent="0.2">
      <c r="H220" s="706"/>
      <c r="I220" s="703"/>
      <c r="J220" s="706"/>
      <c r="K220" s="703"/>
    </row>
    <row r="221" spans="8:11" s="1" customFormat="1" x14ac:dyDescent="0.2">
      <c r="H221" s="706"/>
      <c r="I221" s="703"/>
      <c r="J221" s="706"/>
      <c r="K221" s="703"/>
    </row>
    <row r="222" spans="8:11" s="1" customFormat="1" x14ac:dyDescent="0.2">
      <c r="H222" s="706"/>
      <c r="I222" s="703"/>
      <c r="J222" s="706"/>
      <c r="K222" s="703"/>
    </row>
    <row r="223" spans="8:11" s="1" customFormat="1" x14ac:dyDescent="0.2">
      <c r="H223" s="706"/>
      <c r="I223" s="703"/>
      <c r="J223" s="706"/>
      <c r="K223" s="703"/>
    </row>
    <row r="224" spans="8:11" s="1" customFormat="1" x14ac:dyDescent="0.2">
      <c r="H224" s="706"/>
      <c r="I224" s="703"/>
      <c r="J224" s="706"/>
      <c r="K224" s="703"/>
    </row>
    <row r="225" spans="8:11" s="1" customFormat="1" x14ac:dyDescent="0.2">
      <c r="H225" s="706"/>
      <c r="I225" s="703"/>
      <c r="J225" s="706"/>
      <c r="K225" s="703"/>
    </row>
    <row r="226" spans="8:11" s="1" customFormat="1" x14ac:dyDescent="0.2">
      <c r="H226" s="706"/>
      <c r="I226" s="703"/>
      <c r="J226" s="706"/>
      <c r="K226" s="703"/>
    </row>
    <row r="227" spans="8:11" s="1" customFormat="1" x14ac:dyDescent="0.2">
      <c r="H227" s="706"/>
      <c r="I227" s="703"/>
      <c r="J227" s="706"/>
      <c r="K227" s="703"/>
    </row>
    <row r="228" spans="8:11" s="1" customFormat="1" x14ac:dyDescent="0.2">
      <c r="H228" s="706"/>
      <c r="I228" s="703"/>
      <c r="J228" s="706"/>
      <c r="K228" s="703"/>
    </row>
    <row r="229" spans="8:11" s="1" customFormat="1" x14ac:dyDescent="0.2">
      <c r="H229" s="706"/>
      <c r="I229" s="703"/>
      <c r="J229" s="706"/>
      <c r="K229" s="703"/>
    </row>
    <row r="230" spans="8:11" s="1" customFormat="1" x14ac:dyDescent="0.2">
      <c r="H230" s="706"/>
      <c r="I230" s="703"/>
      <c r="J230" s="706"/>
      <c r="K230" s="703"/>
    </row>
    <row r="231" spans="8:11" s="1" customFormat="1" x14ac:dyDescent="0.2">
      <c r="H231" s="706"/>
      <c r="I231" s="703"/>
      <c r="J231" s="706"/>
      <c r="K231" s="703"/>
    </row>
    <row r="232" spans="8:11" s="1" customFormat="1" x14ac:dyDescent="0.2">
      <c r="H232" s="706"/>
      <c r="I232" s="703"/>
      <c r="J232" s="706"/>
      <c r="K232" s="703"/>
    </row>
    <row r="233" spans="8:11" s="1" customFormat="1" x14ac:dyDescent="0.2">
      <c r="H233" s="706"/>
      <c r="I233" s="703"/>
      <c r="J233" s="706"/>
      <c r="K233" s="703"/>
    </row>
    <row r="234" spans="8:11" s="1" customFormat="1" x14ac:dyDescent="0.2">
      <c r="H234" s="706"/>
      <c r="I234" s="703"/>
      <c r="J234" s="706"/>
      <c r="K234" s="703"/>
    </row>
    <row r="235" spans="8:11" s="1" customFormat="1" x14ac:dyDescent="0.2">
      <c r="H235" s="706"/>
      <c r="I235" s="703"/>
      <c r="J235" s="706"/>
      <c r="K235" s="703"/>
    </row>
    <row r="236" spans="8:11" s="1" customFormat="1" x14ac:dyDescent="0.2">
      <c r="H236" s="706"/>
      <c r="I236" s="703"/>
      <c r="J236" s="706"/>
      <c r="K236" s="703"/>
    </row>
    <row r="237" spans="8:11" s="1" customFormat="1" x14ac:dyDescent="0.2">
      <c r="H237" s="706"/>
      <c r="I237" s="703"/>
      <c r="J237" s="706"/>
      <c r="K237" s="703"/>
    </row>
    <row r="238" spans="8:11" s="1" customFormat="1" x14ac:dyDescent="0.2">
      <c r="H238" s="706"/>
      <c r="I238" s="703"/>
      <c r="J238" s="706"/>
      <c r="K238" s="703"/>
    </row>
    <row r="239" spans="8:11" s="1" customFormat="1" x14ac:dyDescent="0.2">
      <c r="H239" s="706"/>
      <c r="I239" s="703"/>
      <c r="J239" s="706"/>
      <c r="K239" s="703"/>
    </row>
    <row r="240" spans="8:11" s="1" customFormat="1" x14ac:dyDescent="0.2">
      <c r="H240" s="706"/>
      <c r="I240" s="703"/>
      <c r="J240" s="706"/>
      <c r="K240" s="703"/>
    </row>
    <row r="241" spans="8:11" s="1" customFormat="1" x14ac:dyDescent="0.2">
      <c r="H241" s="706"/>
      <c r="I241" s="703"/>
      <c r="J241" s="706"/>
      <c r="K241" s="703"/>
    </row>
    <row r="242" spans="8:11" s="1" customFormat="1" x14ac:dyDescent="0.2">
      <c r="H242" s="706"/>
      <c r="I242" s="703"/>
      <c r="J242" s="706"/>
      <c r="K242" s="703"/>
    </row>
    <row r="243" spans="8:11" s="1" customFormat="1" x14ac:dyDescent="0.2">
      <c r="H243" s="706"/>
      <c r="I243" s="703"/>
      <c r="J243" s="706"/>
      <c r="K243" s="703"/>
    </row>
    <row r="244" spans="8:11" s="1" customFormat="1" x14ac:dyDescent="0.2">
      <c r="H244" s="706"/>
      <c r="I244" s="703"/>
      <c r="J244" s="706"/>
      <c r="K244" s="703"/>
    </row>
    <row r="245" spans="8:11" s="1" customFormat="1" x14ac:dyDescent="0.2">
      <c r="H245" s="706"/>
      <c r="I245" s="703"/>
      <c r="J245" s="706"/>
      <c r="K245" s="703"/>
    </row>
    <row r="246" spans="8:11" s="1" customFormat="1" x14ac:dyDescent="0.2">
      <c r="H246" s="706"/>
      <c r="I246" s="703"/>
      <c r="J246" s="706"/>
      <c r="K246" s="703"/>
    </row>
    <row r="247" spans="8:11" s="1" customFormat="1" x14ac:dyDescent="0.2">
      <c r="H247" s="706"/>
      <c r="I247" s="703"/>
      <c r="J247" s="706"/>
      <c r="K247" s="703"/>
    </row>
    <row r="248" spans="8:11" s="1" customFormat="1" x14ac:dyDescent="0.2">
      <c r="H248" s="706"/>
      <c r="I248" s="703"/>
      <c r="J248" s="706"/>
      <c r="K248" s="703"/>
    </row>
    <row r="249" spans="8:11" s="1" customFormat="1" x14ac:dyDescent="0.2">
      <c r="H249" s="706"/>
    </row>
    <row r="250" spans="8:11" s="1" customFormat="1" x14ac:dyDescent="0.2">
      <c r="H250" s="706"/>
    </row>
    <row r="251" spans="8:11" s="1" customFormat="1" x14ac:dyDescent="0.2">
      <c r="H251" s="706"/>
    </row>
    <row r="252" spans="8:11" s="1" customFormat="1" x14ac:dyDescent="0.2">
      <c r="H252" s="706"/>
    </row>
    <row r="253" spans="8:11" s="1" customFormat="1" x14ac:dyDescent="0.2">
      <c r="H253" s="706"/>
    </row>
    <row r="254" spans="8:11" s="1" customFormat="1" x14ac:dyDescent="0.2">
      <c r="H254" s="706"/>
    </row>
    <row r="255" spans="8:11" s="1" customFormat="1" x14ac:dyDescent="0.2">
      <c r="H255" s="706"/>
    </row>
    <row r="256" spans="8:11" s="1" customFormat="1" x14ac:dyDescent="0.2">
      <c r="H256" s="706"/>
    </row>
    <row r="257" spans="8:8" s="1" customFormat="1" x14ac:dyDescent="0.2">
      <c r="H257" s="706"/>
    </row>
    <row r="258" spans="8:8" s="1" customFormat="1" x14ac:dyDescent="0.2">
      <c r="H258" s="706"/>
    </row>
    <row r="259" spans="8:8" s="1" customFormat="1" x14ac:dyDescent="0.2">
      <c r="H259" s="706"/>
    </row>
    <row r="260" spans="8:8" s="1" customFormat="1" x14ac:dyDescent="0.2">
      <c r="H260" s="706"/>
    </row>
    <row r="261" spans="8:8" s="1" customFormat="1" x14ac:dyDescent="0.2">
      <c r="H261" s="706"/>
    </row>
    <row r="262" spans="8:8" s="1" customFormat="1" x14ac:dyDescent="0.2">
      <c r="H262" s="706"/>
    </row>
    <row r="263" spans="8:8" s="1" customFormat="1" x14ac:dyDescent="0.2">
      <c r="H263" s="706"/>
    </row>
    <row r="264" spans="8:8" s="1" customFormat="1" x14ac:dyDescent="0.2">
      <c r="H264" s="706"/>
    </row>
    <row r="265" spans="8:8" s="1" customFormat="1" x14ac:dyDescent="0.2">
      <c r="H265" s="706"/>
    </row>
    <row r="266" spans="8:8" s="1" customFormat="1" x14ac:dyDescent="0.2">
      <c r="H266" s="706"/>
    </row>
    <row r="267" spans="8:8" s="1" customFormat="1" x14ac:dyDescent="0.2">
      <c r="H267" s="706"/>
    </row>
    <row r="268" spans="8:8" s="1" customFormat="1" x14ac:dyDescent="0.2">
      <c r="H268" s="706"/>
    </row>
    <row r="269" spans="8:8" s="1" customFormat="1" x14ac:dyDescent="0.2">
      <c r="H269" s="706"/>
    </row>
    <row r="270" spans="8:8" s="1" customFormat="1" x14ac:dyDescent="0.2">
      <c r="H270" s="706"/>
    </row>
    <row r="271" spans="8:8" s="1" customFormat="1" x14ac:dyDescent="0.2">
      <c r="H271" s="706"/>
    </row>
    <row r="272" spans="8:8" s="1" customFormat="1" x14ac:dyDescent="0.2">
      <c r="H272" s="706"/>
    </row>
    <row r="273" spans="8:8" s="1" customFormat="1" x14ac:dyDescent="0.2">
      <c r="H273" s="706"/>
    </row>
    <row r="274" spans="8:8" s="1" customFormat="1" x14ac:dyDescent="0.2">
      <c r="H274" s="706"/>
    </row>
    <row r="275" spans="8:8" s="1" customFormat="1" x14ac:dyDescent="0.2">
      <c r="H275" s="706"/>
    </row>
    <row r="276" spans="8:8" s="1" customFormat="1" x14ac:dyDescent="0.2">
      <c r="H276" s="706"/>
    </row>
    <row r="277" spans="8:8" s="1" customFormat="1" x14ac:dyDescent="0.2">
      <c r="H277" s="706"/>
    </row>
    <row r="278" spans="8:8" s="1" customFormat="1" x14ac:dyDescent="0.2">
      <c r="H278" s="706"/>
    </row>
    <row r="279" spans="8:8" s="1" customFormat="1" x14ac:dyDescent="0.2">
      <c r="H279" s="706"/>
    </row>
    <row r="280" spans="8:8" s="1" customFormat="1" x14ac:dyDescent="0.2">
      <c r="H280" s="706"/>
    </row>
    <row r="281" spans="8:8" s="1" customFormat="1" x14ac:dyDescent="0.2">
      <c r="H281" s="706"/>
    </row>
    <row r="282" spans="8:8" s="1" customFormat="1" x14ac:dyDescent="0.2">
      <c r="H282" s="706"/>
    </row>
    <row r="283" spans="8:8" s="1" customFormat="1" x14ac:dyDescent="0.2">
      <c r="H283" s="706"/>
    </row>
  </sheetData>
  <sheetProtection algorithmName="SHA-512" hashValue="gF/P7QlJd0xTFoCkRCyGvhoNfd6dFeBX2BGbYJGPSLXP9Np5rWcSPwQxPWku95lHhjzvvKu/s3ypfcU8voxnbg==" saltValue="KjjnfRfyzN0dMGWHwnDJRA==" spinCount="100000" sheet="1" objects="1" scenarios="1" selectLockedCells="1"/>
  <mergeCells count="56">
    <mergeCell ref="B142:D142"/>
    <mergeCell ref="B131:B138"/>
    <mergeCell ref="D131:D138"/>
    <mergeCell ref="G131:G138"/>
    <mergeCell ref="E140:G140"/>
    <mergeCell ref="B141:D141"/>
    <mergeCell ref="E141:G141"/>
    <mergeCell ref="B113:B121"/>
    <mergeCell ref="D113:D121"/>
    <mergeCell ref="G113:G121"/>
    <mergeCell ref="B122:B130"/>
    <mergeCell ref="D122:D130"/>
    <mergeCell ref="G122:G130"/>
    <mergeCell ref="B80:B96"/>
    <mergeCell ref="C80:C87"/>
    <mergeCell ref="H81:H87"/>
    <mergeCell ref="B97:B112"/>
    <mergeCell ref="C97:C104"/>
    <mergeCell ref="H98:H104"/>
    <mergeCell ref="D105:D112"/>
    <mergeCell ref="G105:G112"/>
    <mergeCell ref="E58:G58"/>
    <mergeCell ref="B60:K60"/>
    <mergeCell ref="B61:B79"/>
    <mergeCell ref="D61:D79"/>
    <mergeCell ref="G61:G79"/>
    <mergeCell ref="B39:B47"/>
    <mergeCell ref="D39:D47"/>
    <mergeCell ref="G39:G47"/>
    <mergeCell ref="B48:B56"/>
    <mergeCell ref="D48:D56"/>
    <mergeCell ref="G48:G56"/>
    <mergeCell ref="B21:B29"/>
    <mergeCell ref="D21:D29"/>
    <mergeCell ref="G21:G29"/>
    <mergeCell ref="B30:B38"/>
    <mergeCell ref="D30:D38"/>
    <mergeCell ref="G30:G38"/>
    <mergeCell ref="B8:B20"/>
    <mergeCell ref="D8:D9"/>
    <mergeCell ref="G8:G9"/>
    <mergeCell ref="C10:C14"/>
    <mergeCell ref="H11:H14"/>
    <mergeCell ref="D15:D20"/>
    <mergeCell ref="G15:G20"/>
    <mergeCell ref="M4:P5"/>
    <mergeCell ref="B5:B6"/>
    <mergeCell ref="C5:C6"/>
    <mergeCell ref="M6:N6"/>
    <mergeCell ref="B7:K7"/>
    <mergeCell ref="B1:K1"/>
    <mergeCell ref="N1:O1"/>
    <mergeCell ref="B2:K2"/>
    <mergeCell ref="M2:N2"/>
    <mergeCell ref="B3:K3"/>
    <mergeCell ref="M3:N3"/>
  </mergeCells>
  <conditionalFormatting sqref="M4:P6">
    <cfRule type="expression" dxfId="10" priority="3" stopIfTrue="1">
      <formula>$M$1=1</formula>
    </cfRule>
    <cfRule type="expression" dxfId="9" priority="10">
      <formula>$M$1=2</formula>
    </cfRule>
  </conditionalFormatting>
  <conditionalFormatting sqref="K140 K58 H58:I58 H140:I140">
    <cfRule type="cellIs" dxfId="8" priority="4" operator="equal">
      <formula>0</formula>
    </cfRule>
  </conditionalFormatting>
  <conditionalFormatting sqref="K10 K80 K110 K123">
    <cfRule type="cellIs" dxfId="7" priority="5" operator="equal">
      <formula>0</formula>
    </cfRule>
  </conditionalFormatting>
  <conditionalFormatting sqref="F8:F9 F61:F79 H61:I80 F88:F138 H106:I138 F15:F56 H15:I56">
    <cfRule type="cellIs" dxfId="6" priority="6" operator="equal">
      <formula>0</formula>
    </cfRule>
  </conditionalFormatting>
  <conditionalFormatting sqref="F11:F14 F81:F87">
    <cfRule type="cellIs" dxfId="5" priority="7" operator="equal">
      <formula>0</formula>
    </cfRule>
  </conditionalFormatting>
  <conditionalFormatting sqref="G11:G14 I11:I14 G81:G87 I81:I87 G98:G104 I98:I104">
    <cfRule type="cellIs" dxfId="4" priority="8" operator="equal">
      <formula>0</formula>
    </cfRule>
    <cfRule type="cellIs" dxfId="3" priority="9" operator="equal">
      <formula>0</formula>
    </cfRule>
  </conditionalFormatting>
  <conditionalFormatting sqref="H8:I9 H61:I79 H88:I96 H105:I138 H15:I56">
    <cfRule type="cellIs" dxfId="2" priority="12" operator="equal">
      <formula>0</formula>
    </cfRule>
  </conditionalFormatting>
  <conditionalFormatting sqref="H97:K97 H80:K80 H10:K10">
    <cfRule type="cellIs" dxfId="1" priority="13" operator="equal">
      <formula>0</formula>
    </cfRule>
  </conditionalFormatting>
  <conditionalFormatting sqref="M6:P6">
    <cfRule type="expression" dxfId="0" priority="1">
      <formula>$M$1=1</formula>
    </cfRule>
  </conditionalFormatting>
  <printOptions horizontalCentered="1"/>
  <pageMargins left="0.47222222222222199" right="0.15763888888888899" top="0.43055555555555602" bottom="0.31527777777777799" header="0.31527777777777799" footer="0.15763888888888899"/>
  <pageSetup fitToHeight="0" orientation="portrait" horizontalDpi="300" verticalDpi="300"/>
  <headerFooter>
    <oddHeader>&amp;C&amp;28 &amp;"Arial,Bold"</oddHeader>
    <oddFooter>&amp;L&amp;D&amp;R&amp;P/&amp;N</oddFooter>
  </headerFooter>
  <rowBreaks count="3" manualBreakCount="3">
    <brk id="38" max="16383" man="1"/>
    <brk id="59" max="16383" man="1"/>
    <brk id="96" max="16383" man="1"/>
  </rowBreak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22"/>
  <sheetViews>
    <sheetView showRowColHeaders="0" showZeros="0" zoomScaleNormal="100" workbookViewId="0">
      <selection activeCell="B17" sqref="B17"/>
    </sheetView>
  </sheetViews>
  <sheetFormatPr defaultColWidth="8.7109375" defaultRowHeight="12.75" x14ac:dyDescent="0.2"/>
  <sheetData>
    <row r="1" spans="1:2" x14ac:dyDescent="0.2">
      <c r="A1">
        <f>'Data Set up'!F10</f>
        <v>0</v>
      </c>
      <c r="B1" t="s">
        <v>693</v>
      </c>
    </row>
    <row r="2" spans="1:2" x14ac:dyDescent="0.2">
      <c r="A2" s="1435">
        <f>'Data Set up'!F12</f>
        <v>0</v>
      </c>
      <c r="B2" t="s">
        <v>694</v>
      </c>
    </row>
    <row r="3" spans="1:2" x14ac:dyDescent="0.2">
      <c r="A3" t="str">
        <f>'Data Set up'!C20</f>
        <v>British Columbia</v>
      </c>
      <c r="B3" t="s">
        <v>357</v>
      </c>
    </row>
    <row r="4" spans="1:2" x14ac:dyDescent="0.2">
      <c r="A4">
        <f>'ACC9 (Pages 2-3) Revenues'!J8</f>
        <v>0</v>
      </c>
      <c r="B4" t="s">
        <v>695</v>
      </c>
    </row>
    <row r="5" spans="1:2" x14ac:dyDescent="0.2">
      <c r="A5">
        <f>'ACC9 (Pages 2-3) Revenues'!K17</f>
        <v>0</v>
      </c>
      <c r="B5" t="s">
        <v>696</v>
      </c>
    </row>
    <row r="6" spans="1:2" x14ac:dyDescent="0.2">
      <c r="A6">
        <f>'ACC9 (Pages 2-3) Revenues'!K29</f>
        <v>0</v>
      </c>
      <c r="B6" t="s">
        <v>697</v>
      </c>
    </row>
    <row r="7" spans="1:2" x14ac:dyDescent="0.2">
      <c r="A7">
        <f>'ACC9 (Pages 2-3) Revenues'!K41</f>
        <v>0</v>
      </c>
      <c r="B7" t="s">
        <v>698</v>
      </c>
    </row>
    <row r="8" spans="1:2" x14ac:dyDescent="0.2">
      <c r="A8">
        <f>'ACC9 (Pages 2-3) Revenues'!K53</f>
        <v>0</v>
      </c>
      <c r="B8" t="s">
        <v>699</v>
      </c>
    </row>
    <row r="9" spans="1:2" x14ac:dyDescent="0.2">
      <c r="A9">
        <f>'ACC9 (Pages 2-3) Revenues'!K65</f>
        <v>0</v>
      </c>
      <c r="B9" t="s">
        <v>700</v>
      </c>
    </row>
    <row r="10" spans="1:2" x14ac:dyDescent="0.2">
      <c r="A10">
        <f>'ACC9 (Pages 2-3) Revenues'!K67</f>
        <v>0</v>
      </c>
      <c r="B10" t="s">
        <v>701</v>
      </c>
    </row>
    <row r="11" spans="1:2" x14ac:dyDescent="0.2">
      <c r="A11">
        <f>'ACC9 (Pages 4-5) Expenses'!J12</f>
        <v>0</v>
      </c>
      <c r="B11" t="s">
        <v>702</v>
      </c>
    </row>
    <row r="12" spans="1:2" x14ac:dyDescent="0.2">
      <c r="A12">
        <f>'ACC9 (Pages 4-5) Expenses'!J13</f>
        <v>0</v>
      </c>
      <c r="B12" t="s">
        <v>703</v>
      </c>
    </row>
    <row r="13" spans="1:2" x14ac:dyDescent="0.2">
      <c r="A13">
        <f>'ACC9 (Pages 4-5) Expenses'!K29</f>
        <v>0</v>
      </c>
      <c r="B13" t="s">
        <v>704</v>
      </c>
    </row>
    <row r="14" spans="1:2" x14ac:dyDescent="0.2">
      <c r="A14">
        <f>'ACC9 (Pages 4-5) Expenses'!K51</f>
        <v>0</v>
      </c>
      <c r="B14" t="s">
        <v>705</v>
      </c>
    </row>
    <row r="15" spans="1:2" x14ac:dyDescent="0.2">
      <c r="A15">
        <f>'ACC9 (Pages 4-5) Expenses'!K63+'ACC9 (Pages 4-5) Expenses'!K75</f>
        <v>0</v>
      </c>
      <c r="B15" t="s">
        <v>706</v>
      </c>
    </row>
    <row r="16" spans="1:2" x14ac:dyDescent="0.2">
      <c r="A16">
        <f>'ACC9 (Pages 4-5) Expenses'!K86</f>
        <v>0</v>
      </c>
      <c r="B16" t="s">
        <v>707</v>
      </c>
    </row>
    <row r="17" spans="1:2" x14ac:dyDescent="0.2">
      <c r="A17">
        <f>'ACC9 (Pages 4-5) Expenses'!K88</f>
        <v>0</v>
      </c>
      <c r="B17" t="s">
        <v>706</v>
      </c>
    </row>
    <row r="18" spans="1:2" x14ac:dyDescent="0.2">
      <c r="A18">
        <f>'ACC9 (Page 6) Balance Sheet'!N21</f>
        <v>0</v>
      </c>
      <c r="B18" t="s">
        <v>708</v>
      </c>
    </row>
    <row r="19" spans="1:2" x14ac:dyDescent="0.2">
      <c r="A19">
        <f>'ACC9 (Page 6) Balance Sheet'!L37</f>
        <v>0</v>
      </c>
      <c r="B19" t="s">
        <v>709</v>
      </c>
    </row>
    <row r="20" spans="1:2" x14ac:dyDescent="0.2">
      <c r="A20">
        <f>'ACC9 (Page 6) Balance Sheet'!N49</f>
        <v>0</v>
      </c>
      <c r="B20" t="s">
        <v>710</v>
      </c>
    </row>
    <row r="21" spans="1:2" x14ac:dyDescent="0.2">
      <c r="A21">
        <f>'ACC9 (Page 6) Balance Sheet'!N54</f>
        <v>0</v>
      </c>
      <c r="B21" t="s">
        <v>711</v>
      </c>
    </row>
    <row r="22" spans="1:2" x14ac:dyDescent="0.2">
      <c r="A22">
        <f>'ACC9 (Page 6) Balance Sheet'!N65</f>
        <v>0</v>
      </c>
      <c r="B22" t="s">
        <v>712</v>
      </c>
    </row>
  </sheetData>
  <pageMargins left="0.7" right="0.7" top="0.75" bottom="0.75" header="0.511811023622047" footer="0.511811023622047"/>
  <pageSetup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249977111117893"/>
    <pageSetUpPr fitToPage="1"/>
  </sheetPr>
  <dimension ref="A1:AMJ551"/>
  <sheetViews>
    <sheetView showGridLines="0" showRowColHeaders="0" showZeros="0" zoomScale="85" zoomScaleNormal="85" workbookViewId="0">
      <pane xSplit="10" ySplit="15" topLeftCell="K16" activePane="bottomRight" state="frozen"/>
      <selection pane="topRight" activeCell="CG1" sqref="CG1"/>
      <selection pane="bottomLeft" activeCell="A16" sqref="A16"/>
      <selection pane="bottomRight" activeCell="BA16" sqref="BA16"/>
    </sheetView>
  </sheetViews>
  <sheetFormatPr defaultColWidth="11.42578125" defaultRowHeight="12.75" x14ac:dyDescent="0.2"/>
  <cols>
    <col min="1" max="1" width="3.7109375" style="205" customWidth="1"/>
    <col min="2" max="2" width="4.140625" style="144" customWidth="1"/>
    <col min="3" max="3" width="7" style="144" customWidth="1"/>
    <col min="4" max="4" width="14.140625" style="80" customWidth="1"/>
    <col min="5" max="5" width="12.140625" style="144" customWidth="1"/>
    <col min="6" max="6" width="48.7109375" style="80" customWidth="1"/>
    <col min="7" max="7" width="17.5703125" style="80" customWidth="1"/>
    <col min="8" max="8" width="21.28515625" style="80" customWidth="1"/>
    <col min="9" max="9" width="7.7109375" style="80" hidden="1" customWidth="1"/>
    <col min="10" max="10" width="15.5703125" style="80" customWidth="1"/>
    <col min="11" max="13" width="12.140625" style="80" customWidth="1"/>
    <col min="14" max="14" width="7.5703125" style="80" hidden="1" customWidth="1"/>
    <col min="15" max="15" width="10.85546875" style="80" hidden="1" customWidth="1"/>
    <col min="16" max="16" width="13" style="80" customWidth="1"/>
    <col min="17" max="94" width="13.7109375" style="80" customWidth="1"/>
    <col min="95" max="95" width="10.28515625" style="80" hidden="1" customWidth="1"/>
    <col min="96" max="96" width="16.42578125" style="1" customWidth="1"/>
    <col min="97" max="97" width="6.85546875" style="1" hidden="1" customWidth="1"/>
    <col min="98" max="98" width="25.7109375" style="1" customWidth="1"/>
    <col min="99" max="99" width="28.5703125" style="1" customWidth="1"/>
    <col min="100" max="298" width="9.140625" style="1" customWidth="1"/>
    <col min="299" max="1024" width="11.42578125" style="1"/>
  </cols>
  <sheetData>
    <row r="1" spans="1:104" ht="33.75" customHeight="1" x14ac:dyDescent="0.4">
      <c r="B1" s="1452" t="str">
        <f>IF(D4=2, "Journal des dépenses","Expenses Journal")</f>
        <v>Expenses Journal</v>
      </c>
      <c r="C1" s="1452"/>
      <c r="D1" s="1452"/>
      <c r="E1" s="1452"/>
      <c r="F1" s="1452"/>
      <c r="G1" s="1452"/>
      <c r="H1" s="1452"/>
      <c r="I1" s="1452"/>
      <c r="J1" s="1452"/>
      <c r="K1" s="146"/>
      <c r="L1" s="146"/>
      <c r="M1" s="146"/>
      <c r="N1" s="348"/>
      <c r="O1" s="348"/>
      <c r="P1" s="146"/>
      <c r="Q1" s="147">
        <v>1</v>
      </c>
      <c r="T1" s="147"/>
      <c r="U1" s="147">
        <v>1</v>
      </c>
    </row>
    <row r="2" spans="1:104" ht="33.75" customHeight="1" x14ac:dyDescent="0.2">
      <c r="B2" s="1514">
        <f>'Data Set up'!B2:I2</f>
        <v>0</v>
      </c>
      <c r="C2" s="1514"/>
      <c r="D2" s="1514"/>
      <c r="E2" s="1514"/>
      <c r="F2" s="1514"/>
      <c r="G2" s="1514"/>
      <c r="H2" s="1514"/>
      <c r="I2" s="1514"/>
      <c r="J2" s="1514"/>
      <c r="K2" s="349"/>
      <c r="L2" s="349"/>
      <c r="M2" s="349"/>
      <c r="N2" s="350"/>
      <c r="O2" s="350"/>
      <c r="P2" s="351"/>
      <c r="CQ2" s="145" t="s">
        <v>178</v>
      </c>
      <c r="CS2" s="145" t="s">
        <v>178</v>
      </c>
    </row>
    <row r="3" spans="1:104" ht="42" customHeight="1" x14ac:dyDescent="0.2">
      <c r="B3" s="1497" t="str">
        <f>'Revenue Jrnl'!B3:J3</f>
        <v>For the period from 1 september 2023 to 31 August 2024</v>
      </c>
      <c r="C3" s="1497"/>
      <c r="D3" s="1497"/>
      <c r="E3" s="1497"/>
      <c r="F3" s="1497"/>
      <c r="G3" s="1497"/>
      <c r="H3" s="1497"/>
      <c r="I3" s="1497"/>
      <c r="J3" s="1497"/>
      <c r="K3" s="149"/>
      <c r="L3" s="149"/>
      <c r="M3" s="149"/>
      <c r="N3" s="149"/>
      <c r="O3" s="149"/>
      <c r="P3" s="352"/>
      <c r="Q3" s="150"/>
      <c r="R3" s="150"/>
      <c r="S3" s="150"/>
      <c r="T3" s="150"/>
      <c r="U3" s="150"/>
      <c r="V3" s="150"/>
      <c r="W3" s="150"/>
      <c r="X3" s="150"/>
      <c r="Y3" s="150"/>
      <c r="Z3" s="150"/>
      <c r="AA3" s="353"/>
      <c r="AB3" s="353"/>
      <c r="AC3" s="353"/>
      <c r="AD3" s="353"/>
      <c r="AE3" s="353"/>
      <c r="AF3" s="353"/>
      <c r="AG3" s="353"/>
      <c r="AH3" s="353"/>
      <c r="AI3" s="353"/>
      <c r="AJ3" s="354"/>
      <c r="AK3" s="354"/>
      <c r="AL3" s="354"/>
      <c r="AM3" s="354"/>
      <c r="AN3" s="354"/>
      <c r="AO3" s="354"/>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N3" s="355"/>
      <c r="BO3" s="355"/>
      <c r="BP3" s="355"/>
      <c r="BQ3" s="355"/>
      <c r="BR3" s="355"/>
      <c r="BS3" s="355"/>
      <c r="BT3" s="355"/>
      <c r="BU3" s="355"/>
      <c r="BV3" s="355"/>
      <c r="BW3" s="355"/>
      <c r="BX3" s="355"/>
      <c r="BY3" s="355"/>
      <c r="BZ3" s="355"/>
      <c r="CA3" s="355"/>
      <c r="CB3" s="355"/>
      <c r="CC3" s="355"/>
      <c r="CD3" s="355"/>
      <c r="CQ3" s="145" t="s">
        <v>179</v>
      </c>
      <c r="CS3" s="145" t="s">
        <v>179</v>
      </c>
    </row>
    <row r="4" spans="1:104" ht="17.25" customHeight="1" x14ac:dyDescent="0.2">
      <c r="B4" s="126">
        <f>'ACC9 (Page 6) Balance Sheet'!Q54</f>
        <v>0</v>
      </c>
      <c r="C4" s="126"/>
      <c r="D4" s="152">
        <f>'Data Set up'!K10</f>
        <v>1</v>
      </c>
      <c r="E4" s="153"/>
      <c r="F4" s="1499" t="str">
        <f>IF($D$4=2,"Ajoutez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500"/>
      <c r="H4" s="356"/>
      <c r="I4" s="356"/>
      <c r="J4" s="356"/>
      <c r="K4" s="356"/>
      <c r="P4" s="1501">
        <v>5000</v>
      </c>
      <c r="Q4" s="1501"/>
      <c r="R4" s="1501"/>
      <c r="S4" s="1501"/>
      <c r="T4" s="1501"/>
      <c r="U4" s="1501"/>
      <c r="V4" s="1501"/>
      <c r="W4" s="1501"/>
      <c r="X4" s="1501"/>
      <c r="Y4" s="1501"/>
      <c r="Z4" s="1501"/>
      <c r="AA4" s="1501"/>
      <c r="AB4" s="1501"/>
      <c r="AC4" s="1501"/>
      <c r="AD4" s="1501"/>
      <c r="AE4" s="1501"/>
      <c r="AF4" s="1501"/>
      <c r="AG4" s="1501"/>
      <c r="AH4" s="1501"/>
      <c r="AI4" s="1501">
        <v>5300</v>
      </c>
      <c r="AJ4" s="1501"/>
      <c r="AK4" s="1501"/>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1501"/>
      <c r="BN4" s="1501"/>
      <c r="BO4" s="1501"/>
      <c r="BP4" s="1501">
        <v>5500</v>
      </c>
      <c r="BQ4" s="1501"/>
      <c r="BR4" s="1501"/>
      <c r="BS4" s="1501"/>
      <c r="BT4" s="1501"/>
      <c r="BU4" s="1501"/>
      <c r="BV4" s="1501"/>
      <c r="BW4" s="1501"/>
      <c r="BX4" s="1501"/>
      <c r="BY4" s="1501">
        <v>5600</v>
      </c>
      <c r="BZ4" s="1501"/>
      <c r="CA4" s="1501"/>
      <c r="CB4" s="1501"/>
      <c r="CC4" s="1501"/>
      <c r="CD4" s="1501"/>
      <c r="CE4" s="1501"/>
      <c r="CF4" s="1501"/>
      <c r="CG4" s="1501"/>
      <c r="CH4" s="1501">
        <v>5800</v>
      </c>
      <c r="CI4" s="1501"/>
      <c r="CJ4" s="1501"/>
      <c r="CK4" s="1501"/>
      <c r="CL4" s="1501"/>
      <c r="CM4" s="1501"/>
      <c r="CN4" s="1501"/>
      <c r="CO4" s="1501"/>
      <c r="CP4" s="357"/>
      <c r="CQ4" s="1"/>
    </row>
    <row r="5" spans="1:104" ht="37.5" customHeight="1" x14ac:dyDescent="0.25">
      <c r="D5" s="358"/>
      <c r="E5" s="359"/>
      <c r="F5" s="1499"/>
      <c r="G5" s="1500"/>
      <c r="H5" s="143"/>
      <c r="I5" s="143"/>
      <c r="J5" s="143"/>
      <c r="K5" s="143"/>
      <c r="L5" s="143"/>
      <c r="M5" s="143"/>
      <c r="N5" s="143"/>
      <c r="O5" s="143"/>
      <c r="P5" s="1502" t="str">
        <f>IF(D4=2,"Frais administratifs et d'exploitation","Administrative &amp; Operating Expenses")</f>
        <v>Administrative &amp; Operating Expenses</v>
      </c>
      <c r="Q5" s="1502"/>
      <c r="R5" s="1502"/>
      <c r="S5" s="1502"/>
      <c r="T5" s="1502"/>
      <c r="U5" s="1502"/>
      <c r="V5" s="1502"/>
      <c r="W5" s="1502"/>
      <c r="X5" s="1502"/>
      <c r="Y5" s="1502"/>
      <c r="Z5" s="1502"/>
      <c r="AA5" s="1502"/>
      <c r="AB5" s="1502"/>
      <c r="AC5" s="1502"/>
      <c r="AD5" s="1502"/>
      <c r="AE5" s="1502"/>
      <c r="AF5" s="1502"/>
      <c r="AG5" s="1502"/>
      <c r="AH5" s="1502"/>
      <c r="AI5" s="1502" t="str">
        <f>IF(D4=2,"Déboursés - Activités des cadets/Escadron","Squadron/Cadet Activities Expenses")</f>
        <v>Squadron/Cadet Activities Expenses</v>
      </c>
      <c r="AJ5" s="1502"/>
      <c r="AK5" s="1502"/>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c r="BP5" s="1502" t="str">
        <f>IF(D4=2,"Déboursés - Levées de fonds-Jeux et loteries","Expenses - Gaming &amp; Lotteries Fundraising")</f>
        <v>Expenses - Gaming &amp; Lotteries Fundraising</v>
      </c>
      <c r="BQ5" s="1502"/>
      <c r="BR5" s="1502"/>
      <c r="BS5" s="1502"/>
      <c r="BT5" s="1502"/>
      <c r="BU5" s="1502"/>
      <c r="BV5" s="1502"/>
      <c r="BW5" s="1502"/>
      <c r="BX5" s="1502"/>
      <c r="BY5" s="1502" t="str">
        <f>IF(D4=2,"Déboursés - Autres levées de fonds","Expenses - Other Fundraising")</f>
        <v>Expenses - Other Fundraising</v>
      </c>
      <c r="BZ5" s="1502"/>
      <c r="CA5" s="1502"/>
      <c r="CB5" s="1502"/>
      <c r="CC5" s="1502"/>
      <c r="CD5" s="1502"/>
      <c r="CE5" s="1502"/>
      <c r="CF5" s="1502"/>
      <c r="CG5" s="1502"/>
      <c r="CH5" s="1502" t="str">
        <f>IF(D4=2,"Autres déboursés","Other Expenses")</f>
        <v>Other Expenses</v>
      </c>
      <c r="CI5" s="1502"/>
      <c r="CJ5" s="1502"/>
      <c r="CK5" s="1502"/>
      <c r="CL5" s="1502"/>
      <c r="CM5" s="1502"/>
      <c r="CN5" s="1502"/>
      <c r="CO5" s="1502"/>
      <c r="CQ5" s="1"/>
      <c r="CU5" s="147"/>
    </row>
    <row r="6" spans="1:104" ht="18.75" customHeight="1" x14ac:dyDescent="0.25">
      <c r="B6" s="360" t="s">
        <v>180</v>
      </c>
      <c r="C6" s="360"/>
      <c r="D6" s="358"/>
      <c r="E6" s="359"/>
      <c r="F6" s="1499"/>
      <c r="G6" s="1500"/>
      <c r="H6" s="215"/>
      <c r="I6" s="145"/>
      <c r="J6" s="145"/>
      <c r="K6" s="1515" t="str">
        <f>IF(D4=2,"Si des taxes sont payés, inscrivez-les ici.","If taxes are paid, enter them here.")</f>
        <v>If taxes are paid, enter them here.</v>
      </c>
      <c r="L6" s="1515"/>
      <c r="M6" s="1515"/>
      <c r="N6" s="206"/>
      <c r="O6" s="206"/>
      <c r="P6" s="361">
        <v>5010</v>
      </c>
      <c r="Q6" s="362">
        <v>5020</v>
      </c>
      <c r="R6" s="362">
        <v>5030</v>
      </c>
      <c r="S6" s="362">
        <v>5040</v>
      </c>
      <c r="T6" s="362">
        <v>5050</v>
      </c>
      <c r="U6" s="362">
        <v>5060</v>
      </c>
      <c r="V6" s="362">
        <v>5070</v>
      </c>
      <c r="W6" s="362">
        <v>5080</v>
      </c>
      <c r="X6" s="362">
        <v>5090</v>
      </c>
      <c r="Y6" s="362">
        <v>5100</v>
      </c>
      <c r="Z6" s="362">
        <v>5110</v>
      </c>
      <c r="AA6" s="363">
        <v>5120</v>
      </c>
      <c r="AB6" s="363">
        <v>5130</v>
      </c>
      <c r="AC6" s="363">
        <v>5140</v>
      </c>
      <c r="AD6" s="1443">
        <v>5150</v>
      </c>
      <c r="AE6" s="1443">
        <v>5160</v>
      </c>
      <c r="AF6" s="1443">
        <v>5170</v>
      </c>
      <c r="AG6" s="1443">
        <v>5180</v>
      </c>
      <c r="AH6" s="1444">
        <v>5190</v>
      </c>
      <c r="AI6" s="364">
        <v>5310</v>
      </c>
      <c r="AJ6" s="1445">
        <v>5310.1</v>
      </c>
      <c r="AK6" s="1445">
        <v>5310.2</v>
      </c>
      <c r="AL6" s="1445">
        <v>5310.3</v>
      </c>
      <c r="AM6" s="1445">
        <v>5310.4</v>
      </c>
      <c r="AN6" s="1445">
        <v>5310.5</v>
      </c>
      <c r="AO6" s="1445">
        <v>5310.6</v>
      </c>
      <c r="AP6" s="1446">
        <v>5310.7</v>
      </c>
      <c r="AQ6" s="364">
        <v>5320</v>
      </c>
      <c r="AR6" s="362">
        <v>5330</v>
      </c>
      <c r="AS6" s="362">
        <v>5340</v>
      </c>
      <c r="AT6" s="362">
        <v>5350</v>
      </c>
      <c r="AU6" s="362">
        <v>5360</v>
      </c>
      <c r="AV6" s="362">
        <v>5370</v>
      </c>
      <c r="AW6" s="362">
        <v>5380</v>
      </c>
      <c r="AX6" s="362">
        <v>5390</v>
      </c>
      <c r="AY6" s="362">
        <v>5400</v>
      </c>
      <c r="AZ6" s="161">
        <v>5410</v>
      </c>
      <c r="BA6" s="1436">
        <v>5410.1</v>
      </c>
      <c r="BB6" s="1436">
        <v>5410.2</v>
      </c>
      <c r="BC6" s="1436">
        <v>5410.3</v>
      </c>
      <c r="BD6" s="1436">
        <v>5410.4</v>
      </c>
      <c r="BE6" s="1436">
        <v>5410.5</v>
      </c>
      <c r="BF6" s="1436">
        <v>5410.6</v>
      </c>
      <c r="BG6" s="1439">
        <v>5410.7</v>
      </c>
      <c r="BH6" s="162">
        <v>5420</v>
      </c>
      <c r="BI6" s="160">
        <v>5430</v>
      </c>
      <c r="BJ6" s="1436">
        <v>5440</v>
      </c>
      <c r="BK6" s="1436">
        <v>5450</v>
      </c>
      <c r="BL6" s="1436">
        <v>5460</v>
      </c>
      <c r="BM6" s="1439">
        <v>5470</v>
      </c>
      <c r="BN6" s="1439">
        <v>5480</v>
      </c>
      <c r="BO6" s="1440">
        <v>5490</v>
      </c>
      <c r="BP6" s="1447">
        <v>5510</v>
      </c>
      <c r="BQ6" s="1443">
        <v>5520</v>
      </c>
      <c r="BR6" s="1443">
        <v>5530</v>
      </c>
      <c r="BS6" s="1443">
        <v>5540</v>
      </c>
      <c r="BT6" s="1443">
        <v>5550</v>
      </c>
      <c r="BU6" s="1443">
        <v>5560</v>
      </c>
      <c r="BV6" s="1443">
        <v>5570</v>
      </c>
      <c r="BW6" s="1443">
        <v>5580</v>
      </c>
      <c r="BX6" s="1443">
        <v>5590</v>
      </c>
      <c r="BY6" s="1448">
        <v>5610</v>
      </c>
      <c r="BZ6" s="1443">
        <v>5620</v>
      </c>
      <c r="CA6" s="1446">
        <v>5630</v>
      </c>
      <c r="CB6" s="1446">
        <v>5640</v>
      </c>
      <c r="CC6" s="1446">
        <v>5650</v>
      </c>
      <c r="CD6" s="1446">
        <v>5660</v>
      </c>
      <c r="CE6" s="1443">
        <v>5670</v>
      </c>
      <c r="CF6" s="1443">
        <v>5680</v>
      </c>
      <c r="CG6" s="1444">
        <v>5690</v>
      </c>
      <c r="CH6" s="361">
        <v>5810</v>
      </c>
      <c r="CI6" s="363">
        <v>5820</v>
      </c>
      <c r="CJ6" s="363">
        <v>5830</v>
      </c>
      <c r="CK6" s="1443">
        <v>5840</v>
      </c>
      <c r="CL6" s="1443">
        <v>5850</v>
      </c>
      <c r="CM6" s="1443">
        <v>5860</v>
      </c>
      <c r="CN6" s="1443">
        <v>5870</v>
      </c>
      <c r="CO6" s="365">
        <v>5880</v>
      </c>
      <c r="CP6" s="366"/>
      <c r="CQ6" s="1"/>
      <c r="CU6" s="147"/>
    </row>
    <row r="7" spans="1:104" ht="18" customHeight="1" x14ac:dyDescent="0.25">
      <c r="D7" s="358"/>
      <c r="E7" s="367"/>
      <c r="F7" s="1499"/>
      <c r="G7" s="1500"/>
      <c r="H7" s="215"/>
      <c r="I7" s="145"/>
      <c r="J7" s="145"/>
      <c r="K7" s="1515"/>
      <c r="L7" s="1515"/>
      <c r="M7" s="1515"/>
      <c r="N7" s="206"/>
      <c r="O7" s="206"/>
      <c r="P7" s="368" t="s">
        <v>181</v>
      </c>
      <c r="Q7" s="369" t="s">
        <v>182</v>
      </c>
      <c r="R7" s="369" t="s">
        <v>183</v>
      </c>
      <c r="S7" s="369" t="s">
        <v>184</v>
      </c>
      <c r="T7" s="369" t="s">
        <v>185</v>
      </c>
      <c r="U7" s="369" t="s">
        <v>278</v>
      </c>
      <c r="V7" s="369" t="s">
        <v>187</v>
      </c>
      <c r="W7" s="369" t="s">
        <v>188</v>
      </c>
      <c r="X7" s="369" t="s">
        <v>189</v>
      </c>
      <c r="Y7" s="369" t="s">
        <v>279</v>
      </c>
      <c r="Z7" s="369" t="s">
        <v>280</v>
      </c>
      <c r="AA7" s="369" t="s">
        <v>281</v>
      </c>
      <c r="AB7" s="369" t="s">
        <v>282</v>
      </c>
      <c r="AC7" s="369" t="s">
        <v>283</v>
      </c>
      <c r="AD7" s="369" t="s">
        <v>284</v>
      </c>
      <c r="AE7" s="369" t="s">
        <v>285</v>
      </c>
      <c r="AF7" s="369" t="s">
        <v>286</v>
      </c>
      <c r="AG7" s="369" t="s">
        <v>287</v>
      </c>
      <c r="AH7" s="370" t="s">
        <v>288</v>
      </c>
      <c r="AI7" s="371" t="s">
        <v>289</v>
      </c>
      <c r="AJ7" s="372"/>
      <c r="AK7" s="372"/>
      <c r="AL7" s="372"/>
      <c r="AM7" s="373"/>
      <c r="AN7" s="372"/>
      <c r="AO7" s="372"/>
      <c r="AP7" s="369"/>
      <c r="AQ7" s="371" t="s">
        <v>290</v>
      </c>
      <c r="AR7" s="369" t="s">
        <v>291</v>
      </c>
      <c r="AS7" s="369" t="s">
        <v>292</v>
      </c>
      <c r="AT7" s="369" t="s">
        <v>293</v>
      </c>
      <c r="AU7" s="369" t="s">
        <v>294</v>
      </c>
      <c r="AV7" s="369" t="s">
        <v>295</v>
      </c>
      <c r="AW7" s="369" t="s">
        <v>296</v>
      </c>
      <c r="AX7" s="369" t="s">
        <v>297</v>
      </c>
      <c r="AY7" s="369" t="s">
        <v>199</v>
      </c>
      <c r="AZ7" s="374" t="s">
        <v>200</v>
      </c>
      <c r="BA7" s="375"/>
      <c r="BB7" s="375"/>
      <c r="BC7" s="375"/>
      <c r="BD7" s="375"/>
      <c r="BE7" s="375"/>
      <c r="BF7" s="375"/>
      <c r="BG7" s="375"/>
      <c r="BH7" s="376" t="s">
        <v>201</v>
      </c>
      <c r="BI7" s="375" t="s">
        <v>202</v>
      </c>
      <c r="BJ7" s="375" t="s">
        <v>203</v>
      </c>
      <c r="BK7" s="375" t="s">
        <v>204</v>
      </c>
      <c r="BL7" s="375" t="s">
        <v>205</v>
      </c>
      <c r="BM7" s="375" t="s">
        <v>206</v>
      </c>
      <c r="BN7" s="375" t="s">
        <v>207</v>
      </c>
      <c r="BO7" s="377" t="s">
        <v>298</v>
      </c>
      <c r="BP7" s="378" t="s">
        <v>299</v>
      </c>
      <c r="BQ7" s="374" t="s">
        <v>300</v>
      </c>
      <c r="BR7" s="374" t="s">
        <v>301</v>
      </c>
      <c r="BS7" s="374" t="s">
        <v>302</v>
      </c>
      <c r="BT7" s="374" t="s">
        <v>303</v>
      </c>
      <c r="BU7" s="374" t="s">
        <v>304</v>
      </c>
      <c r="BV7" s="374" t="s">
        <v>305</v>
      </c>
      <c r="BW7" s="374" t="s">
        <v>306</v>
      </c>
      <c r="BX7" s="374" t="s">
        <v>307</v>
      </c>
      <c r="BY7" s="371" t="s">
        <v>208</v>
      </c>
      <c r="BZ7" s="369" t="s">
        <v>209</v>
      </c>
      <c r="CA7" s="369" t="s">
        <v>210</v>
      </c>
      <c r="CB7" s="369" t="s">
        <v>211</v>
      </c>
      <c r="CC7" s="369" t="s">
        <v>212</v>
      </c>
      <c r="CD7" s="369" t="s">
        <v>213</v>
      </c>
      <c r="CE7" s="369" t="s">
        <v>214</v>
      </c>
      <c r="CF7" s="369" t="s">
        <v>215</v>
      </c>
      <c r="CG7" s="369" t="s">
        <v>216</v>
      </c>
      <c r="CH7" s="371" t="s">
        <v>217</v>
      </c>
      <c r="CI7" s="369" t="s">
        <v>218</v>
      </c>
      <c r="CJ7" s="369" t="s">
        <v>219</v>
      </c>
      <c r="CK7" s="369" t="s">
        <v>220</v>
      </c>
      <c r="CL7" s="369" t="s">
        <v>221</v>
      </c>
      <c r="CM7" s="369" t="s">
        <v>222</v>
      </c>
      <c r="CN7" s="369" t="s">
        <v>223</v>
      </c>
      <c r="CO7" s="379" t="s">
        <v>224</v>
      </c>
      <c r="CP7" s="366"/>
      <c r="CQ7" s="1"/>
      <c r="CU7" s="147"/>
    </row>
    <row r="8" spans="1:104" ht="72.75" customHeight="1" x14ac:dyDescent="0.2">
      <c r="B8" s="380" t="str">
        <f>IF(D4=2,"Réconcilié","Reconciled")</f>
        <v>Reconciled</v>
      </c>
      <c r="C8" s="381" t="str">
        <f>IF(D4=2,"Type Transaction","Transactions Type")</f>
        <v>Transactions Type</v>
      </c>
      <c r="D8" s="382" t="str">
        <f>IF(D4=2,"# de réf","Ref #")</f>
        <v>Ref #</v>
      </c>
      <c r="E8" s="382" t="str">
        <f>IF(D4=2,"Date
(jj/mm/aaaa)","Date
(dd/mm/yyyy)")</f>
        <v>Date
(dd/mm/yyyy)</v>
      </c>
      <c r="F8" s="383" t="str">
        <f>IF(D4=2,"Détails
Pour identifier un chèque annulé, inscrivez ''Chèque annulé''","Details
For identify a void cheque, write ''Void Cheque''")</f>
        <v>Details
For identify a void cheque, write ''Void Cheque''</v>
      </c>
      <c r="G8" s="384" t="str">
        <f>IF(D4=2,"Montants des déboursés","Amount of Disbursements")</f>
        <v>Amount of Disbursements</v>
      </c>
      <c r="H8" s="385" t="str">
        <f>IF(D4=2,"Compte","Account")</f>
        <v>Account</v>
      </c>
      <c r="I8" s="386" t="str">
        <f>IF(D4=2,"No. Compte","Account #")</f>
        <v>Account #</v>
      </c>
      <c r="J8" s="387" t="str">
        <f>IF(D4=2,"PREUVE DE RÉPARTITION dans les catégories - doit être 0$.","PROOF OF CATEGORY ALLOCATION - must be $0")</f>
        <v>PROOF OF CATEGORY ALLOCATION - must be $0</v>
      </c>
      <c r="K8" s="381" t="str">
        <f>IF(D4=2,"TVH","HST")</f>
        <v>HST</v>
      </c>
      <c r="L8" s="381" t="str">
        <f>IF(D4=2,"TPS","GST")</f>
        <v>GST</v>
      </c>
      <c r="M8" s="381" t="str">
        <f>IF(D4=2,"TVP/TVQ","PST/QST")</f>
        <v>PST/QST</v>
      </c>
      <c r="N8" s="388"/>
      <c r="O8" s="388" t="str">
        <f>IF(D4=2,"Remboursement par trimestre","Quarters Rebate")</f>
        <v>Quarters Rebate</v>
      </c>
      <c r="P8" s="389" t="str">
        <f>IF(D4=2,"Admin. et fournitures de bureau","Admin &amp; Office Supplies")</f>
        <v>Admin &amp; Office Supplies</v>
      </c>
      <c r="Q8" s="390" t="str">
        <f>IF(D4=2,"Équipement de bureau","Office Equipment")</f>
        <v>Office Equipment</v>
      </c>
      <c r="R8" s="390" t="str">
        <f>IF(D4=2,"Location locaux de l'esc. et/ou hypothèque","Sqn Quarters Rental and/or Mortgage Costs")</f>
        <v>Sqn Quarters Rental and/or Mortgage Costs</v>
      </c>
      <c r="S8" s="390" t="str">
        <f>IF(D4=2,"Frais d'occupation du QG/locaux - entretien, réparations, expansion, etc.","Sqn Quarters Expenditures - Maintenance, Repairs, Expansion, etc")</f>
        <v>Sqn Quarters Expenditures - Maintenance, Repairs, Expansion, etc</v>
      </c>
      <c r="T8" s="390" t="str">
        <f>IF(D4=2,"Électricité/Chauffage/Tél./Internet/Location de C.P","Utilities/Telephone/Internet/PO Box Rental")</f>
        <v>Utilities/Telephone/Internet/PO Box Rental</v>
      </c>
      <c r="U8" s="390" t="str">
        <f>IF(D4=2,"Frais du CRE/Pers. pour l'AGA et autres réunions","Committee/Staff AGM &amp; Mtg Attendance")</f>
        <v>Committee/Staff AGM &amp; Mtg Attendance</v>
      </c>
      <c r="V8" s="390" t="str">
        <f>IF(D4=2,"Accoutrements Comié/Personnel","Committee/Staff Accoutrement and such")</f>
        <v>Committee/Staff Accoutrement and such</v>
      </c>
      <c r="W8" s="390" t="str">
        <f>IF(D4=2,"Publicité &amp; Recrutement","Recruiting &amp; Advertizing")</f>
        <v>Recruiting &amp; Advertizing</v>
      </c>
      <c r="X8" s="390" t="str">
        <f>IF(D4=2,"Cotisation annuelle du Comité Provincial (CP)","Annual Provinvial Committee Assessment")</f>
        <v>Annual Provinvial Committee Assessment</v>
      </c>
      <c r="Y8" s="390" t="str">
        <f>IF(D4=2,"Frais de cotisation de Groupe, d'Escadre","Air Group, Air Wing Dues and such")</f>
        <v>Air Group, Air Wing Dues and such</v>
      </c>
      <c r="Z8" s="390" t="str">
        <f>IF(D4=2,"Frais bancaires et financiers","Financial &amp; Bank Charges")</f>
        <v>Financial &amp; Bank Charges</v>
      </c>
      <c r="AA8" s="390" t="s">
        <v>308</v>
      </c>
      <c r="AB8" s="390" t="s">
        <v>309</v>
      </c>
      <c r="AC8" s="390" t="s">
        <v>310</v>
      </c>
      <c r="AD8" s="391" t="s">
        <v>719</v>
      </c>
      <c r="AE8" s="391" t="s">
        <v>720</v>
      </c>
      <c r="AF8" s="391" t="s">
        <v>721</v>
      </c>
      <c r="AG8" s="391" t="s">
        <v>43</v>
      </c>
      <c r="AH8" s="391" t="s">
        <v>43</v>
      </c>
      <c r="AI8" s="392" t="str">
        <f>IF($D$4=2,"Formation en campagne/de terrain","Field Training")</f>
        <v>Field Training</v>
      </c>
      <c r="AJ8" s="393" t="s">
        <v>334</v>
      </c>
      <c r="AK8" s="393" t="s">
        <v>335</v>
      </c>
      <c r="AL8" s="393" t="s">
        <v>729</v>
      </c>
      <c r="AM8" s="393" t="s">
        <v>730</v>
      </c>
      <c r="AN8" s="393" t="s">
        <v>731</v>
      </c>
      <c r="AO8" s="393" t="s">
        <v>732</v>
      </c>
      <c r="AP8" s="393" t="s">
        <v>43</v>
      </c>
      <c r="AQ8" s="389" t="str">
        <f>IF(D4=2,"Fanfare - équip., access., entretien et pgm musical","Band Equip., Accessories, Maint. &amp; Music Pgm")</f>
        <v>Band Equip., Accessories, Maint. &amp; Music Pgm</v>
      </c>
      <c r="AR8" s="390" t="str">
        <f>IF(D4=2,"Activités sportives et d'éd. physique","Sports &amp; Phys Ed Related Activities")</f>
        <v>Sports &amp; Phys Ed Related Activities</v>
      </c>
      <c r="AS8" s="390" t="str">
        <f>IF(D4=2,"Débours pour pgm de vol: motorisé et à voile","Flying and Gliding related outlays")</f>
        <v>Flying and Gliding related outlays</v>
      </c>
      <c r="AT8" s="390" t="str">
        <f>IF(D4=2,"Équip. de formation, manuels et fournitures durables","Training Equipment, Manuals &amp;  Durable Supplies")</f>
        <v>Training Equipment, Manuals &amp;  Durable Supplies</v>
      </c>
      <c r="AU8" s="390" t="str">
        <f>IF(D4=2,"Débours pour autres activités non appuyées par le MDN","Other Non-DND Supported Trg/Activities Outlays")</f>
        <v>Other Non-DND Supported Trg/Activities Outlays</v>
      </c>
      <c r="AV8" s="390" t="str">
        <f>IF(D4=2,"Assurances niveau Escadron","Sqn Level Insurance")</f>
        <v>Sqn Level Insurance</v>
      </c>
      <c r="AW8" s="390" t="str">
        <f>IF(D4=2,"Frais de vérif. des volontaires","Volunteer Reg &amp; Screening Costs")</f>
        <v>Volunteer Reg &amp; Screening Costs</v>
      </c>
      <c r="AX8" s="390" t="str">
        <f>IF(D4=2,"Prix &amp; Récompenses","Honours &amp; Awards")</f>
        <v>Honours &amp; Awards</v>
      </c>
      <c r="AY8" s="390" t="str">
        <f>IF(D4=2,"Cérémonial annuel","Annual Ceremonial Review")</f>
        <v>Annual Ceremonial Review</v>
      </c>
      <c r="AZ8" s="394" t="str">
        <f>IF(D4=2,"Banquets pour cadets et autres activités spéciales","Cadet Banquets and Special Events")</f>
        <v>Cadet Banquets and Special Events</v>
      </c>
      <c r="BA8" s="393" t="s">
        <v>740</v>
      </c>
      <c r="BB8" s="393" t="s">
        <v>733</v>
      </c>
      <c r="BC8" s="393" t="s">
        <v>737</v>
      </c>
      <c r="BD8" s="393" t="s">
        <v>735</v>
      </c>
      <c r="BE8" s="393" t="s">
        <v>734</v>
      </c>
      <c r="BF8" s="393" t="s">
        <v>43</v>
      </c>
      <c r="BG8" s="393" t="s">
        <v>43</v>
      </c>
      <c r="BH8" s="389" t="str">
        <f>IF(D4=2,"Items pour cadets et cérémonial","Cadet &amp; Ceremonial Accoutrements")</f>
        <v>Cadet &amp; Ceremonial Accoutrements</v>
      </c>
      <c r="BI8" s="390" t="s">
        <v>311</v>
      </c>
      <c r="BJ8" s="391" t="s">
        <v>736</v>
      </c>
      <c r="BK8" s="391" t="s">
        <v>43</v>
      </c>
      <c r="BL8" s="391" t="s">
        <v>43</v>
      </c>
      <c r="BM8" s="391" t="s">
        <v>43</v>
      </c>
      <c r="BN8" s="391" t="s">
        <v>43</v>
      </c>
      <c r="BO8" s="395" t="s">
        <v>43</v>
      </c>
      <c r="BP8" s="396" t="s">
        <v>714</v>
      </c>
      <c r="BQ8" s="391" t="s">
        <v>43</v>
      </c>
      <c r="BR8" s="391" t="s">
        <v>43</v>
      </c>
      <c r="BS8" s="391" t="s">
        <v>43</v>
      </c>
      <c r="BT8" s="391" t="s">
        <v>43</v>
      </c>
      <c r="BU8" s="391" t="s">
        <v>43</v>
      </c>
      <c r="BV8" s="391" t="s">
        <v>43</v>
      </c>
      <c r="BW8" s="391" t="s">
        <v>43</v>
      </c>
      <c r="BX8" s="395" t="s">
        <v>43</v>
      </c>
      <c r="BY8" s="396" t="s">
        <v>726</v>
      </c>
      <c r="BZ8" s="391" t="s">
        <v>727</v>
      </c>
      <c r="CA8" s="391" t="s">
        <v>723</v>
      </c>
      <c r="CB8" s="391" t="s">
        <v>722</v>
      </c>
      <c r="CC8" s="391" t="s">
        <v>43</v>
      </c>
      <c r="CD8" s="391" t="s">
        <v>43</v>
      </c>
      <c r="CE8" s="391" t="s">
        <v>43</v>
      </c>
      <c r="CF8" s="391" t="s">
        <v>43</v>
      </c>
      <c r="CG8" s="391" t="s">
        <v>43</v>
      </c>
      <c r="CH8" s="389" t="str">
        <f>IF(D4=2,"Voyages et déplacements (non inclus ailleurs)","Travel Expenses (not entered elsewhere)")</f>
        <v>Travel Expenses (not entered elsewhere)</v>
      </c>
      <c r="CI8" s="390" t="str">
        <f>IF(D4=2,"Pertes en capital","Capital Losts")</f>
        <v>Capital Losts</v>
      </c>
      <c r="CJ8" s="391" t="s">
        <v>312</v>
      </c>
      <c r="CK8" s="391" t="s">
        <v>43</v>
      </c>
      <c r="CL8" s="391" t="s">
        <v>43</v>
      </c>
      <c r="CM8" s="391" t="s">
        <v>43</v>
      </c>
      <c r="CN8" s="391" t="s">
        <v>43</v>
      </c>
      <c r="CO8" s="390" t="str">
        <f>IF(D4=2,"Autres dépenses (montant doit être raisonnable)","Other Expenses (Must not be Excessive)")</f>
        <v>Other Expenses (Must not be Excessive)</v>
      </c>
      <c r="CP8" s="397" t="str">
        <f>IF(D4=2,"Transferts de compte à compte ou ajustements.","Transfers between accounts or Adjustments.")</f>
        <v>Transfers between accounts or Adjustments.</v>
      </c>
      <c r="CQ8" s="1"/>
      <c r="CR8" s="398"/>
      <c r="CU8" s="147"/>
    </row>
    <row r="9" spans="1:104" s="15" customFormat="1" ht="15.75" hidden="1" customHeight="1" x14ac:dyDescent="0.2">
      <c r="A9" s="399"/>
      <c r="B9" s="400"/>
      <c r="C9" s="400"/>
      <c r="D9" s="401"/>
      <c r="E9" s="400"/>
      <c r="F9" s="401"/>
      <c r="G9" s="401"/>
      <c r="H9" s="401"/>
      <c r="I9" s="401"/>
      <c r="J9" s="401"/>
      <c r="K9" s="402"/>
      <c r="L9" s="401"/>
      <c r="M9" s="401"/>
      <c r="N9" s="401"/>
      <c r="O9" s="401"/>
      <c r="P9" s="400" t="s">
        <v>105</v>
      </c>
      <c r="Q9" s="401"/>
      <c r="R9" s="401"/>
      <c r="S9" s="401"/>
      <c r="T9" s="401"/>
      <c r="U9" s="401"/>
      <c r="V9" s="401"/>
      <c r="W9" s="403"/>
      <c r="X9" s="401"/>
      <c r="Y9" s="401"/>
      <c r="Z9" s="401"/>
      <c r="AA9" s="401" t="s">
        <v>313</v>
      </c>
      <c r="AB9" s="401"/>
      <c r="AC9" s="401"/>
      <c r="AD9" s="401"/>
      <c r="AE9" s="401"/>
      <c r="AF9" s="401"/>
      <c r="AG9" s="401"/>
      <c r="AH9" s="401"/>
      <c r="AI9" s="401"/>
      <c r="AJ9" s="401" t="s">
        <v>314</v>
      </c>
      <c r="AK9" s="401" t="s">
        <v>315</v>
      </c>
      <c r="AL9" s="401" t="s">
        <v>316</v>
      </c>
      <c r="AM9" s="401"/>
      <c r="AN9" s="401" t="s">
        <v>317</v>
      </c>
      <c r="AO9" s="401" t="s">
        <v>318</v>
      </c>
      <c r="AP9" s="400" t="s">
        <v>319</v>
      </c>
      <c r="AQ9" s="401"/>
      <c r="AR9" s="400"/>
      <c r="AS9" s="401"/>
      <c r="AT9" s="401"/>
      <c r="AU9" s="401"/>
      <c r="AV9" s="401"/>
      <c r="AW9" s="400"/>
      <c r="AX9" s="401"/>
      <c r="AY9" s="403"/>
      <c r="AZ9" s="401"/>
      <c r="BA9" s="401" t="s">
        <v>320</v>
      </c>
      <c r="BB9" s="401" t="s">
        <v>320</v>
      </c>
      <c r="BC9" s="401" t="s">
        <v>320</v>
      </c>
      <c r="BD9" s="401" t="s">
        <v>320</v>
      </c>
      <c r="BE9" s="401" t="s">
        <v>320</v>
      </c>
      <c r="BF9" s="401" t="s">
        <v>320</v>
      </c>
      <c r="BG9" s="401" t="s">
        <v>321</v>
      </c>
      <c r="BH9" s="400"/>
      <c r="BI9" s="401" t="s">
        <v>322</v>
      </c>
      <c r="BJ9" s="401" t="s">
        <v>323</v>
      </c>
      <c r="BK9" s="403" t="s">
        <v>324</v>
      </c>
      <c r="BL9" s="403" t="s">
        <v>325</v>
      </c>
      <c r="BM9" s="401" t="s">
        <v>326</v>
      </c>
      <c r="BN9" s="401"/>
      <c r="BO9" s="401"/>
      <c r="BP9" s="401" t="s">
        <v>327</v>
      </c>
      <c r="BQ9" s="401" t="s">
        <v>328</v>
      </c>
      <c r="BR9" s="401"/>
      <c r="BS9" s="401"/>
      <c r="BT9" s="401"/>
      <c r="BU9" s="401"/>
      <c r="BV9" s="401"/>
      <c r="BW9" s="401"/>
      <c r="BX9" s="401"/>
      <c r="BY9" s="401" t="s">
        <v>329</v>
      </c>
      <c r="BZ9" s="401" t="s">
        <v>330</v>
      </c>
      <c r="CA9" s="401" t="s">
        <v>330</v>
      </c>
      <c r="CB9" s="401" t="s">
        <v>330</v>
      </c>
      <c r="CC9" s="401" t="s">
        <v>330</v>
      </c>
      <c r="CD9" s="401" t="s">
        <v>330</v>
      </c>
      <c r="CE9" s="401" t="s">
        <v>330</v>
      </c>
      <c r="CF9" s="401" t="s">
        <v>330</v>
      </c>
      <c r="CG9" s="401"/>
      <c r="CH9" s="403"/>
      <c r="CI9" s="401"/>
      <c r="CJ9" s="401" t="s">
        <v>331</v>
      </c>
      <c r="CK9" s="404"/>
      <c r="CL9" s="401" t="s">
        <v>332</v>
      </c>
      <c r="CM9" s="401"/>
      <c r="CN9" s="401"/>
      <c r="CO9" s="400"/>
      <c r="CP9" s="400"/>
      <c r="CQ9" s="8"/>
    </row>
    <row r="10" spans="1:104" s="15" customFormat="1" ht="15.75" hidden="1" customHeight="1" x14ac:dyDescent="0.2">
      <c r="A10" s="399"/>
      <c r="B10" s="13"/>
      <c r="C10" s="13"/>
      <c r="D10" s="8"/>
      <c r="E10" s="13"/>
      <c r="F10" s="8"/>
      <c r="G10" s="8"/>
      <c r="H10" s="8"/>
      <c r="I10" s="8"/>
      <c r="J10" s="8"/>
      <c r="K10" s="405"/>
      <c r="L10" s="8"/>
      <c r="M10" s="8"/>
      <c r="N10" s="8"/>
      <c r="O10" s="8"/>
      <c r="P10" s="13" t="s">
        <v>106</v>
      </c>
      <c r="Q10" s="8"/>
      <c r="R10" s="8"/>
      <c r="S10" s="8"/>
      <c r="T10" s="8"/>
      <c r="U10" s="8"/>
      <c r="V10" s="8"/>
      <c r="X10" s="8"/>
      <c r="Y10" s="8"/>
      <c r="Z10" s="8"/>
      <c r="AA10" s="8" t="s">
        <v>333</v>
      </c>
      <c r="AB10" s="8"/>
      <c r="AC10" s="8"/>
      <c r="AD10" s="8"/>
      <c r="AE10" s="8"/>
      <c r="AF10" s="8"/>
      <c r="AG10" s="8"/>
      <c r="AH10" s="8"/>
      <c r="AI10" s="8"/>
      <c r="AJ10" s="8" t="s">
        <v>334</v>
      </c>
      <c r="AK10" s="8" t="s">
        <v>335</v>
      </c>
      <c r="AL10" s="8" t="s">
        <v>336</v>
      </c>
      <c r="AN10" s="8" t="s">
        <v>337</v>
      </c>
      <c r="AO10" s="8" t="s">
        <v>338</v>
      </c>
      <c r="AP10" s="13" t="s">
        <v>339</v>
      </c>
      <c r="AQ10" s="8"/>
      <c r="AR10" s="13"/>
      <c r="AS10" s="8"/>
      <c r="AT10" s="8"/>
      <c r="AU10" s="8"/>
      <c r="AV10" s="8"/>
      <c r="AW10" s="13"/>
      <c r="AX10" s="8"/>
      <c r="AZ10" s="8"/>
      <c r="BA10" s="8" t="s">
        <v>340</v>
      </c>
      <c r="BB10" s="8" t="s">
        <v>340</v>
      </c>
      <c r="BC10" s="8" t="s">
        <v>340</v>
      </c>
      <c r="BD10" s="8" t="s">
        <v>340</v>
      </c>
      <c r="BE10" s="8" t="s">
        <v>340</v>
      </c>
      <c r="BF10" s="8" t="s">
        <v>340</v>
      </c>
      <c r="BG10" s="8" t="s">
        <v>341</v>
      </c>
      <c r="BH10" s="13"/>
      <c r="BI10" s="8" t="s">
        <v>342</v>
      </c>
      <c r="BJ10" s="8" t="s">
        <v>343</v>
      </c>
      <c r="BK10" s="15" t="s">
        <v>344</v>
      </c>
      <c r="BL10" s="15" t="s">
        <v>345</v>
      </c>
      <c r="BM10" s="8" t="s">
        <v>346</v>
      </c>
      <c r="BN10" s="8"/>
      <c r="BO10" s="8"/>
      <c r="BP10" s="8" t="s">
        <v>347</v>
      </c>
      <c r="BQ10" s="8" t="s">
        <v>348</v>
      </c>
      <c r="BR10" s="8"/>
      <c r="BS10" s="8"/>
      <c r="BT10" s="8"/>
      <c r="BU10" s="8"/>
      <c r="BV10" s="8"/>
      <c r="BW10" s="8"/>
      <c r="BX10" s="8"/>
      <c r="BY10" s="8" t="s">
        <v>349</v>
      </c>
      <c r="BZ10" s="8" t="s">
        <v>350</v>
      </c>
      <c r="CA10" s="8" t="s">
        <v>350</v>
      </c>
      <c r="CB10" s="8" t="s">
        <v>350</v>
      </c>
      <c r="CC10" s="8" t="s">
        <v>350</v>
      </c>
      <c r="CD10" s="8" t="s">
        <v>350</v>
      </c>
      <c r="CE10" s="8" t="s">
        <v>350</v>
      </c>
      <c r="CF10" s="8" t="s">
        <v>350</v>
      </c>
      <c r="CG10" s="8"/>
      <c r="CI10" s="8"/>
      <c r="CJ10" s="8" t="s">
        <v>351</v>
      </c>
      <c r="CK10" s="406"/>
      <c r="CL10" s="8" t="s">
        <v>352</v>
      </c>
      <c r="CM10" s="8"/>
      <c r="CN10" s="8"/>
      <c r="CO10" s="13"/>
      <c r="CP10" s="13"/>
      <c r="CQ10" s="8"/>
    </row>
    <row r="11" spans="1:104" s="15" customFormat="1" ht="15.75" hidden="1" customHeight="1" x14ac:dyDescent="0.2">
      <c r="A11" s="399"/>
      <c r="B11" s="13"/>
      <c r="C11" s="13"/>
      <c r="D11" s="8"/>
      <c r="E11" s="13"/>
      <c r="F11" s="8"/>
      <c r="G11" s="8"/>
      <c r="H11" s="8"/>
      <c r="I11" s="8"/>
      <c r="J11" s="8"/>
      <c r="K11" s="407"/>
      <c r="L11" s="8"/>
      <c r="M11" s="8"/>
      <c r="N11" s="8"/>
      <c r="O11" s="8"/>
      <c r="P11" s="8" t="s">
        <v>4</v>
      </c>
      <c r="Q11" s="8"/>
      <c r="R11" s="8"/>
      <c r="S11" s="8"/>
      <c r="T11" s="8"/>
      <c r="U11" s="8"/>
      <c r="V11" s="8"/>
      <c r="Y11" s="8"/>
      <c r="Z11" s="8"/>
      <c r="AA11" s="8" t="s">
        <v>42</v>
      </c>
      <c r="AB11" s="8" t="s">
        <v>42</v>
      </c>
      <c r="AC11" s="8" t="s">
        <v>42</v>
      </c>
      <c r="AD11" s="8" t="s">
        <v>42</v>
      </c>
      <c r="AE11" s="8" t="s">
        <v>42</v>
      </c>
      <c r="AF11" s="8" t="s">
        <v>42</v>
      </c>
      <c r="AG11" s="8" t="s">
        <v>42</v>
      </c>
      <c r="AH11" s="8" t="s">
        <v>42</v>
      </c>
      <c r="AI11" s="8"/>
      <c r="AJ11" s="8" t="s">
        <v>42</v>
      </c>
      <c r="AK11" s="8" t="s">
        <v>42</v>
      </c>
      <c r="AL11" s="8" t="s">
        <v>42</v>
      </c>
      <c r="AM11" s="8" t="s">
        <v>42</v>
      </c>
      <c r="AN11" s="8" t="s">
        <v>42</v>
      </c>
      <c r="AO11" s="8" t="s">
        <v>42</v>
      </c>
      <c r="AP11" s="8" t="s">
        <v>42</v>
      </c>
      <c r="AQ11" s="8"/>
      <c r="AR11" s="8"/>
      <c r="AS11" s="8"/>
      <c r="AT11" s="8"/>
      <c r="AU11" s="8"/>
      <c r="AV11" s="8"/>
      <c r="AW11" s="8"/>
      <c r="AX11" s="8"/>
      <c r="AY11" s="8"/>
      <c r="AZ11" s="8"/>
      <c r="BA11" s="8" t="s">
        <v>42</v>
      </c>
      <c r="BB11" s="8" t="s">
        <v>42</v>
      </c>
      <c r="BC11" s="8" t="s">
        <v>42</v>
      </c>
      <c r="BD11" s="8" t="s">
        <v>42</v>
      </c>
      <c r="BE11" s="8" t="s">
        <v>42</v>
      </c>
      <c r="BF11" s="8" t="s">
        <v>42</v>
      </c>
      <c r="BG11" s="8" t="s">
        <v>42</v>
      </c>
      <c r="BH11" s="8"/>
      <c r="BI11" s="8" t="s">
        <v>42</v>
      </c>
      <c r="BJ11" s="8" t="s">
        <v>42</v>
      </c>
      <c r="BK11" s="8" t="s">
        <v>42</v>
      </c>
      <c r="BL11" s="8" t="s">
        <v>42</v>
      </c>
      <c r="BM11" s="8" t="s">
        <v>42</v>
      </c>
      <c r="BN11" s="8" t="s">
        <v>42</v>
      </c>
      <c r="BO11" s="8" t="s">
        <v>42</v>
      </c>
      <c r="BP11" s="8" t="s">
        <v>42</v>
      </c>
      <c r="BQ11" s="8" t="s">
        <v>42</v>
      </c>
      <c r="BR11" s="8" t="s">
        <v>42</v>
      </c>
      <c r="BS11" s="8" t="s">
        <v>42</v>
      </c>
      <c r="BT11" s="8" t="s">
        <v>42</v>
      </c>
      <c r="BU11" s="8" t="s">
        <v>42</v>
      </c>
      <c r="BV11" s="8" t="s">
        <v>42</v>
      </c>
      <c r="BW11" s="8" t="s">
        <v>42</v>
      </c>
      <c r="BX11" s="8" t="s">
        <v>42</v>
      </c>
      <c r="BY11" s="8" t="s">
        <v>42</v>
      </c>
      <c r="BZ11" s="8" t="s">
        <v>42</v>
      </c>
      <c r="CA11" s="8" t="s">
        <v>42</v>
      </c>
      <c r="CB11" s="8" t="s">
        <v>42</v>
      </c>
      <c r="CC11" s="8" t="s">
        <v>42</v>
      </c>
      <c r="CD11" s="8" t="s">
        <v>42</v>
      </c>
      <c r="CE11" s="8" t="s">
        <v>42</v>
      </c>
      <c r="CF11" s="8" t="s">
        <v>42</v>
      </c>
      <c r="CG11" s="8" t="s">
        <v>42</v>
      </c>
      <c r="CI11" s="8"/>
      <c r="CJ11" s="8" t="s">
        <v>42</v>
      </c>
      <c r="CK11" s="8" t="s">
        <v>42</v>
      </c>
      <c r="CL11" s="8" t="s">
        <v>42</v>
      </c>
      <c r="CM11" s="8" t="s">
        <v>42</v>
      </c>
      <c r="CN11" s="8" t="s">
        <v>42</v>
      </c>
      <c r="CP11" s="8"/>
      <c r="CQ11" s="8"/>
    </row>
    <row r="12" spans="1:104" s="15" customFormat="1" ht="15.75" hidden="1" customHeight="1" x14ac:dyDescent="0.2">
      <c r="A12" s="399"/>
      <c r="B12" s="13"/>
      <c r="C12" s="13"/>
      <c r="D12" s="8"/>
      <c r="E12" s="13"/>
      <c r="F12" s="8"/>
      <c r="G12" s="8"/>
      <c r="H12" s="8"/>
      <c r="I12" s="8"/>
      <c r="J12" s="8"/>
      <c r="K12" s="407"/>
      <c r="L12" s="8"/>
      <c r="M12" s="8"/>
      <c r="N12" s="8"/>
      <c r="O12" s="8"/>
      <c r="P12" s="8" t="s">
        <v>5</v>
      </c>
      <c r="Q12" s="8"/>
      <c r="R12" s="8"/>
      <c r="S12" s="8"/>
      <c r="T12" s="8"/>
      <c r="U12" s="8"/>
      <c r="V12" s="8"/>
      <c r="Y12" s="8"/>
      <c r="Z12" s="8"/>
      <c r="AA12" s="8" t="s">
        <v>43</v>
      </c>
      <c r="AB12" s="8" t="s">
        <v>43</v>
      </c>
      <c r="AC12" s="8" t="s">
        <v>43</v>
      </c>
      <c r="AD12" s="8" t="s">
        <v>43</v>
      </c>
      <c r="AE12" s="8" t="s">
        <v>43</v>
      </c>
      <c r="AF12" s="8" t="s">
        <v>43</v>
      </c>
      <c r="AG12" s="8" t="s">
        <v>43</v>
      </c>
      <c r="AH12" s="8" t="s">
        <v>43</v>
      </c>
      <c r="AI12" s="400"/>
      <c r="AJ12" s="8" t="s">
        <v>43</v>
      </c>
      <c r="AK12" s="8" t="s">
        <v>43</v>
      </c>
      <c r="AL12" s="8" t="s">
        <v>43</v>
      </c>
      <c r="AM12" s="8" t="s">
        <v>43</v>
      </c>
      <c r="AN12" s="8" t="s">
        <v>43</v>
      </c>
      <c r="AO12" s="8" t="s">
        <v>43</v>
      </c>
      <c r="AP12" s="8" t="s">
        <v>43</v>
      </c>
      <c r="AQ12" s="8"/>
      <c r="AR12" s="8"/>
      <c r="AS12" s="8"/>
      <c r="AT12" s="8"/>
      <c r="AU12" s="8"/>
      <c r="AV12" s="8"/>
      <c r="AW12" s="8"/>
      <c r="AX12" s="8"/>
      <c r="AY12" s="8"/>
      <c r="AZ12" s="8"/>
      <c r="BA12" s="8" t="s">
        <v>43</v>
      </c>
      <c r="BB12" s="8" t="s">
        <v>43</v>
      </c>
      <c r="BC12" s="8" t="s">
        <v>43</v>
      </c>
      <c r="BD12" s="8" t="s">
        <v>43</v>
      </c>
      <c r="BE12" s="8" t="s">
        <v>43</v>
      </c>
      <c r="BF12" s="8" t="s">
        <v>43</v>
      </c>
      <c r="BG12" s="8" t="s">
        <v>43</v>
      </c>
      <c r="BH12" s="8"/>
      <c r="BI12" s="8" t="s">
        <v>43</v>
      </c>
      <c r="BJ12" s="8" t="s">
        <v>43</v>
      </c>
      <c r="BK12" s="8" t="s">
        <v>43</v>
      </c>
      <c r="BL12" s="8" t="s">
        <v>43</v>
      </c>
      <c r="BM12" s="8" t="s">
        <v>43</v>
      </c>
      <c r="BN12" s="8" t="s">
        <v>43</v>
      </c>
      <c r="BO12" s="8" t="s">
        <v>43</v>
      </c>
      <c r="BP12" s="8" t="s">
        <v>43</v>
      </c>
      <c r="BQ12" s="8" t="s">
        <v>43</v>
      </c>
      <c r="BR12" s="8" t="s">
        <v>43</v>
      </c>
      <c r="BS12" s="8" t="s">
        <v>43</v>
      </c>
      <c r="BT12" s="8" t="s">
        <v>43</v>
      </c>
      <c r="BU12" s="8" t="s">
        <v>43</v>
      </c>
      <c r="BV12" s="8" t="s">
        <v>43</v>
      </c>
      <c r="BW12" s="8" t="s">
        <v>43</v>
      </c>
      <c r="BX12" s="8" t="s">
        <v>43</v>
      </c>
      <c r="BY12" s="8" t="s">
        <v>43</v>
      </c>
      <c r="BZ12" s="8" t="s">
        <v>43</v>
      </c>
      <c r="CA12" s="8" t="s">
        <v>43</v>
      </c>
      <c r="CB12" s="8" t="s">
        <v>43</v>
      </c>
      <c r="CC12" s="8" t="s">
        <v>43</v>
      </c>
      <c r="CD12" s="8" t="s">
        <v>43</v>
      </c>
      <c r="CE12" s="8" t="s">
        <v>43</v>
      </c>
      <c r="CF12" s="8" t="s">
        <v>43</v>
      </c>
      <c r="CG12" s="8" t="s">
        <v>43</v>
      </c>
      <c r="CI12" s="8"/>
      <c r="CJ12" s="8" t="s">
        <v>43</v>
      </c>
      <c r="CK12" s="8" t="s">
        <v>43</v>
      </c>
      <c r="CL12" s="8" t="s">
        <v>43</v>
      </c>
      <c r="CM12" s="8" t="s">
        <v>43</v>
      </c>
      <c r="CN12" s="8" t="s">
        <v>43</v>
      </c>
      <c r="CP12" s="8"/>
      <c r="CQ12" s="8"/>
    </row>
    <row r="13" spans="1:104" s="15" customFormat="1" ht="15.75" hidden="1" customHeight="1" x14ac:dyDescent="0.2">
      <c r="A13" s="399"/>
      <c r="B13" s="13"/>
      <c r="C13" s="13"/>
      <c r="D13" s="8"/>
      <c r="E13" s="13"/>
      <c r="F13" s="8"/>
      <c r="G13" s="8"/>
      <c r="H13" s="8"/>
      <c r="I13" s="8"/>
      <c r="J13" s="8"/>
      <c r="K13" s="407"/>
      <c r="L13" s="8"/>
      <c r="M13" s="8"/>
      <c r="N13" s="8"/>
      <c r="O13" s="8"/>
      <c r="P13" s="8" t="s">
        <v>257</v>
      </c>
      <c r="Q13" s="8"/>
      <c r="R13" s="8"/>
      <c r="S13" s="8"/>
      <c r="T13" s="8"/>
      <c r="U13" s="8"/>
      <c r="V13" s="8"/>
      <c r="W13" s="8"/>
      <c r="X13" s="8"/>
      <c r="Y13" s="8"/>
      <c r="Z13" s="8"/>
      <c r="AA13" s="8" t="s">
        <v>353</v>
      </c>
      <c r="AB13" s="8"/>
      <c r="AC13" s="8"/>
      <c r="AD13" s="8"/>
      <c r="AE13" s="8"/>
      <c r="AF13" s="8"/>
      <c r="AG13" s="8"/>
      <c r="AH13" s="8"/>
      <c r="AI13" s="13"/>
      <c r="AJ13" s="8"/>
      <c r="AK13" s="8"/>
      <c r="AL13" s="8"/>
      <c r="AM13" s="8"/>
      <c r="AN13" s="8"/>
      <c r="AO13" s="8"/>
      <c r="AP13" s="8"/>
      <c r="AQ13" s="8"/>
      <c r="AR13" s="8"/>
      <c r="AS13" s="8"/>
      <c r="AT13" s="8"/>
      <c r="AU13" s="8"/>
      <c r="AV13" s="8"/>
      <c r="AW13" s="8"/>
      <c r="AX13" s="8"/>
      <c r="AZ13" s="8"/>
      <c r="BA13" s="8"/>
      <c r="BB13" s="8"/>
      <c r="BC13" s="8"/>
      <c r="BD13" s="8"/>
      <c r="BE13" s="8"/>
      <c r="BF13" s="8"/>
      <c r="BG13" s="8" t="s">
        <v>354</v>
      </c>
      <c r="BH13" s="8"/>
      <c r="BI13" s="8"/>
      <c r="BJ13" s="8"/>
      <c r="BL13" s="8"/>
      <c r="BM13" s="8"/>
      <c r="BN13" s="8"/>
      <c r="BO13" s="8"/>
      <c r="BP13" s="8"/>
      <c r="BQ13" s="8"/>
      <c r="BR13" s="8"/>
      <c r="BS13" s="8"/>
      <c r="BT13" s="8"/>
      <c r="BU13" s="8"/>
      <c r="BV13" s="8"/>
      <c r="BW13" s="8"/>
      <c r="BX13" s="8"/>
      <c r="BY13" s="8"/>
      <c r="BZ13" s="8"/>
      <c r="CA13" s="8"/>
      <c r="CB13" s="8"/>
      <c r="CC13" s="8"/>
      <c r="CD13" s="8"/>
      <c r="CE13" s="8"/>
      <c r="CF13" s="8"/>
      <c r="CG13" s="8"/>
      <c r="CI13" s="8"/>
      <c r="CJ13" s="8"/>
      <c r="CK13" s="8"/>
      <c r="CL13" s="8"/>
      <c r="CM13" s="8"/>
      <c r="CN13" s="8"/>
      <c r="CO13" s="8"/>
      <c r="CP13" s="8"/>
      <c r="CQ13" s="8"/>
    </row>
    <row r="14" spans="1:104" s="15" customFormat="1" ht="27" hidden="1" customHeight="1" x14ac:dyDescent="0.2">
      <c r="A14" s="399"/>
      <c r="B14" s="206"/>
      <c r="C14" s="206"/>
      <c r="D14" s="145"/>
      <c r="E14" s="206"/>
      <c r="F14" s="145"/>
      <c r="G14" s="145"/>
      <c r="H14" s="145"/>
      <c r="I14" s="145"/>
      <c r="J14" s="145"/>
      <c r="K14" s="408"/>
      <c r="L14" s="145"/>
      <c r="M14" s="145"/>
      <c r="N14" s="145"/>
      <c r="O14" s="145"/>
      <c r="P14" s="145" t="s">
        <v>261</v>
      </c>
      <c r="Q14" s="145"/>
      <c r="R14" s="145"/>
      <c r="S14" s="145"/>
      <c r="T14" s="145"/>
      <c r="U14" s="145"/>
      <c r="V14" s="145"/>
      <c r="W14" s="145"/>
      <c r="X14" s="145"/>
      <c r="Y14" s="145"/>
      <c r="Z14" s="145"/>
      <c r="AA14" s="8" t="s">
        <v>355</v>
      </c>
      <c r="AB14" s="8"/>
      <c r="AC14" s="8"/>
      <c r="AD14" s="8"/>
      <c r="AE14" s="8"/>
      <c r="AF14" s="8"/>
      <c r="AG14" s="8"/>
      <c r="AH14" s="8"/>
      <c r="AI14" s="145"/>
      <c r="AJ14" s="8"/>
      <c r="AK14" s="8"/>
      <c r="AL14" s="8"/>
      <c r="AM14" s="8"/>
      <c r="AN14" s="8"/>
      <c r="AO14" s="8"/>
      <c r="AP14" s="8"/>
      <c r="AQ14" s="145"/>
      <c r="AR14" s="145"/>
      <c r="AS14" s="145"/>
      <c r="AT14" s="145"/>
      <c r="AU14" s="145"/>
      <c r="AV14" s="145"/>
      <c r="AW14" s="145"/>
      <c r="AX14" s="145"/>
      <c r="AY14" s="16"/>
      <c r="AZ14" s="145"/>
      <c r="BA14" s="8"/>
      <c r="BB14" s="8"/>
      <c r="BC14" s="8"/>
      <c r="BD14" s="8"/>
      <c r="BE14" s="8"/>
      <c r="BF14" s="8"/>
      <c r="BG14" s="8" t="s">
        <v>356</v>
      </c>
      <c r="BH14" s="145"/>
      <c r="BI14" s="8"/>
      <c r="BJ14" s="8"/>
      <c r="BL14" s="8"/>
      <c r="BM14" s="8"/>
      <c r="BN14" s="8"/>
      <c r="BO14" s="8"/>
      <c r="BP14" s="8"/>
      <c r="BQ14" s="8"/>
      <c r="BR14" s="8"/>
      <c r="BS14" s="8"/>
      <c r="BT14" s="8"/>
      <c r="BU14" s="8"/>
      <c r="BV14" s="8"/>
      <c r="BW14" s="8"/>
      <c r="BX14" s="8"/>
      <c r="BY14" s="8"/>
      <c r="BZ14" s="8"/>
      <c r="CA14" s="8"/>
      <c r="CB14" s="8"/>
      <c r="CC14" s="8"/>
      <c r="CD14" s="8"/>
      <c r="CE14" s="8"/>
      <c r="CF14" s="8"/>
      <c r="CG14" s="8"/>
      <c r="CH14" s="16"/>
      <c r="CI14" s="145"/>
      <c r="CJ14" s="8"/>
      <c r="CK14" s="8"/>
      <c r="CL14" s="8"/>
      <c r="CM14" s="8"/>
      <c r="CN14" s="8"/>
      <c r="CO14" s="145"/>
      <c r="CP14" s="145"/>
      <c r="CQ14" s="8"/>
    </row>
    <row r="15" spans="1:104" s="399" customFormat="1" ht="15.75" hidden="1" customHeight="1" x14ac:dyDescent="0.2">
      <c r="B15" s="13"/>
      <c r="C15" s="13"/>
      <c r="D15" s="13"/>
      <c r="E15" s="13"/>
      <c r="F15" s="13"/>
      <c r="G15" s="13"/>
      <c r="H15" s="13"/>
      <c r="I15" s="13"/>
      <c r="J15" s="13"/>
      <c r="K15" s="409"/>
      <c r="L15" s="13"/>
      <c r="M15" s="13"/>
      <c r="N15" s="13"/>
      <c r="O15" s="13"/>
      <c r="P15" s="13">
        <v>0</v>
      </c>
      <c r="Q15" s="13">
        <v>0</v>
      </c>
      <c r="R15" s="13">
        <v>0</v>
      </c>
      <c r="S15" s="13">
        <v>0</v>
      </c>
      <c r="T15" s="13">
        <v>0</v>
      </c>
      <c r="U15" s="13">
        <v>0</v>
      </c>
      <c r="V15" s="13">
        <v>0</v>
      </c>
      <c r="W15" s="13">
        <v>0</v>
      </c>
      <c r="X15" s="13">
        <v>0</v>
      </c>
      <c r="Y15" s="13">
        <v>0</v>
      </c>
      <c r="Z15" s="13"/>
      <c r="AA15" s="13">
        <f t="shared" ref="AA15:AH15" si="0">IF(AND(AA$9="",AA$10="",AA$516=0),1,0)</f>
        <v>0</v>
      </c>
      <c r="AB15" s="13">
        <f t="shared" si="0"/>
        <v>1</v>
      </c>
      <c r="AC15" s="13">
        <f t="shared" si="0"/>
        <v>1</v>
      </c>
      <c r="AD15" s="13">
        <f t="shared" si="0"/>
        <v>1</v>
      </c>
      <c r="AE15" s="13">
        <f t="shared" si="0"/>
        <v>1</v>
      </c>
      <c r="AF15" s="13">
        <f t="shared" si="0"/>
        <v>1</v>
      </c>
      <c r="AG15" s="13">
        <f t="shared" si="0"/>
        <v>1</v>
      </c>
      <c r="AH15" s="13">
        <f t="shared" si="0"/>
        <v>1</v>
      </c>
      <c r="AI15" s="13">
        <v>0</v>
      </c>
      <c r="AJ15" s="13">
        <f t="shared" ref="AJ15:AP15" si="1">IF(AND(AJ$9="",AJ$10="",AJ$516=0),1,0)</f>
        <v>0</v>
      </c>
      <c r="AK15" s="13">
        <f t="shared" si="1"/>
        <v>0</v>
      </c>
      <c r="AL15" s="13">
        <f t="shared" si="1"/>
        <v>0</v>
      </c>
      <c r="AM15" s="13">
        <f t="shared" si="1"/>
        <v>1</v>
      </c>
      <c r="AN15" s="13">
        <f t="shared" si="1"/>
        <v>0</v>
      </c>
      <c r="AO15" s="13">
        <f t="shared" si="1"/>
        <v>0</v>
      </c>
      <c r="AP15" s="13">
        <f t="shared" si="1"/>
        <v>0</v>
      </c>
      <c r="AQ15" s="13">
        <v>0</v>
      </c>
      <c r="AR15" s="13">
        <v>0</v>
      </c>
      <c r="AS15" s="13">
        <v>0</v>
      </c>
      <c r="AT15" s="13">
        <v>0</v>
      </c>
      <c r="AU15" s="13">
        <v>0</v>
      </c>
      <c r="AV15" s="13">
        <v>0</v>
      </c>
      <c r="AW15" s="13">
        <v>0</v>
      </c>
      <c r="AX15" s="13">
        <v>0</v>
      </c>
      <c r="AY15" s="399">
        <v>0</v>
      </c>
      <c r="AZ15" s="13">
        <v>0</v>
      </c>
      <c r="BA15" s="13">
        <f t="shared" ref="BA15:BG15" si="2">IF(AND(BA$9="",BA$10="",BA$516=0),1,0)</f>
        <v>0</v>
      </c>
      <c r="BB15" s="13">
        <f t="shared" si="2"/>
        <v>0</v>
      </c>
      <c r="BC15" s="13">
        <f t="shared" si="2"/>
        <v>0</v>
      </c>
      <c r="BD15" s="13">
        <f t="shared" si="2"/>
        <v>0</v>
      </c>
      <c r="BE15" s="13">
        <f t="shared" si="2"/>
        <v>0</v>
      </c>
      <c r="BF15" s="13">
        <f t="shared" si="2"/>
        <v>0</v>
      </c>
      <c r="BG15" s="13">
        <f t="shared" si="2"/>
        <v>0</v>
      </c>
      <c r="BH15" s="13">
        <v>0</v>
      </c>
      <c r="BI15" s="13">
        <f t="shared" ref="BI15:CG15" si="3">IF(AND(BI$9="",BI$10="",BI$516=0),1,0)</f>
        <v>0</v>
      </c>
      <c r="BJ15" s="13">
        <f t="shared" si="3"/>
        <v>0</v>
      </c>
      <c r="BK15" s="13">
        <f t="shared" si="3"/>
        <v>0</v>
      </c>
      <c r="BL15" s="13">
        <f t="shared" si="3"/>
        <v>0</v>
      </c>
      <c r="BM15" s="13">
        <f t="shared" si="3"/>
        <v>0</v>
      </c>
      <c r="BN15" s="13">
        <f t="shared" si="3"/>
        <v>1</v>
      </c>
      <c r="BO15" s="13">
        <f t="shared" si="3"/>
        <v>1</v>
      </c>
      <c r="BP15" s="13">
        <f t="shared" si="3"/>
        <v>0</v>
      </c>
      <c r="BQ15" s="13">
        <f t="shared" si="3"/>
        <v>0</v>
      </c>
      <c r="BR15" s="13">
        <f t="shared" si="3"/>
        <v>1</v>
      </c>
      <c r="BS15" s="13">
        <f t="shared" si="3"/>
        <v>1</v>
      </c>
      <c r="BT15" s="13">
        <f t="shared" si="3"/>
        <v>1</v>
      </c>
      <c r="BU15" s="13">
        <f t="shared" si="3"/>
        <v>1</v>
      </c>
      <c r="BV15" s="13">
        <f t="shared" si="3"/>
        <v>1</v>
      </c>
      <c r="BW15" s="13">
        <f t="shared" si="3"/>
        <v>1</v>
      </c>
      <c r="BX15" s="13">
        <f t="shared" si="3"/>
        <v>1</v>
      </c>
      <c r="BY15" s="13">
        <f t="shared" si="3"/>
        <v>0</v>
      </c>
      <c r="BZ15" s="13">
        <f t="shared" si="3"/>
        <v>0</v>
      </c>
      <c r="CA15" s="13">
        <f t="shared" si="3"/>
        <v>0</v>
      </c>
      <c r="CB15" s="13">
        <f t="shared" si="3"/>
        <v>0</v>
      </c>
      <c r="CC15" s="13">
        <f t="shared" si="3"/>
        <v>0</v>
      </c>
      <c r="CD15" s="13">
        <f t="shared" si="3"/>
        <v>0</v>
      </c>
      <c r="CE15" s="13">
        <f t="shared" si="3"/>
        <v>0</v>
      </c>
      <c r="CF15" s="13">
        <f t="shared" si="3"/>
        <v>0</v>
      </c>
      <c r="CG15" s="13">
        <f t="shared" si="3"/>
        <v>1</v>
      </c>
      <c r="CH15" s="399">
        <v>0</v>
      </c>
      <c r="CI15" s="13">
        <v>0</v>
      </c>
      <c r="CJ15" s="13">
        <f>IF(AND(CJ$9="",CJ$10="",CJ$516=0),1,0)</f>
        <v>0</v>
      </c>
      <c r="CK15" s="13">
        <f>IF(AND(CK$9="",CK$10="",CK$516=0),1,0)</f>
        <v>1</v>
      </c>
      <c r="CL15" s="13">
        <f>IF(AND(CL$9="",CL$10="",CL$516=0),1,0)</f>
        <v>0</v>
      </c>
      <c r="CM15" s="13">
        <f>IF(AND(CM$9="",CM$10="",CM$516=0),1,0)</f>
        <v>1</v>
      </c>
      <c r="CN15" s="13">
        <f>IF(AND(CN$9="",CN$10="",CN$516=0),1,0)</f>
        <v>1</v>
      </c>
      <c r="CO15" s="13">
        <v>0</v>
      </c>
      <c r="CP15" s="13">
        <v>0</v>
      </c>
      <c r="CQ15" s="13"/>
    </row>
    <row r="16" spans="1:104" ht="25.5" customHeight="1" x14ac:dyDescent="0.2">
      <c r="A16" s="410">
        <f>$A8+1</f>
        <v>1</v>
      </c>
      <c r="B16" s="280"/>
      <c r="C16" s="280"/>
      <c r="D16" s="411"/>
      <c r="E16" s="254"/>
      <c r="F16" s="277"/>
      <c r="G16" s="412"/>
      <c r="H16" s="413"/>
      <c r="I16" s="414" t="str">
        <f t="shared" ref="I16:I79" si="4">LEFT(H16,4)</f>
        <v/>
      </c>
      <c r="J16" s="415">
        <f t="shared" ref="J16:J79" si="5">G16-CQ16</f>
        <v>0</v>
      </c>
      <c r="K16" s="233"/>
      <c r="L16" s="416"/>
      <c r="M16" s="416"/>
      <c r="N16" s="417" t="str">
        <f t="shared" ref="N16:N79" si="6">IF($E16="","",MONTH($E16))</f>
        <v/>
      </c>
      <c r="O16" s="418" t="str">
        <f>IF('Data Set up'!$G$40="JUNE",IF(OR($N16=7,$N16=8,$N16=9),1,IF(OR($N16=10,$N16=11,$N16=12),2,IF(OR($N16=1,$N16=2,$N16=3),3,IF(OR($N16=4,$N16=5,$N16=6),4,"")))),IF(OR($N16=9,$N16=10,$N16=11),1,IF(OR($N16=12,$N16=1,$N16=2),2,IF(OR($N16=3,$N16=4,$N16=5),3,IF(OR($N16=6,$N16=7,$N16=8),4,"")))))</f>
        <v/>
      </c>
      <c r="P16" s="419"/>
      <c r="Q16" s="420"/>
      <c r="R16" s="420"/>
      <c r="S16" s="420"/>
      <c r="T16" s="420"/>
      <c r="U16" s="420"/>
      <c r="V16" s="420"/>
      <c r="W16" s="420"/>
      <c r="X16" s="420"/>
      <c r="Y16" s="420"/>
      <c r="Z16" s="420"/>
      <c r="AA16" s="421"/>
      <c r="AB16" s="421"/>
      <c r="AC16" s="421"/>
      <c r="AD16" s="421"/>
      <c r="AE16" s="421"/>
      <c r="AF16" s="421"/>
      <c r="AG16" s="421"/>
      <c r="AH16" s="422"/>
      <c r="AI16" s="423">
        <f t="shared" ref="AI16:AI79" si="7">SUM(AJ16:AP16)</f>
        <v>0</v>
      </c>
      <c r="AJ16" s="421"/>
      <c r="AK16" s="421"/>
      <c r="AL16" s="421"/>
      <c r="AM16" s="421"/>
      <c r="AN16" s="421"/>
      <c r="AO16" s="421"/>
      <c r="AP16" s="421"/>
      <c r="AQ16" s="419"/>
      <c r="AR16" s="421"/>
      <c r="AS16" s="421"/>
      <c r="AT16" s="421"/>
      <c r="AU16" s="421"/>
      <c r="AV16" s="421"/>
      <c r="AW16" s="421"/>
      <c r="AX16" s="421"/>
      <c r="AY16" s="424"/>
      <c r="AZ16" s="425">
        <f t="shared" ref="AZ16:AZ79" si="8">SUM(BA16:BG16)</f>
        <v>0</v>
      </c>
      <c r="BA16" s="421"/>
      <c r="BB16" s="421"/>
      <c r="BC16" s="421"/>
      <c r="BD16" s="421"/>
      <c r="BE16" s="421"/>
      <c r="BF16" s="421"/>
      <c r="BG16" s="421"/>
      <c r="BH16" s="419"/>
      <c r="BI16" s="421"/>
      <c r="BJ16" s="421"/>
      <c r="BK16" s="426"/>
      <c r="BL16" s="426"/>
      <c r="BM16" s="421"/>
      <c r="BN16" s="421"/>
      <c r="BO16" s="422"/>
      <c r="BP16" s="419"/>
      <c r="BQ16" s="421"/>
      <c r="BR16" s="421"/>
      <c r="BS16" s="421"/>
      <c r="BT16" s="421"/>
      <c r="BU16" s="421"/>
      <c r="BV16" s="421"/>
      <c r="BW16" s="421"/>
      <c r="BX16" s="422"/>
      <c r="BY16" s="419"/>
      <c r="BZ16" s="421"/>
      <c r="CA16" s="421"/>
      <c r="CB16" s="421"/>
      <c r="CC16" s="421"/>
      <c r="CD16" s="421"/>
      <c r="CE16" s="421"/>
      <c r="CF16" s="421"/>
      <c r="CG16" s="422"/>
      <c r="CH16" s="419"/>
      <c r="CI16" s="421"/>
      <c r="CJ16" s="421"/>
      <c r="CK16" s="421"/>
      <c r="CL16" s="421"/>
      <c r="CM16" s="421"/>
      <c r="CN16" s="421"/>
      <c r="CO16" s="427"/>
      <c r="CP16" s="428"/>
      <c r="CQ16" s="429">
        <f t="shared" ref="CQ16:CQ79" si="9">SUM(P16:AI16,AQ16:AZ16,BH16:CP16)</f>
        <v>0</v>
      </c>
      <c r="CR16" s="430"/>
      <c r="CS16" s="431" t="s">
        <v>265</v>
      </c>
      <c r="CT16" s="431"/>
      <c r="CU16" s="432"/>
      <c r="CV16" s="432"/>
      <c r="CW16" s="432"/>
      <c r="CX16" s="432"/>
      <c r="CY16" s="432"/>
      <c r="CZ16" s="432"/>
    </row>
    <row r="17" spans="1:104" ht="25.5" customHeight="1" x14ac:dyDescent="0.2">
      <c r="A17" s="410">
        <f t="shared" ref="A17:A80" si="10">$A16+1</f>
        <v>2</v>
      </c>
      <c r="B17" s="280"/>
      <c r="C17" s="280"/>
      <c r="D17" s="411"/>
      <c r="E17" s="254"/>
      <c r="F17" s="277"/>
      <c r="G17" s="412"/>
      <c r="H17" s="413"/>
      <c r="I17" s="433" t="str">
        <f t="shared" si="4"/>
        <v/>
      </c>
      <c r="J17" s="434">
        <f t="shared" si="5"/>
        <v>0</v>
      </c>
      <c r="K17" s="259"/>
      <c r="L17" s="276"/>
      <c r="M17" s="435"/>
      <c r="N17" s="417" t="str">
        <f t="shared" si="6"/>
        <v/>
      </c>
      <c r="O17" s="418" t="str">
        <f>IF('Data Set up'!$G$40="JUNE",IF(OR($N17=7,$N17=8,$N17=9),1,IF(OR($N17=10,$N17=11,$N17=12),2,IF(OR($N17=1,$N17=2,$N17=3),3,IF(OR($N17=4,$N17=5,$N17=6),4,"")))),IF(OR($N17=9,$N17=10,$N17=11),1,IF(OR($N17=12,$N17=1,$N17=2),2,IF(OR($N17=3,$N17=4,$N17=5),3,IF(OR($N17=6,$N17=7,$N17=8),4,"")))))</f>
        <v/>
      </c>
      <c r="P17" s="436"/>
      <c r="Q17" s="275"/>
      <c r="R17" s="275"/>
      <c r="S17" s="275"/>
      <c r="T17" s="275"/>
      <c r="U17" s="275"/>
      <c r="V17" s="275"/>
      <c r="W17" s="275"/>
      <c r="X17" s="275"/>
      <c r="Y17" s="275"/>
      <c r="Z17" s="437"/>
      <c r="AA17" s="275"/>
      <c r="AB17" s="275"/>
      <c r="AC17" s="275"/>
      <c r="AD17" s="275"/>
      <c r="AE17" s="275"/>
      <c r="AF17" s="275"/>
      <c r="AG17" s="275"/>
      <c r="AH17" s="438"/>
      <c r="AI17" s="439">
        <f t="shared" si="7"/>
        <v>0</v>
      </c>
      <c r="AJ17" s="263"/>
      <c r="AK17" s="263"/>
      <c r="AL17" s="263"/>
      <c r="AM17" s="263"/>
      <c r="AN17" s="263"/>
      <c r="AO17" s="263"/>
      <c r="AP17" s="263"/>
      <c r="AQ17" s="436"/>
      <c r="AR17" s="275"/>
      <c r="AS17" s="437"/>
      <c r="AT17" s="437"/>
      <c r="AU17" s="437"/>
      <c r="AV17" s="437"/>
      <c r="AW17" s="275"/>
      <c r="AX17" s="437"/>
      <c r="AY17" s="437"/>
      <c r="AZ17" s="440">
        <f t="shared" si="8"/>
        <v>0</v>
      </c>
      <c r="BA17" s="275"/>
      <c r="BB17" s="275"/>
      <c r="BC17" s="275"/>
      <c r="BD17" s="275"/>
      <c r="BE17" s="275"/>
      <c r="BF17" s="275"/>
      <c r="BG17" s="275"/>
      <c r="BH17" s="436"/>
      <c r="BI17" s="275"/>
      <c r="BJ17" s="275"/>
      <c r="BK17" s="291"/>
      <c r="BL17" s="291"/>
      <c r="BM17" s="275"/>
      <c r="BN17" s="275"/>
      <c r="BO17" s="438"/>
      <c r="BP17" s="436"/>
      <c r="BQ17" s="275"/>
      <c r="BR17" s="275"/>
      <c r="BS17" s="275"/>
      <c r="BT17" s="275"/>
      <c r="BU17" s="275"/>
      <c r="BV17" s="275"/>
      <c r="BW17" s="275"/>
      <c r="BX17" s="438"/>
      <c r="BY17" s="436"/>
      <c r="BZ17" s="275"/>
      <c r="CA17" s="275"/>
      <c r="CB17" s="275"/>
      <c r="CC17" s="275"/>
      <c r="CD17" s="275"/>
      <c r="CE17" s="275"/>
      <c r="CF17" s="275"/>
      <c r="CG17" s="438"/>
      <c r="CH17" s="436"/>
      <c r="CI17" s="295"/>
      <c r="CJ17" s="441"/>
      <c r="CK17" s="275"/>
      <c r="CL17" s="275"/>
      <c r="CM17" s="275"/>
      <c r="CN17" s="275"/>
      <c r="CO17" s="442"/>
      <c r="CP17" s="443"/>
      <c r="CQ17" s="429">
        <f t="shared" si="9"/>
        <v>0</v>
      </c>
      <c r="CR17" s="430"/>
      <c r="CS17" s="431" t="s">
        <v>266</v>
      </c>
      <c r="CT17" s="431"/>
      <c r="CU17" s="432"/>
      <c r="CV17" s="432"/>
      <c r="CW17" s="432"/>
      <c r="CX17" s="432"/>
      <c r="CY17" s="432"/>
      <c r="CZ17" s="432"/>
    </row>
    <row r="18" spans="1:104" ht="25.5" customHeight="1" x14ac:dyDescent="0.2">
      <c r="A18" s="410">
        <f t="shared" si="10"/>
        <v>3</v>
      </c>
      <c r="B18" s="280"/>
      <c r="C18" s="280"/>
      <c r="D18" s="411"/>
      <c r="E18" s="254"/>
      <c r="F18" s="277"/>
      <c r="G18" s="412"/>
      <c r="H18" s="413"/>
      <c r="I18" s="433" t="str">
        <f t="shared" si="4"/>
        <v/>
      </c>
      <c r="J18" s="434">
        <f t="shared" si="5"/>
        <v>0</v>
      </c>
      <c r="K18" s="259"/>
      <c r="L18" s="276"/>
      <c r="M18" s="435"/>
      <c r="N18" s="417" t="str">
        <f t="shared" si="6"/>
        <v/>
      </c>
      <c r="O18" s="418" t="str">
        <f>IF('Data Set up'!$G$40="JUNE",IF(OR($N18=7,$N18=8,$N18=9),1,IF(OR($N18=10,$N18=11,$N18=12),2,IF(OR($N18=1,$N18=2,$N18=3),3,IF(OR($N18=4,$N18=5,$N18=6),4,"")))),IF(OR($N18=9,$N18=10,$N18=11),1,IF(OR($N18=12,$N18=1,$N18=2),2,IF(OR($N18=3,$N18=4,$N18=5),3,IF(OR($N18=6,$N18=7,$N18=8),4,"")))))</f>
        <v/>
      </c>
      <c r="P18" s="436"/>
      <c r="Q18" s="275"/>
      <c r="R18" s="275"/>
      <c r="S18" s="275"/>
      <c r="T18" s="275"/>
      <c r="U18" s="275"/>
      <c r="V18" s="275"/>
      <c r="W18" s="275"/>
      <c r="X18" s="275"/>
      <c r="Y18" s="275"/>
      <c r="Z18" s="437"/>
      <c r="AA18" s="275"/>
      <c r="AB18" s="275"/>
      <c r="AC18" s="275"/>
      <c r="AD18" s="275"/>
      <c r="AE18" s="275"/>
      <c r="AF18" s="275"/>
      <c r="AG18" s="275"/>
      <c r="AH18" s="438"/>
      <c r="AI18" s="439">
        <f t="shared" si="7"/>
        <v>0</v>
      </c>
      <c r="AJ18" s="263"/>
      <c r="AK18" s="263"/>
      <c r="AL18" s="263"/>
      <c r="AM18" s="263"/>
      <c r="AN18" s="263"/>
      <c r="AO18" s="263"/>
      <c r="AP18" s="263"/>
      <c r="AQ18" s="436"/>
      <c r="AR18" s="275"/>
      <c r="AS18" s="437"/>
      <c r="AT18" s="437"/>
      <c r="AU18" s="437"/>
      <c r="AV18" s="437"/>
      <c r="AW18" s="437"/>
      <c r="AX18" s="437"/>
      <c r="AY18" s="437"/>
      <c r="AZ18" s="440">
        <f t="shared" si="8"/>
        <v>0</v>
      </c>
      <c r="BA18" s="275"/>
      <c r="BB18" s="275"/>
      <c r="BC18" s="275"/>
      <c r="BD18" s="275"/>
      <c r="BE18" s="275"/>
      <c r="BF18" s="275"/>
      <c r="BG18" s="275"/>
      <c r="BH18" s="436"/>
      <c r="BI18" s="275"/>
      <c r="BJ18" s="275"/>
      <c r="BK18" s="291"/>
      <c r="BL18" s="291"/>
      <c r="BM18" s="275"/>
      <c r="BN18" s="275"/>
      <c r="BO18" s="438"/>
      <c r="BP18" s="436"/>
      <c r="BQ18" s="275"/>
      <c r="BR18" s="275"/>
      <c r="BS18" s="275"/>
      <c r="BT18" s="275"/>
      <c r="BU18" s="275"/>
      <c r="BV18" s="275"/>
      <c r="BW18" s="275"/>
      <c r="BX18" s="438"/>
      <c r="BY18" s="436"/>
      <c r="BZ18" s="441"/>
      <c r="CA18" s="275"/>
      <c r="CB18" s="275"/>
      <c r="CC18" s="275"/>
      <c r="CD18" s="275"/>
      <c r="CE18" s="275"/>
      <c r="CF18" s="275"/>
      <c r="CG18" s="438"/>
      <c r="CH18" s="436"/>
      <c r="CI18" s="275"/>
      <c r="CJ18" s="275"/>
      <c r="CK18" s="275"/>
      <c r="CL18" s="275"/>
      <c r="CM18" s="275"/>
      <c r="CN18" s="275"/>
      <c r="CO18" s="442"/>
      <c r="CP18" s="443"/>
      <c r="CQ18" s="429">
        <f t="shared" si="9"/>
        <v>0</v>
      </c>
      <c r="CR18" s="430"/>
      <c r="CS18" s="431" t="s">
        <v>267</v>
      </c>
      <c r="CT18" s="431"/>
      <c r="CU18" s="432"/>
      <c r="CV18" s="432"/>
      <c r="CW18" s="432"/>
      <c r="CX18" s="432"/>
      <c r="CY18" s="432"/>
      <c r="CZ18" s="432"/>
    </row>
    <row r="19" spans="1:104" ht="25.5" customHeight="1" x14ac:dyDescent="0.2">
      <c r="A19" s="410">
        <f t="shared" si="10"/>
        <v>4</v>
      </c>
      <c r="B19" s="280"/>
      <c r="C19" s="280"/>
      <c r="D19" s="411"/>
      <c r="E19" s="254"/>
      <c r="F19" s="277"/>
      <c r="G19" s="412"/>
      <c r="H19" s="413"/>
      <c r="I19" s="433" t="str">
        <f t="shared" si="4"/>
        <v/>
      </c>
      <c r="J19" s="434">
        <f t="shared" si="5"/>
        <v>0</v>
      </c>
      <c r="K19" s="259"/>
      <c r="L19" s="276"/>
      <c r="M19" s="435"/>
      <c r="N19" s="417" t="str">
        <f t="shared" si="6"/>
        <v/>
      </c>
      <c r="O19" s="418" t="str">
        <f>IF('Data Set up'!$G$40="JUNE",IF(OR($N19=7,$N19=8,$N19=9),1,IF(OR($N19=10,$N19=11,$N19=12),2,IF(OR($N19=1,$N19=2,$N19=3),3,IF(OR($N19=4,$N19=5,$N19=6),4,"")))),IF(OR($N19=9,$N19=10,$N19=11),1,IF(OR($N19=12,$N19=1,$N19=2),2,IF(OR($N19=3,$N19=4,$N19=5),3,IF(OR($N19=6,$N19=7,$N19=8),4,"")))))</f>
        <v/>
      </c>
      <c r="P19" s="436"/>
      <c r="Q19" s="275"/>
      <c r="R19" s="275"/>
      <c r="S19" s="275"/>
      <c r="T19" s="275"/>
      <c r="U19" s="275"/>
      <c r="V19" s="275"/>
      <c r="W19" s="275"/>
      <c r="X19" s="275"/>
      <c r="Y19" s="275"/>
      <c r="Z19" s="437"/>
      <c r="AA19" s="275"/>
      <c r="AB19" s="275"/>
      <c r="AC19" s="275"/>
      <c r="AD19" s="275"/>
      <c r="AE19" s="275"/>
      <c r="AF19" s="275"/>
      <c r="AG19" s="275"/>
      <c r="AH19" s="438"/>
      <c r="AI19" s="439">
        <f t="shared" si="7"/>
        <v>0</v>
      </c>
      <c r="AJ19" s="263"/>
      <c r="AK19" s="263"/>
      <c r="AL19" s="263"/>
      <c r="AM19" s="263"/>
      <c r="AN19" s="263"/>
      <c r="AO19" s="263"/>
      <c r="AP19" s="263"/>
      <c r="AQ19" s="436"/>
      <c r="AR19" s="275"/>
      <c r="AS19" s="437"/>
      <c r="AT19" s="437"/>
      <c r="AU19" s="437"/>
      <c r="AV19" s="437"/>
      <c r="AW19" s="437"/>
      <c r="AX19" s="437"/>
      <c r="AY19" s="437"/>
      <c r="AZ19" s="440">
        <f t="shared" si="8"/>
        <v>0</v>
      </c>
      <c r="BA19" s="275"/>
      <c r="BB19" s="275"/>
      <c r="BC19" s="275"/>
      <c r="BD19" s="275"/>
      <c r="BE19" s="275"/>
      <c r="BF19" s="275"/>
      <c r="BG19" s="275"/>
      <c r="BH19" s="436"/>
      <c r="BI19" s="275"/>
      <c r="BJ19" s="275"/>
      <c r="BK19" s="291"/>
      <c r="BL19" s="291"/>
      <c r="BM19" s="275"/>
      <c r="BN19" s="275"/>
      <c r="BO19" s="438"/>
      <c r="BP19" s="436"/>
      <c r="BQ19" s="275"/>
      <c r="BR19" s="275"/>
      <c r="BS19" s="275"/>
      <c r="BT19" s="275"/>
      <c r="BU19" s="275"/>
      <c r="BV19" s="275"/>
      <c r="BW19" s="275"/>
      <c r="BX19" s="438"/>
      <c r="BY19" s="436"/>
      <c r="BZ19" s="275"/>
      <c r="CA19" s="275"/>
      <c r="CB19" s="275"/>
      <c r="CC19" s="275"/>
      <c r="CD19" s="275"/>
      <c r="CE19" s="275"/>
      <c r="CF19" s="275"/>
      <c r="CG19" s="438"/>
      <c r="CH19" s="436"/>
      <c r="CI19" s="275"/>
      <c r="CJ19" s="275"/>
      <c r="CK19" s="275"/>
      <c r="CL19" s="275"/>
      <c r="CM19" s="275"/>
      <c r="CN19" s="275"/>
      <c r="CO19" s="442"/>
      <c r="CP19" s="443"/>
      <c r="CQ19" s="429">
        <f t="shared" si="9"/>
        <v>0</v>
      </c>
      <c r="CR19" s="430"/>
      <c r="CS19" s="80" t="s">
        <v>268</v>
      </c>
      <c r="CT19" s="80"/>
      <c r="CU19" s="432"/>
    </row>
    <row r="20" spans="1:104" ht="25.5" customHeight="1" x14ac:dyDescent="0.2">
      <c r="A20" s="410">
        <f t="shared" si="10"/>
        <v>5</v>
      </c>
      <c r="B20" s="280"/>
      <c r="C20" s="280"/>
      <c r="D20" s="411"/>
      <c r="E20" s="254"/>
      <c r="F20" s="277"/>
      <c r="G20" s="412"/>
      <c r="H20" s="413"/>
      <c r="I20" s="433" t="str">
        <f t="shared" si="4"/>
        <v/>
      </c>
      <c r="J20" s="434">
        <f t="shared" si="5"/>
        <v>0</v>
      </c>
      <c r="K20" s="259"/>
      <c r="L20" s="276"/>
      <c r="M20" s="435"/>
      <c r="N20" s="417" t="str">
        <f t="shared" si="6"/>
        <v/>
      </c>
      <c r="O20" s="418" t="str">
        <f>IF('Data Set up'!$G$40="JUNE",IF(OR($N20=7,$N20=8,$N20=9),1,IF(OR($N20=10,$N20=11,$N20=12),2,IF(OR($N20=1,$N20=2,$N20=3),3,IF(OR($N20=4,$N20=5,$N20=6),4,"")))),IF(OR($N20=9,$N20=10,$N20=11),1,IF(OR($N20=12,$N20=1,$N20=2),2,IF(OR($N20=3,$N20=4,$N20=5),3,IF(OR($N20=6,$N20=7,$N20=8),4,"")))))</f>
        <v/>
      </c>
      <c r="P20" s="436"/>
      <c r="Q20" s="275"/>
      <c r="R20" s="275"/>
      <c r="S20" s="275"/>
      <c r="T20" s="275"/>
      <c r="U20" s="275"/>
      <c r="V20" s="275"/>
      <c r="W20" s="275"/>
      <c r="X20" s="275"/>
      <c r="Y20" s="275"/>
      <c r="Z20" s="437"/>
      <c r="AA20" s="275"/>
      <c r="AB20" s="275"/>
      <c r="AC20" s="275"/>
      <c r="AD20" s="275"/>
      <c r="AE20" s="275"/>
      <c r="AF20" s="275"/>
      <c r="AG20" s="275"/>
      <c r="AH20" s="438"/>
      <c r="AI20" s="439">
        <f t="shared" si="7"/>
        <v>0</v>
      </c>
      <c r="AJ20" s="263"/>
      <c r="AK20" s="263"/>
      <c r="AL20" s="263"/>
      <c r="AM20" s="263"/>
      <c r="AN20" s="263"/>
      <c r="AO20" s="263"/>
      <c r="AP20" s="263"/>
      <c r="AQ20" s="436"/>
      <c r="AR20" s="275"/>
      <c r="AS20" s="437"/>
      <c r="AT20" s="437"/>
      <c r="AU20" s="437"/>
      <c r="AV20" s="437"/>
      <c r="AW20" s="437"/>
      <c r="AX20" s="437"/>
      <c r="AY20" s="437"/>
      <c r="AZ20" s="440">
        <f t="shared" si="8"/>
        <v>0</v>
      </c>
      <c r="BA20" s="275"/>
      <c r="BB20" s="275"/>
      <c r="BC20" s="275"/>
      <c r="BD20" s="275"/>
      <c r="BE20" s="275"/>
      <c r="BF20" s="275"/>
      <c r="BG20" s="275"/>
      <c r="BH20" s="436"/>
      <c r="BI20" s="275"/>
      <c r="BJ20" s="275"/>
      <c r="BK20" s="291"/>
      <c r="BL20" s="291"/>
      <c r="BM20" s="275"/>
      <c r="BN20" s="275"/>
      <c r="BO20" s="438"/>
      <c r="BP20" s="436"/>
      <c r="BQ20" s="275"/>
      <c r="BR20" s="275"/>
      <c r="BS20" s="275"/>
      <c r="BT20" s="275"/>
      <c r="BU20" s="275"/>
      <c r="BV20" s="275"/>
      <c r="BW20" s="275"/>
      <c r="BX20" s="438"/>
      <c r="BY20" s="436"/>
      <c r="BZ20" s="275"/>
      <c r="CA20" s="275"/>
      <c r="CB20" s="275"/>
      <c r="CC20" s="275"/>
      <c r="CD20" s="275"/>
      <c r="CE20" s="275"/>
      <c r="CF20" s="275"/>
      <c r="CG20" s="438"/>
      <c r="CH20" s="436"/>
      <c r="CI20" s="275"/>
      <c r="CJ20" s="275"/>
      <c r="CK20" s="275"/>
      <c r="CL20" s="275"/>
      <c r="CM20" s="275"/>
      <c r="CN20" s="275"/>
      <c r="CO20" s="442"/>
      <c r="CP20" s="443"/>
      <c r="CQ20" s="429">
        <f t="shared" si="9"/>
        <v>0</v>
      </c>
      <c r="CR20" s="430"/>
      <c r="CS20" s="80" t="s">
        <v>269</v>
      </c>
      <c r="CT20" s="80"/>
      <c r="CU20" s="432"/>
    </row>
    <row r="21" spans="1:104" ht="25.5" customHeight="1" x14ac:dyDescent="0.2">
      <c r="A21" s="410">
        <f t="shared" si="10"/>
        <v>6</v>
      </c>
      <c r="B21" s="280"/>
      <c r="C21" s="280"/>
      <c r="D21" s="411"/>
      <c r="E21" s="254"/>
      <c r="F21" s="277"/>
      <c r="G21" s="412"/>
      <c r="H21" s="413"/>
      <c r="I21" s="433" t="str">
        <f t="shared" si="4"/>
        <v/>
      </c>
      <c r="J21" s="434">
        <f t="shared" si="5"/>
        <v>0</v>
      </c>
      <c r="K21" s="259"/>
      <c r="L21" s="276"/>
      <c r="M21" s="435"/>
      <c r="N21" s="417" t="str">
        <f t="shared" si="6"/>
        <v/>
      </c>
      <c r="O21" s="418" t="str">
        <f>IF('Data Set up'!$G$40="JUNE",IF(OR($N21=7,$N21=8,$N21=9),1,IF(OR($N21=10,$N21=11,$N21=12),2,IF(OR($N21=1,$N21=2,$N21=3),3,IF(OR($N21=4,$N21=5,$N21=6),4,"")))),IF(OR($N21=9,$N21=10,$N21=11),1,IF(OR($N21=12,$N21=1,$N21=2),2,IF(OR($N21=3,$N21=4,$N21=5),3,IF(OR($N21=6,$N21=7,$N21=8),4,"")))))</f>
        <v/>
      </c>
      <c r="P21" s="436"/>
      <c r="Q21" s="275"/>
      <c r="R21" s="275"/>
      <c r="S21" s="275"/>
      <c r="T21" s="275"/>
      <c r="U21" s="275"/>
      <c r="V21" s="275"/>
      <c r="W21" s="275"/>
      <c r="X21" s="275"/>
      <c r="Y21" s="275"/>
      <c r="Z21" s="437"/>
      <c r="AA21" s="275"/>
      <c r="AB21" s="275"/>
      <c r="AC21" s="275"/>
      <c r="AD21" s="275"/>
      <c r="AE21" s="275"/>
      <c r="AF21" s="275"/>
      <c r="AG21" s="275"/>
      <c r="AH21" s="438"/>
      <c r="AI21" s="439">
        <f t="shared" si="7"/>
        <v>0</v>
      </c>
      <c r="AJ21" s="263"/>
      <c r="AK21" s="263"/>
      <c r="AL21" s="263"/>
      <c r="AM21" s="263"/>
      <c r="AN21" s="263"/>
      <c r="AO21" s="263"/>
      <c r="AP21" s="263"/>
      <c r="AQ21" s="436"/>
      <c r="AR21" s="275"/>
      <c r="AS21" s="437"/>
      <c r="AT21" s="437"/>
      <c r="AU21" s="437"/>
      <c r="AV21" s="437"/>
      <c r="AW21" s="437"/>
      <c r="AX21" s="437"/>
      <c r="AY21" s="437"/>
      <c r="AZ21" s="440">
        <f t="shared" si="8"/>
        <v>0</v>
      </c>
      <c r="BA21" s="275"/>
      <c r="BB21" s="275"/>
      <c r="BC21" s="275"/>
      <c r="BD21" s="275"/>
      <c r="BE21" s="275"/>
      <c r="BF21" s="275"/>
      <c r="BG21" s="275"/>
      <c r="BH21" s="436"/>
      <c r="BI21" s="275"/>
      <c r="BJ21" s="275"/>
      <c r="BK21" s="291"/>
      <c r="BL21" s="291"/>
      <c r="BM21" s="275"/>
      <c r="BN21" s="275"/>
      <c r="BO21" s="438"/>
      <c r="BP21" s="436"/>
      <c r="BQ21" s="275"/>
      <c r="BR21" s="275"/>
      <c r="BS21" s="275"/>
      <c r="BT21" s="275"/>
      <c r="BU21" s="275"/>
      <c r="BV21" s="275"/>
      <c r="BW21" s="275"/>
      <c r="BX21" s="438"/>
      <c r="BY21" s="436"/>
      <c r="BZ21" s="444"/>
      <c r="CA21" s="275"/>
      <c r="CB21" s="275"/>
      <c r="CC21" s="275"/>
      <c r="CD21" s="275"/>
      <c r="CE21" s="275"/>
      <c r="CF21" s="275"/>
      <c r="CG21" s="438"/>
      <c r="CH21" s="436"/>
      <c r="CI21" s="275"/>
      <c r="CJ21" s="275"/>
      <c r="CK21" s="275"/>
      <c r="CL21" s="275"/>
      <c r="CM21" s="275"/>
      <c r="CN21" s="275"/>
      <c r="CO21" s="442"/>
      <c r="CP21" s="443"/>
      <c r="CQ21" s="429">
        <f t="shared" si="9"/>
        <v>0</v>
      </c>
      <c r="CR21" s="430"/>
      <c r="CS21" s="80" t="s">
        <v>270</v>
      </c>
      <c r="CT21" s="80"/>
      <c r="CU21" s="432"/>
    </row>
    <row r="22" spans="1:104" ht="25.5" customHeight="1" x14ac:dyDescent="0.2">
      <c r="A22" s="410">
        <f t="shared" si="10"/>
        <v>7</v>
      </c>
      <c r="B22" s="280"/>
      <c r="C22" s="280"/>
      <c r="D22" s="411"/>
      <c r="E22" s="254"/>
      <c r="F22" s="277"/>
      <c r="G22" s="412"/>
      <c r="H22" s="413"/>
      <c r="I22" s="433" t="str">
        <f t="shared" si="4"/>
        <v/>
      </c>
      <c r="J22" s="434">
        <f t="shared" si="5"/>
        <v>0</v>
      </c>
      <c r="K22" s="259"/>
      <c r="L22" s="276"/>
      <c r="M22" s="435"/>
      <c r="N22" s="417" t="str">
        <f t="shared" si="6"/>
        <v/>
      </c>
      <c r="O22" s="418" t="str">
        <f>IF('Data Set up'!$G$40="JUNE",IF(OR($N22=7,$N22=8,$N22=9),1,IF(OR($N22=10,$N22=11,$N22=12),2,IF(OR($N22=1,$N22=2,$N22=3),3,IF(OR($N22=4,$N22=5,$N22=6),4,"")))),IF(OR($N22=9,$N22=10,$N22=11),1,IF(OR($N22=12,$N22=1,$N22=2),2,IF(OR($N22=3,$N22=4,$N22=5),3,IF(OR($N22=6,$N22=7,$N22=8),4,"")))))</f>
        <v/>
      </c>
      <c r="P22" s="436"/>
      <c r="Q22" s="275"/>
      <c r="R22" s="275"/>
      <c r="S22" s="275"/>
      <c r="T22" s="275"/>
      <c r="U22" s="275"/>
      <c r="V22" s="275"/>
      <c r="W22" s="275"/>
      <c r="X22" s="275"/>
      <c r="Y22" s="275"/>
      <c r="Z22" s="437"/>
      <c r="AA22" s="275"/>
      <c r="AB22" s="275"/>
      <c r="AC22" s="275"/>
      <c r="AD22" s="275"/>
      <c r="AE22" s="275"/>
      <c r="AF22" s="275"/>
      <c r="AG22" s="275"/>
      <c r="AH22" s="438"/>
      <c r="AI22" s="439">
        <f t="shared" si="7"/>
        <v>0</v>
      </c>
      <c r="AJ22" s="263"/>
      <c r="AK22" s="263"/>
      <c r="AL22" s="263"/>
      <c r="AM22" s="263"/>
      <c r="AN22" s="263"/>
      <c r="AO22" s="263"/>
      <c r="AP22" s="263"/>
      <c r="AQ22" s="436"/>
      <c r="AR22" s="275"/>
      <c r="AS22" s="437"/>
      <c r="AT22" s="437"/>
      <c r="AU22" s="437"/>
      <c r="AV22" s="437"/>
      <c r="AW22" s="437"/>
      <c r="AX22" s="437"/>
      <c r="AY22" s="437"/>
      <c r="AZ22" s="440">
        <f t="shared" si="8"/>
        <v>0</v>
      </c>
      <c r="BA22" s="275"/>
      <c r="BB22" s="275"/>
      <c r="BC22" s="275"/>
      <c r="BD22" s="275"/>
      <c r="BE22" s="275"/>
      <c r="BF22" s="275"/>
      <c r="BG22" s="275"/>
      <c r="BH22" s="436"/>
      <c r="BI22" s="275"/>
      <c r="BJ22" s="275"/>
      <c r="BK22" s="291"/>
      <c r="BL22" s="291"/>
      <c r="BM22" s="275"/>
      <c r="BN22" s="275"/>
      <c r="BO22" s="438"/>
      <c r="BP22" s="436"/>
      <c r="BQ22" s="275"/>
      <c r="BR22" s="275"/>
      <c r="BS22" s="275"/>
      <c r="BT22" s="275"/>
      <c r="BU22" s="275"/>
      <c r="BV22" s="275"/>
      <c r="BW22" s="275"/>
      <c r="BX22" s="438"/>
      <c r="BY22" s="436"/>
      <c r="BZ22" s="275"/>
      <c r="CA22" s="275"/>
      <c r="CB22" s="275"/>
      <c r="CC22" s="275"/>
      <c r="CD22" s="275"/>
      <c r="CE22" s="275"/>
      <c r="CF22" s="275"/>
      <c r="CG22" s="438"/>
      <c r="CH22" s="436"/>
      <c r="CI22" s="275"/>
      <c r="CJ22" s="275"/>
      <c r="CK22" s="275"/>
      <c r="CL22" s="275"/>
      <c r="CM22" s="441"/>
      <c r="CN22" s="275"/>
      <c r="CO22" s="442"/>
      <c r="CP22" s="443"/>
      <c r="CQ22" s="429">
        <f t="shared" si="9"/>
        <v>0</v>
      </c>
      <c r="CR22" s="430"/>
      <c r="CS22" s="80" t="s">
        <v>357</v>
      </c>
      <c r="CT22" s="80"/>
      <c r="CU22" s="432"/>
    </row>
    <row r="23" spans="1:104" ht="25.5" customHeight="1" x14ac:dyDescent="0.2">
      <c r="A23" s="410">
        <f t="shared" si="10"/>
        <v>8</v>
      </c>
      <c r="B23" s="280"/>
      <c r="C23" s="280"/>
      <c r="D23" s="411"/>
      <c r="E23" s="254"/>
      <c r="F23" s="277"/>
      <c r="G23" s="412"/>
      <c r="H23" s="413"/>
      <c r="I23" s="433" t="str">
        <f t="shared" si="4"/>
        <v/>
      </c>
      <c r="J23" s="434">
        <f t="shared" si="5"/>
        <v>0</v>
      </c>
      <c r="K23" s="259"/>
      <c r="L23" s="276"/>
      <c r="M23" s="435"/>
      <c r="N23" s="417" t="str">
        <f t="shared" si="6"/>
        <v/>
      </c>
      <c r="O23" s="418" t="str">
        <f>IF('Data Set up'!$G$40="JUNE",IF(OR($N23=7,$N23=8,$N23=9),1,IF(OR($N23=10,$N23=11,$N23=12),2,IF(OR($N23=1,$N23=2,$N23=3),3,IF(OR($N23=4,$N23=5,$N23=6),4,"")))),IF(OR($N23=9,$N23=10,$N23=11),1,IF(OR($N23=12,$N23=1,$N23=2),2,IF(OR($N23=3,$N23=4,$N23=5),3,IF(OR($N23=6,$N23=7,$N23=8),4,"")))))</f>
        <v/>
      </c>
      <c r="P23" s="436"/>
      <c r="Q23" s="275"/>
      <c r="R23" s="275"/>
      <c r="S23" s="275"/>
      <c r="T23" s="275"/>
      <c r="U23" s="275"/>
      <c r="V23" s="275"/>
      <c r="W23" s="275"/>
      <c r="X23" s="275"/>
      <c r="Y23" s="275"/>
      <c r="Z23" s="437"/>
      <c r="AA23" s="275"/>
      <c r="AB23" s="275"/>
      <c r="AC23" s="275"/>
      <c r="AD23" s="275"/>
      <c r="AE23" s="275"/>
      <c r="AF23" s="275"/>
      <c r="AG23" s="275"/>
      <c r="AH23" s="438"/>
      <c r="AI23" s="439">
        <f t="shared" si="7"/>
        <v>0</v>
      </c>
      <c r="AJ23" s="263"/>
      <c r="AK23" s="263"/>
      <c r="AL23" s="263"/>
      <c r="AM23" s="263"/>
      <c r="AN23" s="263"/>
      <c r="AO23" s="263"/>
      <c r="AP23" s="263"/>
      <c r="AQ23" s="436"/>
      <c r="AR23" s="275"/>
      <c r="AS23" s="437"/>
      <c r="AT23" s="437"/>
      <c r="AU23" s="437"/>
      <c r="AV23" s="437"/>
      <c r="AW23" s="437"/>
      <c r="AX23" s="437"/>
      <c r="AY23" s="437"/>
      <c r="AZ23" s="440">
        <f t="shared" si="8"/>
        <v>0</v>
      </c>
      <c r="BA23" s="275"/>
      <c r="BB23" s="275"/>
      <c r="BC23" s="275"/>
      <c r="BD23" s="275"/>
      <c r="BE23" s="275"/>
      <c r="BF23" s="275"/>
      <c r="BG23" s="275"/>
      <c r="BH23" s="436"/>
      <c r="BI23" s="275"/>
      <c r="BJ23" s="275"/>
      <c r="BK23" s="291"/>
      <c r="BL23" s="291"/>
      <c r="BM23" s="275"/>
      <c r="BN23" s="275"/>
      <c r="BO23" s="438"/>
      <c r="BP23" s="436"/>
      <c r="BQ23" s="275"/>
      <c r="BR23" s="275"/>
      <c r="BS23" s="275"/>
      <c r="BT23" s="275"/>
      <c r="BU23" s="275"/>
      <c r="BV23" s="275"/>
      <c r="BW23" s="275"/>
      <c r="BX23" s="438"/>
      <c r="BY23" s="436"/>
      <c r="BZ23" s="275"/>
      <c r="CA23" s="275"/>
      <c r="CB23" s="275"/>
      <c r="CC23" s="275"/>
      <c r="CD23" s="275"/>
      <c r="CE23" s="275"/>
      <c r="CF23" s="275"/>
      <c r="CG23" s="438"/>
      <c r="CH23" s="436"/>
      <c r="CI23" s="275"/>
      <c r="CJ23" s="275"/>
      <c r="CK23" s="275"/>
      <c r="CL23" s="275"/>
      <c r="CM23" s="275"/>
      <c r="CN23" s="275"/>
      <c r="CO23" s="442"/>
      <c r="CP23" s="443"/>
      <c r="CQ23" s="429">
        <f t="shared" si="9"/>
        <v>0</v>
      </c>
      <c r="CR23" s="430"/>
    </row>
    <row r="24" spans="1:104" ht="25.5" customHeight="1" x14ac:dyDescent="0.2">
      <c r="A24" s="410">
        <f t="shared" si="10"/>
        <v>9</v>
      </c>
      <c r="B24" s="280"/>
      <c r="C24" s="280"/>
      <c r="D24" s="411"/>
      <c r="E24" s="254"/>
      <c r="F24" s="277"/>
      <c r="G24" s="412"/>
      <c r="H24" s="413"/>
      <c r="I24" s="433" t="str">
        <f t="shared" si="4"/>
        <v/>
      </c>
      <c r="J24" s="434">
        <f t="shared" si="5"/>
        <v>0</v>
      </c>
      <c r="K24" s="259"/>
      <c r="L24" s="276"/>
      <c r="M24" s="435"/>
      <c r="N24" s="417" t="str">
        <f t="shared" si="6"/>
        <v/>
      </c>
      <c r="O24" s="418" t="str">
        <f>IF('Data Set up'!$G$40="JUNE",IF(OR($N24=7,$N24=8,$N24=9),1,IF(OR($N24=10,$N24=11,$N24=12),2,IF(OR($N24=1,$N24=2,$N24=3),3,IF(OR($N24=4,$N24=5,$N24=6),4,"")))),IF(OR($N24=9,$N24=10,$N24=11),1,IF(OR($N24=12,$N24=1,$N24=2),2,IF(OR($N24=3,$N24=4,$N24=5),3,IF(OR($N24=6,$N24=7,$N24=8),4,"")))))</f>
        <v/>
      </c>
      <c r="P24" s="436"/>
      <c r="Q24" s="275"/>
      <c r="R24" s="275"/>
      <c r="S24" s="275"/>
      <c r="T24" s="275"/>
      <c r="U24" s="275"/>
      <c r="V24" s="275"/>
      <c r="W24" s="275"/>
      <c r="X24" s="275"/>
      <c r="Y24" s="275"/>
      <c r="Z24" s="437"/>
      <c r="AA24" s="275"/>
      <c r="AB24" s="275"/>
      <c r="AC24" s="275"/>
      <c r="AD24" s="275"/>
      <c r="AE24" s="275"/>
      <c r="AF24" s="275"/>
      <c r="AG24" s="275"/>
      <c r="AH24" s="438"/>
      <c r="AI24" s="439">
        <f t="shared" si="7"/>
        <v>0</v>
      </c>
      <c r="AJ24" s="263"/>
      <c r="AK24" s="263"/>
      <c r="AL24" s="263"/>
      <c r="AM24" s="263"/>
      <c r="AN24" s="263"/>
      <c r="AO24" s="263"/>
      <c r="AP24" s="263"/>
      <c r="AQ24" s="436"/>
      <c r="AR24" s="275"/>
      <c r="AS24" s="437"/>
      <c r="AT24" s="437"/>
      <c r="AU24" s="437"/>
      <c r="AV24" s="437"/>
      <c r="AW24" s="437"/>
      <c r="AX24" s="437"/>
      <c r="AY24" s="437"/>
      <c r="AZ24" s="440">
        <f t="shared" si="8"/>
        <v>0</v>
      </c>
      <c r="BA24" s="275"/>
      <c r="BB24" s="275"/>
      <c r="BC24" s="275"/>
      <c r="BD24" s="275"/>
      <c r="BE24" s="275"/>
      <c r="BF24" s="275"/>
      <c r="BG24" s="275"/>
      <c r="BH24" s="436"/>
      <c r="BI24" s="275"/>
      <c r="BJ24" s="275"/>
      <c r="BK24" s="291"/>
      <c r="BL24" s="291"/>
      <c r="BM24" s="275"/>
      <c r="BN24" s="275"/>
      <c r="BO24" s="438"/>
      <c r="BP24" s="436"/>
      <c r="BQ24" s="275"/>
      <c r="BR24" s="275"/>
      <c r="BS24" s="275"/>
      <c r="BT24" s="275"/>
      <c r="BU24" s="275"/>
      <c r="BV24" s="275"/>
      <c r="BW24" s="275"/>
      <c r="BX24" s="438"/>
      <c r="BY24" s="436"/>
      <c r="BZ24" s="275"/>
      <c r="CA24" s="275"/>
      <c r="CB24" s="275"/>
      <c r="CC24" s="275"/>
      <c r="CD24" s="275"/>
      <c r="CE24" s="275"/>
      <c r="CF24" s="275"/>
      <c r="CG24" s="438"/>
      <c r="CH24" s="436"/>
      <c r="CI24" s="275"/>
      <c r="CJ24" s="275"/>
      <c r="CK24" s="275"/>
      <c r="CL24" s="275"/>
      <c r="CM24" s="275"/>
      <c r="CN24" s="275"/>
      <c r="CO24" s="442"/>
      <c r="CP24" s="443"/>
      <c r="CQ24" s="429">
        <f t="shared" si="9"/>
        <v>0</v>
      </c>
      <c r="CR24" s="430"/>
    </row>
    <row r="25" spans="1:104" ht="25.5" customHeight="1" x14ac:dyDescent="0.2">
      <c r="A25" s="410">
        <f t="shared" si="10"/>
        <v>10</v>
      </c>
      <c r="B25" s="280"/>
      <c r="C25" s="280"/>
      <c r="D25" s="411"/>
      <c r="E25" s="254"/>
      <c r="F25" s="277"/>
      <c r="G25" s="412"/>
      <c r="H25" s="413"/>
      <c r="I25" s="433" t="str">
        <f t="shared" si="4"/>
        <v/>
      </c>
      <c r="J25" s="434">
        <f t="shared" si="5"/>
        <v>0</v>
      </c>
      <c r="K25" s="259"/>
      <c r="L25" s="276"/>
      <c r="M25" s="435"/>
      <c r="N25" s="417" t="str">
        <f t="shared" si="6"/>
        <v/>
      </c>
      <c r="O25" s="418" t="str">
        <f>IF('Data Set up'!$G$40="JUNE",IF(OR($N25=7,$N25=8,$N25=9),1,IF(OR($N25=10,$N25=11,$N25=12),2,IF(OR($N25=1,$N25=2,$N25=3),3,IF(OR($N25=4,$N25=5,$N25=6),4,"")))),IF(OR($N25=9,$N25=10,$N25=11),1,IF(OR($N25=12,$N25=1,$N25=2),2,IF(OR($N25=3,$N25=4,$N25=5),3,IF(OR($N25=6,$N25=7,$N25=8),4,"")))))</f>
        <v/>
      </c>
      <c r="P25" s="436"/>
      <c r="Q25" s="275"/>
      <c r="R25" s="275"/>
      <c r="S25" s="275"/>
      <c r="T25" s="275"/>
      <c r="U25" s="275"/>
      <c r="V25" s="275"/>
      <c r="W25" s="275"/>
      <c r="X25" s="275"/>
      <c r="Y25" s="275"/>
      <c r="Z25" s="437"/>
      <c r="AA25" s="275"/>
      <c r="AB25" s="275"/>
      <c r="AC25" s="275"/>
      <c r="AD25" s="275"/>
      <c r="AE25" s="275"/>
      <c r="AF25" s="275"/>
      <c r="AG25" s="275"/>
      <c r="AH25" s="438"/>
      <c r="AI25" s="439">
        <f t="shared" si="7"/>
        <v>0</v>
      </c>
      <c r="AJ25" s="263"/>
      <c r="AK25" s="263"/>
      <c r="AL25" s="263"/>
      <c r="AM25" s="263"/>
      <c r="AN25" s="263"/>
      <c r="AO25" s="263"/>
      <c r="AP25" s="263"/>
      <c r="AQ25" s="436"/>
      <c r="AR25" s="275"/>
      <c r="AS25" s="437"/>
      <c r="AT25" s="437"/>
      <c r="AU25" s="437"/>
      <c r="AV25" s="437"/>
      <c r="AW25" s="437"/>
      <c r="AX25" s="437"/>
      <c r="AY25" s="437"/>
      <c r="AZ25" s="440">
        <f t="shared" si="8"/>
        <v>0</v>
      </c>
      <c r="BA25" s="275"/>
      <c r="BB25" s="275"/>
      <c r="BC25" s="275"/>
      <c r="BD25" s="275"/>
      <c r="BE25" s="275"/>
      <c r="BF25" s="275"/>
      <c r="BG25" s="275"/>
      <c r="BH25" s="436"/>
      <c r="BI25" s="275"/>
      <c r="BJ25" s="275"/>
      <c r="BK25" s="291"/>
      <c r="BL25" s="291"/>
      <c r="BM25" s="275"/>
      <c r="BN25" s="275"/>
      <c r="BO25" s="438"/>
      <c r="BP25" s="436"/>
      <c r="BQ25" s="275"/>
      <c r="BR25" s="275"/>
      <c r="BS25" s="275"/>
      <c r="BT25" s="275"/>
      <c r="BU25" s="275"/>
      <c r="BV25" s="275"/>
      <c r="BW25" s="275"/>
      <c r="BX25" s="438"/>
      <c r="BY25" s="436"/>
      <c r="BZ25" s="275"/>
      <c r="CA25" s="275"/>
      <c r="CB25" s="275"/>
      <c r="CC25" s="275"/>
      <c r="CD25" s="275"/>
      <c r="CE25" s="275"/>
      <c r="CF25" s="275"/>
      <c r="CG25" s="438"/>
      <c r="CH25" s="436"/>
      <c r="CI25" s="275"/>
      <c r="CJ25" s="275"/>
      <c r="CK25" s="275"/>
      <c r="CL25" s="275"/>
      <c r="CM25" s="275"/>
      <c r="CN25" s="275"/>
      <c r="CO25" s="442"/>
      <c r="CP25" s="443"/>
      <c r="CQ25" s="429">
        <f t="shared" si="9"/>
        <v>0</v>
      </c>
      <c r="CR25" s="430"/>
    </row>
    <row r="26" spans="1:104" ht="25.5" customHeight="1" x14ac:dyDescent="0.2">
      <c r="A26" s="410">
        <f t="shared" si="10"/>
        <v>11</v>
      </c>
      <c r="B26" s="280"/>
      <c r="C26" s="280"/>
      <c r="D26" s="411"/>
      <c r="E26" s="254"/>
      <c r="F26" s="277"/>
      <c r="G26" s="412"/>
      <c r="H26" s="413"/>
      <c r="I26" s="433" t="str">
        <f t="shared" si="4"/>
        <v/>
      </c>
      <c r="J26" s="434">
        <f t="shared" si="5"/>
        <v>0</v>
      </c>
      <c r="K26" s="259"/>
      <c r="L26" s="276"/>
      <c r="M26" s="435"/>
      <c r="N26" s="417" t="str">
        <f t="shared" si="6"/>
        <v/>
      </c>
      <c r="O26" s="418" t="str">
        <f>IF('Data Set up'!$G$40="JUNE",IF(OR($N26=7,$N26=8,$N26=9),1,IF(OR($N26=10,$N26=11,$N26=12),2,IF(OR($N26=1,$N26=2,$N26=3),3,IF(OR($N26=4,$N26=5,$N26=6),4,"")))),IF(OR($N26=9,$N26=10,$N26=11),1,IF(OR($N26=12,$N26=1,$N26=2),2,IF(OR($N26=3,$N26=4,$N26=5),3,IF(OR($N26=6,$N26=7,$N26=8),4,"")))))</f>
        <v/>
      </c>
      <c r="P26" s="436"/>
      <c r="Q26" s="275"/>
      <c r="R26" s="275"/>
      <c r="S26" s="275"/>
      <c r="T26" s="275"/>
      <c r="U26" s="275"/>
      <c r="V26" s="275"/>
      <c r="W26" s="275"/>
      <c r="X26" s="275"/>
      <c r="Y26" s="275"/>
      <c r="Z26" s="437"/>
      <c r="AA26" s="275"/>
      <c r="AB26" s="275"/>
      <c r="AC26" s="275"/>
      <c r="AD26" s="275"/>
      <c r="AE26" s="275"/>
      <c r="AF26" s="275"/>
      <c r="AG26" s="275"/>
      <c r="AH26" s="438"/>
      <c r="AI26" s="439">
        <f t="shared" si="7"/>
        <v>0</v>
      </c>
      <c r="AJ26" s="263"/>
      <c r="AK26" s="263"/>
      <c r="AL26" s="263"/>
      <c r="AM26" s="263"/>
      <c r="AN26" s="263"/>
      <c r="AO26" s="263"/>
      <c r="AP26" s="263"/>
      <c r="AQ26" s="436"/>
      <c r="AR26" s="275"/>
      <c r="AS26" s="437"/>
      <c r="AT26" s="437"/>
      <c r="AU26" s="437"/>
      <c r="AV26" s="437"/>
      <c r="AW26" s="437"/>
      <c r="AX26" s="437"/>
      <c r="AY26" s="437"/>
      <c r="AZ26" s="440">
        <f t="shared" si="8"/>
        <v>0</v>
      </c>
      <c r="BA26" s="275"/>
      <c r="BB26" s="275"/>
      <c r="BC26" s="275"/>
      <c r="BD26" s="275"/>
      <c r="BE26" s="275"/>
      <c r="BF26" s="275"/>
      <c r="BG26" s="275"/>
      <c r="BH26" s="436"/>
      <c r="BI26" s="275"/>
      <c r="BJ26" s="275"/>
      <c r="BK26" s="291"/>
      <c r="BL26" s="291"/>
      <c r="BM26" s="275"/>
      <c r="BN26" s="275"/>
      <c r="BO26" s="438"/>
      <c r="BP26" s="436"/>
      <c r="BQ26" s="275"/>
      <c r="BR26" s="275"/>
      <c r="BS26" s="275"/>
      <c r="BT26" s="275"/>
      <c r="BU26" s="275"/>
      <c r="BV26" s="275"/>
      <c r="BW26" s="275"/>
      <c r="BX26" s="438"/>
      <c r="BY26" s="436"/>
      <c r="BZ26" s="275"/>
      <c r="CA26" s="275"/>
      <c r="CB26" s="275"/>
      <c r="CC26" s="275"/>
      <c r="CD26" s="275"/>
      <c r="CE26" s="275"/>
      <c r="CF26" s="275"/>
      <c r="CG26" s="438"/>
      <c r="CH26" s="436"/>
      <c r="CI26" s="275"/>
      <c r="CJ26" s="275"/>
      <c r="CK26" s="275"/>
      <c r="CL26" s="275"/>
      <c r="CM26" s="275"/>
      <c r="CN26" s="275"/>
      <c r="CO26" s="442"/>
      <c r="CP26" s="443"/>
      <c r="CQ26" s="429">
        <f t="shared" si="9"/>
        <v>0</v>
      </c>
      <c r="CR26" s="430"/>
    </row>
    <row r="27" spans="1:104" ht="25.5" customHeight="1" x14ac:dyDescent="0.2">
      <c r="A27" s="410">
        <f t="shared" si="10"/>
        <v>12</v>
      </c>
      <c r="B27" s="280"/>
      <c r="C27" s="280"/>
      <c r="D27" s="411"/>
      <c r="E27" s="254"/>
      <c r="F27" s="277"/>
      <c r="G27" s="412"/>
      <c r="H27" s="413"/>
      <c r="I27" s="433" t="str">
        <f t="shared" si="4"/>
        <v/>
      </c>
      <c r="J27" s="434">
        <f t="shared" si="5"/>
        <v>0</v>
      </c>
      <c r="K27" s="259"/>
      <c r="L27" s="276"/>
      <c r="M27" s="435"/>
      <c r="N27" s="417" t="str">
        <f t="shared" si="6"/>
        <v/>
      </c>
      <c r="O27" s="418" t="str">
        <f>IF('Data Set up'!$G$40="JUNE",IF(OR($N27=7,$N27=8,$N27=9),1,IF(OR($N27=10,$N27=11,$N27=12),2,IF(OR($N27=1,$N27=2,$N27=3),3,IF(OR($N27=4,$N27=5,$N27=6),4,"")))),IF(OR($N27=9,$N27=10,$N27=11),1,IF(OR($N27=12,$N27=1,$N27=2),2,IF(OR($N27=3,$N27=4,$N27=5),3,IF(OR($N27=6,$N27=7,$N27=8),4,"")))))</f>
        <v/>
      </c>
      <c r="P27" s="436"/>
      <c r="Q27" s="275"/>
      <c r="R27" s="275"/>
      <c r="S27" s="275"/>
      <c r="T27" s="275"/>
      <c r="U27" s="275"/>
      <c r="V27" s="275"/>
      <c r="W27" s="275"/>
      <c r="X27" s="275"/>
      <c r="Y27" s="275"/>
      <c r="Z27" s="437"/>
      <c r="AA27" s="275"/>
      <c r="AB27" s="275"/>
      <c r="AC27" s="275"/>
      <c r="AD27" s="275"/>
      <c r="AE27" s="275"/>
      <c r="AF27" s="275"/>
      <c r="AG27" s="275"/>
      <c r="AH27" s="438"/>
      <c r="AI27" s="439">
        <f t="shared" si="7"/>
        <v>0</v>
      </c>
      <c r="AJ27" s="263"/>
      <c r="AK27" s="263"/>
      <c r="AL27" s="263"/>
      <c r="AM27" s="263"/>
      <c r="AN27" s="263"/>
      <c r="AO27" s="263"/>
      <c r="AP27" s="263"/>
      <c r="AQ27" s="436"/>
      <c r="AR27" s="275"/>
      <c r="AS27" s="437"/>
      <c r="AT27" s="437"/>
      <c r="AU27" s="437"/>
      <c r="AV27" s="437"/>
      <c r="AW27" s="437"/>
      <c r="AX27" s="437"/>
      <c r="AY27" s="437"/>
      <c r="AZ27" s="440">
        <f t="shared" si="8"/>
        <v>0</v>
      </c>
      <c r="BA27" s="275"/>
      <c r="BB27" s="275"/>
      <c r="BC27" s="275"/>
      <c r="BD27" s="275"/>
      <c r="BE27" s="275"/>
      <c r="BF27" s="275"/>
      <c r="BG27" s="275"/>
      <c r="BH27" s="436"/>
      <c r="BI27" s="275"/>
      <c r="BJ27" s="275"/>
      <c r="BK27" s="291"/>
      <c r="BL27" s="291"/>
      <c r="BM27" s="275"/>
      <c r="BN27" s="275"/>
      <c r="BO27" s="438"/>
      <c r="BP27" s="436"/>
      <c r="BQ27" s="275"/>
      <c r="BR27" s="275"/>
      <c r="BS27" s="275"/>
      <c r="BT27" s="275"/>
      <c r="BU27" s="275"/>
      <c r="BV27" s="275"/>
      <c r="BW27" s="275"/>
      <c r="BX27" s="438"/>
      <c r="BY27" s="436"/>
      <c r="BZ27" s="275"/>
      <c r="CA27" s="275"/>
      <c r="CB27" s="275"/>
      <c r="CC27" s="275"/>
      <c r="CD27" s="275"/>
      <c r="CE27" s="275"/>
      <c r="CF27" s="275"/>
      <c r="CG27" s="438"/>
      <c r="CH27" s="436"/>
      <c r="CI27" s="275"/>
      <c r="CJ27" s="275"/>
      <c r="CK27" s="275"/>
      <c r="CL27" s="275"/>
      <c r="CM27" s="275"/>
      <c r="CN27" s="275"/>
      <c r="CO27" s="442"/>
      <c r="CP27" s="443"/>
      <c r="CQ27" s="429">
        <f t="shared" si="9"/>
        <v>0</v>
      </c>
      <c r="CR27" s="430"/>
    </row>
    <row r="28" spans="1:104" ht="25.5" customHeight="1" x14ac:dyDescent="0.2">
      <c r="A28" s="410">
        <f t="shared" si="10"/>
        <v>13</v>
      </c>
      <c r="B28" s="280"/>
      <c r="C28" s="280"/>
      <c r="D28" s="411"/>
      <c r="E28" s="254"/>
      <c r="F28" s="277"/>
      <c r="G28" s="412"/>
      <c r="H28" s="413"/>
      <c r="I28" s="433" t="str">
        <f t="shared" si="4"/>
        <v/>
      </c>
      <c r="J28" s="434">
        <f t="shared" si="5"/>
        <v>0</v>
      </c>
      <c r="K28" s="259"/>
      <c r="L28" s="276"/>
      <c r="M28" s="435"/>
      <c r="N28" s="417" t="str">
        <f t="shared" si="6"/>
        <v/>
      </c>
      <c r="O28" s="418" t="str">
        <f>IF('Data Set up'!$G$40="JUNE",IF(OR($N28=7,$N28=8,$N28=9),1,IF(OR($N28=10,$N28=11,$N28=12),2,IF(OR($N28=1,$N28=2,$N28=3),3,IF(OR($N28=4,$N28=5,$N28=6),4,"")))),IF(OR($N28=9,$N28=10,$N28=11),1,IF(OR($N28=12,$N28=1,$N28=2),2,IF(OR($N28=3,$N28=4,$N28=5),3,IF(OR($N28=6,$N28=7,$N28=8),4,"")))))</f>
        <v/>
      </c>
      <c r="P28" s="436"/>
      <c r="Q28" s="275"/>
      <c r="R28" s="275"/>
      <c r="S28" s="275"/>
      <c r="T28" s="275"/>
      <c r="U28" s="275"/>
      <c r="V28" s="275"/>
      <c r="W28" s="275"/>
      <c r="X28" s="275"/>
      <c r="Y28" s="275"/>
      <c r="Z28" s="437"/>
      <c r="AA28" s="275"/>
      <c r="AB28" s="275"/>
      <c r="AC28" s="275"/>
      <c r="AD28" s="275"/>
      <c r="AE28" s="275"/>
      <c r="AF28" s="275"/>
      <c r="AG28" s="275"/>
      <c r="AH28" s="438"/>
      <c r="AI28" s="439">
        <f t="shared" si="7"/>
        <v>0</v>
      </c>
      <c r="AJ28" s="263"/>
      <c r="AK28" s="263"/>
      <c r="AL28" s="263"/>
      <c r="AM28" s="263"/>
      <c r="AN28" s="263"/>
      <c r="AO28" s="263"/>
      <c r="AP28" s="263"/>
      <c r="AQ28" s="436"/>
      <c r="AR28" s="275"/>
      <c r="AS28" s="437"/>
      <c r="AT28" s="437"/>
      <c r="AU28" s="437"/>
      <c r="AV28" s="437"/>
      <c r="AW28" s="437"/>
      <c r="AX28" s="437"/>
      <c r="AY28" s="437"/>
      <c r="AZ28" s="440">
        <f t="shared" si="8"/>
        <v>0</v>
      </c>
      <c r="BA28" s="275"/>
      <c r="BB28" s="275"/>
      <c r="BC28" s="275"/>
      <c r="BD28" s="275"/>
      <c r="BE28" s="275"/>
      <c r="BF28" s="275"/>
      <c r="BG28" s="275"/>
      <c r="BH28" s="436"/>
      <c r="BI28" s="275"/>
      <c r="BJ28" s="275"/>
      <c r="BK28" s="291"/>
      <c r="BL28" s="291"/>
      <c r="BM28" s="275"/>
      <c r="BN28" s="275"/>
      <c r="BO28" s="438"/>
      <c r="BP28" s="436"/>
      <c r="BQ28" s="275"/>
      <c r="BR28" s="275"/>
      <c r="BS28" s="275"/>
      <c r="BT28" s="275"/>
      <c r="BU28" s="275"/>
      <c r="BV28" s="275"/>
      <c r="BW28" s="275"/>
      <c r="BX28" s="438"/>
      <c r="BY28" s="436"/>
      <c r="BZ28" s="275"/>
      <c r="CA28" s="275"/>
      <c r="CB28" s="275"/>
      <c r="CC28" s="275"/>
      <c r="CD28" s="275"/>
      <c r="CE28" s="275"/>
      <c r="CF28" s="275"/>
      <c r="CG28" s="438"/>
      <c r="CH28" s="436"/>
      <c r="CI28" s="275"/>
      <c r="CJ28" s="275"/>
      <c r="CK28" s="275"/>
      <c r="CL28" s="275"/>
      <c r="CM28" s="275"/>
      <c r="CN28" s="275"/>
      <c r="CO28" s="442"/>
      <c r="CP28" s="443"/>
      <c r="CQ28" s="429">
        <f t="shared" si="9"/>
        <v>0</v>
      </c>
      <c r="CR28" s="430"/>
    </row>
    <row r="29" spans="1:104" ht="25.5" customHeight="1" x14ac:dyDescent="0.2">
      <c r="A29" s="410">
        <f t="shared" si="10"/>
        <v>14</v>
      </c>
      <c r="B29" s="280"/>
      <c r="C29" s="280"/>
      <c r="D29" s="411"/>
      <c r="E29" s="254"/>
      <c r="F29" s="277"/>
      <c r="G29" s="412"/>
      <c r="H29" s="413"/>
      <c r="I29" s="433" t="str">
        <f t="shared" si="4"/>
        <v/>
      </c>
      <c r="J29" s="434">
        <f t="shared" si="5"/>
        <v>0</v>
      </c>
      <c r="K29" s="259"/>
      <c r="L29" s="276"/>
      <c r="M29" s="435"/>
      <c r="N29" s="417" t="str">
        <f t="shared" si="6"/>
        <v/>
      </c>
      <c r="O29" s="418" t="str">
        <f>IF('Data Set up'!$G$40="JUNE",IF(OR($N29=7,$N29=8,$N29=9),1,IF(OR($N29=10,$N29=11,$N29=12),2,IF(OR($N29=1,$N29=2,$N29=3),3,IF(OR($N29=4,$N29=5,$N29=6),4,"")))),IF(OR($N29=9,$N29=10,$N29=11),1,IF(OR($N29=12,$N29=1,$N29=2),2,IF(OR($N29=3,$N29=4,$N29=5),3,IF(OR($N29=6,$N29=7,$N29=8),4,"")))))</f>
        <v/>
      </c>
      <c r="P29" s="436"/>
      <c r="Q29" s="275"/>
      <c r="R29" s="275"/>
      <c r="S29" s="275"/>
      <c r="T29" s="275"/>
      <c r="U29" s="275"/>
      <c r="V29" s="275"/>
      <c r="W29" s="275"/>
      <c r="X29" s="275"/>
      <c r="Y29" s="275"/>
      <c r="Z29" s="437"/>
      <c r="AA29" s="275"/>
      <c r="AB29" s="275"/>
      <c r="AC29" s="275"/>
      <c r="AD29" s="275"/>
      <c r="AE29" s="275"/>
      <c r="AF29" s="275"/>
      <c r="AG29" s="275"/>
      <c r="AH29" s="438"/>
      <c r="AI29" s="439">
        <f t="shared" si="7"/>
        <v>0</v>
      </c>
      <c r="AJ29" s="263"/>
      <c r="AK29" s="263"/>
      <c r="AL29" s="263"/>
      <c r="AM29" s="263"/>
      <c r="AN29" s="263"/>
      <c r="AO29" s="263"/>
      <c r="AP29" s="263"/>
      <c r="AQ29" s="436"/>
      <c r="AR29" s="275"/>
      <c r="AS29" s="437"/>
      <c r="AT29" s="437"/>
      <c r="AU29" s="437"/>
      <c r="AV29" s="437"/>
      <c r="AW29" s="437"/>
      <c r="AX29" s="437"/>
      <c r="AY29" s="437"/>
      <c r="AZ29" s="440">
        <f t="shared" si="8"/>
        <v>0</v>
      </c>
      <c r="BA29" s="275"/>
      <c r="BB29" s="275"/>
      <c r="BC29" s="275"/>
      <c r="BD29" s="275"/>
      <c r="BE29" s="275"/>
      <c r="BF29" s="275"/>
      <c r="BG29" s="275"/>
      <c r="BH29" s="436"/>
      <c r="BI29" s="275"/>
      <c r="BJ29" s="275"/>
      <c r="BK29" s="291"/>
      <c r="BL29" s="291"/>
      <c r="BM29" s="275"/>
      <c r="BN29" s="275"/>
      <c r="BO29" s="438"/>
      <c r="BP29" s="436"/>
      <c r="BQ29" s="275"/>
      <c r="BR29" s="275"/>
      <c r="BS29" s="275"/>
      <c r="BT29" s="275"/>
      <c r="BU29" s="275"/>
      <c r="BV29" s="275"/>
      <c r="BW29" s="275"/>
      <c r="BX29" s="438"/>
      <c r="BY29" s="436"/>
      <c r="BZ29" s="275"/>
      <c r="CA29" s="275"/>
      <c r="CB29" s="275"/>
      <c r="CC29" s="275"/>
      <c r="CD29" s="275"/>
      <c r="CE29" s="275"/>
      <c r="CF29" s="275"/>
      <c r="CG29" s="438"/>
      <c r="CH29" s="436"/>
      <c r="CI29" s="275"/>
      <c r="CJ29" s="275"/>
      <c r="CK29" s="275"/>
      <c r="CL29" s="275"/>
      <c r="CM29" s="275"/>
      <c r="CN29" s="275"/>
      <c r="CO29" s="442"/>
      <c r="CP29" s="443"/>
      <c r="CQ29" s="429">
        <f t="shared" si="9"/>
        <v>0</v>
      </c>
      <c r="CR29" s="430"/>
    </row>
    <row r="30" spans="1:104" ht="25.5" customHeight="1" x14ac:dyDescent="0.2">
      <c r="A30" s="410">
        <f t="shared" si="10"/>
        <v>15</v>
      </c>
      <c r="B30" s="280"/>
      <c r="C30" s="280"/>
      <c r="D30" s="411"/>
      <c r="E30" s="254"/>
      <c r="F30" s="277"/>
      <c r="G30" s="412"/>
      <c r="H30" s="413"/>
      <c r="I30" s="433" t="str">
        <f t="shared" si="4"/>
        <v/>
      </c>
      <c r="J30" s="434">
        <f t="shared" si="5"/>
        <v>0</v>
      </c>
      <c r="K30" s="259"/>
      <c r="L30" s="276"/>
      <c r="M30" s="435"/>
      <c r="N30" s="417" t="str">
        <f t="shared" si="6"/>
        <v/>
      </c>
      <c r="O30" s="418" t="str">
        <f>IF('Data Set up'!$G$40="JUNE",IF(OR($N30=7,$N30=8,$N30=9),1,IF(OR($N30=10,$N30=11,$N30=12),2,IF(OR($N30=1,$N30=2,$N30=3),3,IF(OR($N30=4,$N30=5,$N30=6),4,"")))),IF(OR($N30=9,$N30=10,$N30=11),1,IF(OR($N30=12,$N30=1,$N30=2),2,IF(OR($N30=3,$N30=4,$N30=5),3,IF(OR($N30=6,$N30=7,$N30=8),4,"")))))</f>
        <v/>
      </c>
      <c r="P30" s="436"/>
      <c r="Q30" s="275"/>
      <c r="R30" s="275"/>
      <c r="S30" s="275"/>
      <c r="T30" s="275"/>
      <c r="U30" s="275"/>
      <c r="V30" s="275"/>
      <c r="W30" s="275"/>
      <c r="X30" s="275"/>
      <c r="Y30" s="275"/>
      <c r="Z30" s="437"/>
      <c r="AA30" s="275"/>
      <c r="AB30" s="275"/>
      <c r="AC30" s="275"/>
      <c r="AD30" s="275"/>
      <c r="AE30" s="275"/>
      <c r="AF30" s="275"/>
      <c r="AG30" s="275"/>
      <c r="AH30" s="438"/>
      <c r="AI30" s="439">
        <f t="shared" si="7"/>
        <v>0</v>
      </c>
      <c r="AJ30" s="263"/>
      <c r="AK30" s="263"/>
      <c r="AL30" s="263"/>
      <c r="AM30" s="263"/>
      <c r="AN30" s="263"/>
      <c r="AO30" s="263"/>
      <c r="AP30" s="263"/>
      <c r="AQ30" s="436"/>
      <c r="AR30" s="275"/>
      <c r="AS30" s="437"/>
      <c r="AT30" s="437"/>
      <c r="AU30" s="437"/>
      <c r="AV30" s="437"/>
      <c r="AW30" s="437"/>
      <c r="AX30" s="437"/>
      <c r="AY30" s="437"/>
      <c r="AZ30" s="440">
        <f t="shared" si="8"/>
        <v>0</v>
      </c>
      <c r="BA30" s="275"/>
      <c r="BB30" s="275"/>
      <c r="BC30" s="275"/>
      <c r="BD30" s="275"/>
      <c r="BE30" s="275"/>
      <c r="BF30" s="275"/>
      <c r="BG30" s="275"/>
      <c r="BH30" s="436"/>
      <c r="BI30" s="275"/>
      <c r="BJ30" s="275"/>
      <c r="BK30" s="291"/>
      <c r="BL30" s="291"/>
      <c r="BM30" s="275"/>
      <c r="BN30" s="275"/>
      <c r="BO30" s="438"/>
      <c r="BP30" s="436"/>
      <c r="BQ30" s="275"/>
      <c r="BR30" s="275"/>
      <c r="BS30" s="275"/>
      <c r="BT30" s="275"/>
      <c r="BU30" s="275"/>
      <c r="BV30" s="275"/>
      <c r="BW30" s="275"/>
      <c r="BX30" s="438"/>
      <c r="BY30" s="436"/>
      <c r="BZ30" s="275"/>
      <c r="CA30" s="275"/>
      <c r="CB30" s="275"/>
      <c r="CC30" s="275"/>
      <c r="CD30" s="275"/>
      <c r="CE30" s="275"/>
      <c r="CF30" s="275"/>
      <c r="CG30" s="438"/>
      <c r="CH30" s="436"/>
      <c r="CI30" s="275"/>
      <c r="CJ30" s="275"/>
      <c r="CK30" s="275"/>
      <c r="CL30" s="275"/>
      <c r="CM30" s="275"/>
      <c r="CN30" s="275"/>
      <c r="CO30" s="442"/>
      <c r="CP30" s="443"/>
      <c r="CQ30" s="429">
        <f t="shared" si="9"/>
        <v>0</v>
      </c>
      <c r="CR30" s="430"/>
    </row>
    <row r="31" spans="1:104" ht="25.5" customHeight="1" x14ac:dyDescent="0.2">
      <c r="A31" s="410">
        <f t="shared" si="10"/>
        <v>16</v>
      </c>
      <c r="B31" s="280"/>
      <c r="C31" s="280"/>
      <c r="D31" s="411"/>
      <c r="E31" s="254"/>
      <c r="F31" s="277"/>
      <c r="G31" s="412"/>
      <c r="H31" s="413"/>
      <c r="I31" s="433" t="str">
        <f t="shared" si="4"/>
        <v/>
      </c>
      <c r="J31" s="434">
        <f t="shared" si="5"/>
        <v>0</v>
      </c>
      <c r="K31" s="259"/>
      <c r="L31" s="276"/>
      <c r="M31" s="435"/>
      <c r="N31" s="417" t="str">
        <f t="shared" si="6"/>
        <v/>
      </c>
      <c r="O31" s="418" t="str">
        <f>IF('Data Set up'!$G$40="JUNE",IF(OR($N31=7,$N31=8,$N31=9),1,IF(OR($N31=10,$N31=11,$N31=12),2,IF(OR($N31=1,$N31=2,$N31=3),3,IF(OR($N31=4,$N31=5,$N31=6),4,"")))),IF(OR($N31=9,$N31=10,$N31=11),1,IF(OR($N31=12,$N31=1,$N31=2),2,IF(OR($N31=3,$N31=4,$N31=5),3,IF(OR($N31=6,$N31=7,$N31=8),4,"")))))</f>
        <v/>
      </c>
      <c r="P31" s="436"/>
      <c r="Q31" s="275"/>
      <c r="R31" s="275"/>
      <c r="S31" s="275"/>
      <c r="T31" s="275"/>
      <c r="U31" s="275"/>
      <c r="V31" s="275"/>
      <c r="W31" s="275"/>
      <c r="X31" s="275"/>
      <c r="Y31" s="275"/>
      <c r="Z31" s="437"/>
      <c r="AA31" s="275"/>
      <c r="AB31" s="275"/>
      <c r="AC31" s="275"/>
      <c r="AD31" s="275"/>
      <c r="AE31" s="275"/>
      <c r="AF31" s="275"/>
      <c r="AG31" s="275"/>
      <c r="AH31" s="438"/>
      <c r="AI31" s="439">
        <f t="shared" si="7"/>
        <v>0</v>
      </c>
      <c r="AJ31" s="263"/>
      <c r="AK31" s="263"/>
      <c r="AL31" s="263"/>
      <c r="AM31" s="263"/>
      <c r="AN31" s="263"/>
      <c r="AO31" s="263"/>
      <c r="AP31" s="263"/>
      <c r="AQ31" s="436"/>
      <c r="AR31" s="275"/>
      <c r="AS31" s="437"/>
      <c r="AT31" s="437"/>
      <c r="AU31" s="437"/>
      <c r="AV31" s="437"/>
      <c r="AW31" s="437"/>
      <c r="AX31" s="437"/>
      <c r="AY31" s="437"/>
      <c r="AZ31" s="440">
        <f t="shared" si="8"/>
        <v>0</v>
      </c>
      <c r="BA31" s="275"/>
      <c r="BB31" s="275"/>
      <c r="BC31" s="275"/>
      <c r="BD31" s="275"/>
      <c r="BE31" s="275"/>
      <c r="BF31" s="275"/>
      <c r="BG31" s="275"/>
      <c r="BH31" s="436"/>
      <c r="BI31" s="275"/>
      <c r="BJ31" s="275"/>
      <c r="BK31" s="291"/>
      <c r="BL31" s="291"/>
      <c r="BM31" s="275"/>
      <c r="BN31" s="275"/>
      <c r="BO31" s="438"/>
      <c r="BP31" s="436"/>
      <c r="BQ31" s="275"/>
      <c r="BR31" s="275"/>
      <c r="BS31" s="275"/>
      <c r="BT31" s="275"/>
      <c r="BU31" s="275"/>
      <c r="BV31" s="275"/>
      <c r="BW31" s="275"/>
      <c r="BX31" s="438"/>
      <c r="BY31" s="436"/>
      <c r="BZ31" s="275"/>
      <c r="CA31" s="275"/>
      <c r="CB31" s="275"/>
      <c r="CC31" s="275"/>
      <c r="CD31" s="275"/>
      <c r="CE31" s="275"/>
      <c r="CF31" s="275"/>
      <c r="CG31" s="438"/>
      <c r="CH31" s="436"/>
      <c r="CI31" s="275"/>
      <c r="CJ31" s="275"/>
      <c r="CK31" s="275"/>
      <c r="CL31" s="275"/>
      <c r="CM31" s="275"/>
      <c r="CN31" s="275"/>
      <c r="CO31" s="442"/>
      <c r="CP31" s="443"/>
      <c r="CQ31" s="429">
        <f t="shared" si="9"/>
        <v>0</v>
      </c>
      <c r="CR31" s="430"/>
    </row>
    <row r="32" spans="1:104" ht="25.5" customHeight="1" x14ac:dyDescent="0.2">
      <c r="A32" s="410">
        <f t="shared" si="10"/>
        <v>17</v>
      </c>
      <c r="B32" s="280"/>
      <c r="C32" s="280"/>
      <c r="D32" s="411"/>
      <c r="E32" s="254"/>
      <c r="F32" s="277"/>
      <c r="G32" s="412"/>
      <c r="H32" s="413"/>
      <c r="I32" s="433" t="str">
        <f t="shared" si="4"/>
        <v/>
      </c>
      <c r="J32" s="434">
        <f t="shared" si="5"/>
        <v>0</v>
      </c>
      <c r="K32" s="259"/>
      <c r="L32" s="276"/>
      <c r="M32" s="435"/>
      <c r="N32" s="417" t="str">
        <f t="shared" si="6"/>
        <v/>
      </c>
      <c r="O32" s="418" t="str">
        <f>IF('Data Set up'!$G$40="JUNE",IF(OR($N32=7,$N32=8,$N32=9),1,IF(OR($N32=10,$N32=11,$N32=12),2,IF(OR($N32=1,$N32=2,$N32=3),3,IF(OR($N32=4,$N32=5,$N32=6),4,"")))),IF(OR($N32=9,$N32=10,$N32=11),1,IF(OR($N32=12,$N32=1,$N32=2),2,IF(OR($N32=3,$N32=4,$N32=5),3,IF(OR($N32=6,$N32=7,$N32=8),4,"")))))</f>
        <v/>
      </c>
      <c r="P32" s="436"/>
      <c r="Q32" s="275"/>
      <c r="R32" s="275"/>
      <c r="S32" s="275"/>
      <c r="T32" s="275"/>
      <c r="U32" s="275"/>
      <c r="V32" s="275"/>
      <c r="W32" s="275"/>
      <c r="X32" s="275"/>
      <c r="Y32" s="275"/>
      <c r="Z32" s="437"/>
      <c r="AA32" s="275"/>
      <c r="AB32" s="275"/>
      <c r="AC32" s="275"/>
      <c r="AD32" s="275"/>
      <c r="AE32" s="275"/>
      <c r="AF32" s="275"/>
      <c r="AG32" s="275"/>
      <c r="AH32" s="438"/>
      <c r="AI32" s="439">
        <f t="shared" si="7"/>
        <v>0</v>
      </c>
      <c r="AJ32" s="263"/>
      <c r="AK32" s="263"/>
      <c r="AL32" s="263"/>
      <c r="AM32" s="263"/>
      <c r="AN32" s="263"/>
      <c r="AO32" s="263"/>
      <c r="AP32" s="263"/>
      <c r="AQ32" s="436"/>
      <c r="AR32" s="275"/>
      <c r="AS32" s="437"/>
      <c r="AT32" s="437"/>
      <c r="AU32" s="437"/>
      <c r="AV32" s="437"/>
      <c r="AW32" s="437"/>
      <c r="AX32" s="437"/>
      <c r="AY32" s="437"/>
      <c r="AZ32" s="440">
        <f t="shared" si="8"/>
        <v>0</v>
      </c>
      <c r="BA32" s="275"/>
      <c r="BB32" s="275"/>
      <c r="BC32" s="275"/>
      <c r="BD32" s="275"/>
      <c r="BE32" s="275"/>
      <c r="BF32" s="275"/>
      <c r="BG32" s="275"/>
      <c r="BH32" s="436"/>
      <c r="BI32" s="275"/>
      <c r="BJ32" s="275"/>
      <c r="BK32" s="291"/>
      <c r="BL32" s="291"/>
      <c r="BM32" s="275"/>
      <c r="BN32" s="275"/>
      <c r="BO32" s="438"/>
      <c r="BP32" s="436"/>
      <c r="BQ32" s="275"/>
      <c r="BR32" s="275"/>
      <c r="BS32" s="275"/>
      <c r="BT32" s="275"/>
      <c r="BU32" s="275"/>
      <c r="BV32" s="275"/>
      <c r="BW32" s="275"/>
      <c r="BX32" s="438"/>
      <c r="BY32" s="436"/>
      <c r="BZ32" s="275"/>
      <c r="CA32" s="275"/>
      <c r="CB32" s="275"/>
      <c r="CC32" s="275"/>
      <c r="CD32" s="275"/>
      <c r="CE32" s="275"/>
      <c r="CF32" s="275"/>
      <c r="CG32" s="438"/>
      <c r="CH32" s="436"/>
      <c r="CI32" s="275"/>
      <c r="CJ32" s="275"/>
      <c r="CK32" s="275"/>
      <c r="CL32" s="275"/>
      <c r="CM32" s="275"/>
      <c r="CN32" s="275"/>
      <c r="CO32" s="442"/>
      <c r="CP32" s="443"/>
      <c r="CQ32" s="429">
        <f t="shared" si="9"/>
        <v>0</v>
      </c>
      <c r="CR32" s="430"/>
    </row>
    <row r="33" spans="1:96" ht="25.5" customHeight="1" x14ac:dyDescent="0.2">
      <c r="A33" s="410">
        <f t="shared" si="10"/>
        <v>18</v>
      </c>
      <c r="B33" s="280"/>
      <c r="C33" s="280"/>
      <c r="D33" s="411"/>
      <c r="E33" s="254"/>
      <c r="F33" s="277"/>
      <c r="G33" s="412"/>
      <c r="H33" s="413"/>
      <c r="I33" s="433" t="str">
        <f t="shared" si="4"/>
        <v/>
      </c>
      <c r="J33" s="434">
        <f t="shared" si="5"/>
        <v>0</v>
      </c>
      <c r="K33" s="259"/>
      <c r="L33" s="276"/>
      <c r="M33" s="435"/>
      <c r="N33" s="417" t="str">
        <f t="shared" si="6"/>
        <v/>
      </c>
      <c r="O33" s="418" t="str">
        <f>IF('Data Set up'!$G$40="JUNE",IF(OR($N33=7,$N33=8,$N33=9),1,IF(OR($N33=10,$N33=11,$N33=12),2,IF(OR($N33=1,$N33=2,$N33=3),3,IF(OR($N33=4,$N33=5,$N33=6),4,"")))),IF(OR($N33=9,$N33=10,$N33=11),1,IF(OR($N33=12,$N33=1,$N33=2),2,IF(OR($N33=3,$N33=4,$N33=5),3,IF(OR($N33=6,$N33=7,$N33=8),4,"")))))</f>
        <v/>
      </c>
      <c r="P33" s="436"/>
      <c r="Q33" s="275"/>
      <c r="R33" s="275"/>
      <c r="S33" s="275"/>
      <c r="T33" s="275"/>
      <c r="U33" s="275"/>
      <c r="V33" s="275"/>
      <c r="W33" s="275"/>
      <c r="X33" s="275"/>
      <c r="Y33" s="275"/>
      <c r="Z33" s="437"/>
      <c r="AA33" s="275"/>
      <c r="AB33" s="275"/>
      <c r="AC33" s="275"/>
      <c r="AD33" s="275"/>
      <c r="AE33" s="275"/>
      <c r="AF33" s="275"/>
      <c r="AG33" s="275"/>
      <c r="AH33" s="438"/>
      <c r="AI33" s="439">
        <f t="shared" si="7"/>
        <v>0</v>
      </c>
      <c r="AJ33" s="263"/>
      <c r="AK33" s="263"/>
      <c r="AL33" s="263"/>
      <c r="AM33" s="263"/>
      <c r="AN33" s="263"/>
      <c r="AO33" s="263"/>
      <c r="AP33" s="263"/>
      <c r="AQ33" s="436"/>
      <c r="AR33" s="275"/>
      <c r="AS33" s="437"/>
      <c r="AT33" s="437"/>
      <c r="AU33" s="437"/>
      <c r="AV33" s="437"/>
      <c r="AW33" s="437"/>
      <c r="AX33" s="437"/>
      <c r="AY33" s="437"/>
      <c r="AZ33" s="440">
        <f t="shared" si="8"/>
        <v>0</v>
      </c>
      <c r="BA33" s="275"/>
      <c r="BB33" s="275"/>
      <c r="BC33" s="275"/>
      <c r="BD33" s="275"/>
      <c r="BE33" s="275"/>
      <c r="BF33" s="275"/>
      <c r="BG33" s="275"/>
      <c r="BH33" s="436"/>
      <c r="BI33" s="275"/>
      <c r="BJ33" s="275"/>
      <c r="BK33" s="291"/>
      <c r="BL33" s="291"/>
      <c r="BM33" s="275"/>
      <c r="BN33" s="275"/>
      <c r="BO33" s="438"/>
      <c r="BP33" s="436"/>
      <c r="BQ33" s="275"/>
      <c r="BR33" s="275"/>
      <c r="BS33" s="275"/>
      <c r="BT33" s="275"/>
      <c r="BU33" s="275"/>
      <c r="BV33" s="275"/>
      <c r="BW33" s="275"/>
      <c r="BX33" s="438"/>
      <c r="BY33" s="436"/>
      <c r="BZ33" s="275"/>
      <c r="CA33" s="275"/>
      <c r="CB33" s="275"/>
      <c r="CC33" s="275"/>
      <c r="CD33" s="275"/>
      <c r="CE33" s="275"/>
      <c r="CF33" s="275"/>
      <c r="CG33" s="438"/>
      <c r="CH33" s="436"/>
      <c r="CI33" s="275"/>
      <c r="CJ33" s="275"/>
      <c r="CK33" s="275"/>
      <c r="CL33" s="275"/>
      <c r="CM33" s="275"/>
      <c r="CN33" s="275"/>
      <c r="CO33" s="442"/>
      <c r="CP33" s="443"/>
      <c r="CQ33" s="429">
        <f t="shared" si="9"/>
        <v>0</v>
      </c>
      <c r="CR33" s="430"/>
    </row>
    <row r="34" spans="1:96" ht="25.5" customHeight="1" x14ac:dyDescent="0.2">
      <c r="A34" s="410">
        <f t="shared" si="10"/>
        <v>19</v>
      </c>
      <c r="B34" s="280"/>
      <c r="C34" s="280"/>
      <c r="D34" s="411"/>
      <c r="E34" s="254"/>
      <c r="F34" s="277"/>
      <c r="G34" s="412"/>
      <c r="H34" s="413"/>
      <c r="I34" s="433" t="str">
        <f t="shared" si="4"/>
        <v/>
      </c>
      <c r="J34" s="434">
        <f t="shared" si="5"/>
        <v>0</v>
      </c>
      <c r="K34" s="259"/>
      <c r="L34" s="276"/>
      <c r="M34" s="435"/>
      <c r="N34" s="417" t="str">
        <f t="shared" si="6"/>
        <v/>
      </c>
      <c r="O34" s="418" t="str">
        <f>IF('Data Set up'!$G$40="JUNE",IF(OR($N34=7,$N34=8,$N34=9),1,IF(OR($N34=10,$N34=11,$N34=12),2,IF(OR($N34=1,$N34=2,$N34=3),3,IF(OR($N34=4,$N34=5,$N34=6),4,"")))),IF(OR($N34=9,$N34=10,$N34=11),1,IF(OR($N34=12,$N34=1,$N34=2),2,IF(OR($N34=3,$N34=4,$N34=5),3,IF(OR($N34=6,$N34=7,$N34=8),4,"")))))</f>
        <v/>
      </c>
      <c r="P34" s="436"/>
      <c r="Q34" s="275"/>
      <c r="R34" s="275"/>
      <c r="S34" s="275"/>
      <c r="T34" s="275"/>
      <c r="U34" s="275"/>
      <c r="V34" s="275"/>
      <c r="W34" s="275"/>
      <c r="X34" s="275"/>
      <c r="Y34" s="275"/>
      <c r="Z34" s="275"/>
      <c r="AA34" s="275"/>
      <c r="AB34" s="275"/>
      <c r="AC34" s="275"/>
      <c r="AD34" s="275"/>
      <c r="AE34" s="275"/>
      <c r="AF34" s="275"/>
      <c r="AG34" s="275"/>
      <c r="AH34" s="438"/>
      <c r="AI34" s="439">
        <f t="shared" si="7"/>
        <v>0</v>
      </c>
      <c r="AJ34" s="263"/>
      <c r="AK34" s="263"/>
      <c r="AL34" s="263"/>
      <c r="AM34" s="263"/>
      <c r="AN34" s="263"/>
      <c r="AO34" s="263"/>
      <c r="AP34" s="263"/>
      <c r="AQ34" s="436"/>
      <c r="AR34" s="275"/>
      <c r="AS34" s="275"/>
      <c r="AT34" s="275"/>
      <c r="AU34" s="275"/>
      <c r="AV34" s="275"/>
      <c r="AW34" s="275"/>
      <c r="AX34" s="275"/>
      <c r="AY34" s="437"/>
      <c r="AZ34" s="440">
        <f t="shared" si="8"/>
        <v>0</v>
      </c>
      <c r="BA34" s="275"/>
      <c r="BB34" s="275"/>
      <c r="BC34" s="275"/>
      <c r="BD34" s="275"/>
      <c r="BE34" s="275"/>
      <c r="BF34" s="275"/>
      <c r="BG34" s="275"/>
      <c r="BH34" s="436"/>
      <c r="BI34" s="275"/>
      <c r="BJ34" s="275"/>
      <c r="BK34" s="291"/>
      <c r="BL34" s="291"/>
      <c r="BM34" s="275"/>
      <c r="BN34" s="275"/>
      <c r="BO34" s="438"/>
      <c r="BP34" s="436"/>
      <c r="BQ34" s="275"/>
      <c r="BR34" s="275"/>
      <c r="BS34" s="275"/>
      <c r="BT34" s="275"/>
      <c r="BU34" s="275"/>
      <c r="BV34" s="275"/>
      <c r="BW34" s="275"/>
      <c r="BX34" s="438"/>
      <c r="BY34" s="436"/>
      <c r="BZ34" s="275"/>
      <c r="CA34" s="275"/>
      <c r="CB34" s="275"/>
      <c r="CC34" s="275"/>
      <c r="CD34" s="275"/>
      <c r="CE34" s="275"/>
      <c r="CF34" s="275"/>
      <c r="CG34" s="438"/>
      <c r="CH34" s="436"/>
      <c r="CI34" s="275"/>
      <c r="CJ34" s="275"/>
      <c r="CK34" s="275"/>
      <c r="CL34" s="275"/>
      <c r="CM34" s="275"/>
      <c r="CN34" s="275"/>
      <c r="CO34" s="442"/>
      <c r="CP34" s="443"/>
      <c r="CQ34" s="429">
        <f t="shared" si="9"/>
        <v>0</v>
      </c>
      <c r="CR34" s="430"/>
    </row>
    <row r="35" spans="1:96" ht="25.5" customHeight="1" x14ac:dyDescent="0.2">
      <c r="A35" s="410">
        <f t="shared" si="10"/>
        <v>20</v>
      </c>
      <c r="B35" s="280"/>
      <c r="C35" s="280"/>
      <c r="D35" s="411"/>
      <c r="E35" s="254"/>
      <c r="F35" s="277"/>
      <c r="G35" s="412"/>
      <c r="H35" s="413"/>
      <c r="I35" s="433" t="str">
        <f t="shared" si="4"/>
        <v/>
      </c>
      <c r="J35" s="434">
        <f t="shared" si="5"/>
        <v>0</v>
      </c>
      <c r="K35" s="259"/>
      <c r="L35" s="276"/>
      <c r="M35" s="435"/>
      <c r="N35" s="417" t="str">
        <f t="shared" si="6"/>
        <v/>
      </c>
      <c r="O35" s="418" t="str">
        <f>IF('Data Set up'!$G$40="JUNE",IF(OR($N35=7,$N35=8,$N35=9),1,IF(OR($N35=10,$N35=11,$N35=12),2,IF(OR($N35=1,$N35=2,$N35=3),3,IF(OR($N35=4,$N35=5,$N35=6),4,"")))),IF(OR($N35=9,$N35=10,$N35=11),1,IF(OR($N35=12,$N35=1,$N35=2),2,IF(OR($N35=3,$N35=4,$N35=5),3,IF(OR($N35=6,$N35=7,$N35=8),4,"")))))</f>
        <v/>
      </c>
      <c r="P35" s="436"/>
      <c r="Q35" s="275"/>
      <c r="R35" s="275"/>
      <c r="S35" s="275"/>
      <c r="T35" s="275"/>
      <c r="U35" s="275"/>
      <c r="V35" s="275"/>
      <c r="W35" s="275"/>
      <c r="X35" s="275"/>
      <c r="Y35" s="275"/>
      <c r="Z35" s="275"/>
      <c r="AA35" s="275"/>
      <c r="AB35" s="275"/>
      <c r="AC35" s="275"/>
      <c r="AD35" s="275"/>
      <c r="AE35" s="275"/>
      <c r="AF35" s="275"/>
      <c r="AG35" s="275"/>
      <c r="AH35" s="438"/>
      <c r="AI35" s="439">
        <f t="shared" si="7"/>
        <v>0</v>
      </c>
      <c r="AJ35" s="263"/>
      <c r="AK35" s="263"/>
      <c r="AL35" s="263"/>
      <c r="AM35" s="263"/>
      <c r="AN35" s="263"/>
      <c r="AO35" s="263"/>
      <c r="AP35" s="263"/>
      <c r="AQ35" s="436"/>
      <c r="AR35" s="275"/>
      <c r="AS35" s="275"/>
      <c r="AT35" s="275"/>
      <c r="AU35" s="275"/>
      <c r="AV35" s="275"/>
      <c r="AW35" s="275"/>
      <c r="AX35" s="275"/>
      <c r="AY35" s="437"/>
      <c r="AZ35" s="440">
        <f t="shared" si="8"/>
        <v>0</v>
      </c>
      <c r="BA35" s="275"/>
      <c r="BB35" s="275"/>
      <c r="BC35" s="275"/>
      <c r="BD35" s="275"/>
      <c r="BE35" s="275"/>
      <c r="BF35" s="275"/>
      <c r="BG35" s="275"/>
      <c r="BH35" s="436"/>
      <c r="BI35" s="275"/>
      <c r="BJ35" s="275"/>
      <c r="BK35" s="291"/>
      <c r="BL35" s="291"/>
      <c r="BM35" s="275"/>
      <c r="BN35" s="275"/>
      <c r="BO35" s="438"/>
      <c r="BP35" s="436"/>
      <c r="BQ35" s="275"/>
      <c r="BR35" s="275"/>
      <c r="BS35" s="275"/>
      <c r="BT35" s="275"/>
      <c r="BU35" s="275"/>
      <c r="BV35" s="275"/>
      <c r="BW35" s="275"/>
      <c r="BX35" s="438"/>
      <c r="BY35" s="436"/>
      <c r="BZ35" s="275"/>
      <c r="CA35" s="275"/>
      <c r="CB35" s="275"/>
      <c r="CC35" s="275"/>
      <c r="CD35" s="275"/>
      <c r="CE35" s="275"/>
      <c r="CF35" s="275"/>
      <c r="CG35" s="438"/>
      <c r="CH35" s="436"/>
      <c r="CI35" s="275"/>
      <c r="CJ35" s="275"/>
      <c r="CK35" s="275"/>
      <c r="CL35" s="275"/>
      <c r="CM35" s="275"/>
      <c r="CN35" s="275"/>
      <c r="CO35" s="442"/>
      <c r="CP35" s="443"/>
      <c r="CQ35" s="429">
        <f t="shared" si="9"/>
        <v>0</v>
      </c>
      <c r="CR35" s="430"/>
    </row>
    <row r="36" spans="1:96" ht="25.5" customHeight="1" x14ac:dyDescent="0.2">
      <c r="A36" s="410">
        <f t="shared" si="10"/>
        <v>21</v>
      </c>
      <c r="B36" s="280"/>
      <c r="C36" s="280"/>
      <c r="D36" s="411"/>
      <c r="E36" s="254"/>
      <c r="F36" s="277"/>
      <c r="G36" s="412"/>
      <c r="H36" s="413"/>
      <c r="I36" s="433" t="str">
        <f t="shared" si="4"/>
        <v/>
      </c>
      <c r="J36" s="434">
        <f t="shared" si="5"/>
        <v>0</v>
      </c>
      <c r="K36" s="259"/>
      <c r="L36" s="276"/>
      <c r="M36" s="435"/>
      <c r="N36" s="417" t="str">
        <f t="shared" si="6"/>
        <v/>
      </c>
      <c r="O36" s="418" t="str">
        <f>IF('Data Set up'!$G$40="JUNE",IF(OR($N36=7,$N36=8,$N36=9),1,IF(OR($N36=10,$N36=11,$N36=12),2,IF(OR($N36=1,$N36=2,$N36=3),3,IF(OR($N36=4,$N36=5,$N36=6),4,"")))),IF(OR($N36=9,$N36=10,$N36=11),1,IF(OR($N36=12,$N36=1,$N36=2),2,IF(OR($N36=3,$N36=4,$N36=5),3,IF(OR($N36=6,$N36=7,$N36=8),4,"")))))</f>
        <v/>
      </c>
      <c r="P36" s="436"/>
      <c r="Q36" s="275"/>
      <c r="R36" s="275"/>
      <c r="S36" s="275"/>
      <c r="T36" s="275"/>
      <c r="U36" s="275"/>
      <c r="V36" s="275"/>
      <c r="W36" s="275"/>
      <c r="X36" s="275"/>
      <c r="Y36" s="275"/>
      <c r="Z36" s="275"/>
      <c r="AA36" s="275"/>
      <c r="AB36" s="275"/>
      <c r="AC36" s="275"/>
      <c r="AD36" s="275"/>
      <c r="AE36" s="275"/>
      <c r="AF36" s="275"/>
      <c r="AG36" s="275"/>
      <c r="AH36" s="438"/>
      <c r="AI36" s="439">
        <f t="shared" si="7"/>
        <v>0</v>
      </c>
      <c r="AJ36" s="263"/>
      <c r="AK36" s="263"/>
      <c r="AL36" s="263"/>
      <c r="AM36" s="263"/>
      <c r="AN36" s="263"/>
      <c r="AO36" s="263"/>
      <c r="AP36" s="263"/>
      <c r="AQ36" s="436"/>
      <c r="AR36" s="275"/>
      <c r="AS36" s="275"/>
      <c r="AT36" s="275"/>
      <c r="AU36" s="275"/>
      <c r="AV36" s="275"/>
      <c r="AW36" s="275"/>
      <c r="AX36" s="275"/>
      <c r="AY36" s="437"/>
      <c r="AZ36" s="440">
        <f t="shared" si="8"/>
        <v>0</v>
      </c>
      <c r="BA36" s="275"/>
      <c r="BB36" s="275"/>
      <c r="BC36" s="275"/>
      <c r="BD36" s="275"/>
      <c r="BE36" s="275"/>
      <c r="BF36" s="275"/>
      <c r="BG36" s="275"/>
      <c r="BH36" s="436"/>
      <c r="BI36" s="275"/>
      <c r="BJ36" s="275"/>
      <c r="BK36" s="291"/>
      <c r="BL36" s="291"/>
      <c r="BM36" s="275"/>
      <c r="BN36" s="275"/>
      <c r="BO36" s="438"/>
      <c r="BP36" s="436"/>
      <c r="BQ36" s="275"/>
      <c r="BR36" s="275"/>
      <c r="BS36" s="275"/>
      <c r="BT36" s="275"/>
      <c r="BU36" s="275"/>
      <c r="BV36" s="275"/>
      <c r="BW36" s="275"/>
      <c r="BX36" s="438"/>
      <c r="BY36" s="436"/>
      <c r="BZ36" s="275"/>
      <c r="CA36" s="275"/>
      <c r="CB36" s="275"/>
      <c r="CC36" s="275"/>
      <c r="CD36" s="275"/>
      <c r="CE36" s="275"/>
      <c r="CF36" s="275"/>
      <c r="CG36" s="438"/>
      <c r="CH36" s="436"/>
      <c r="CI36" s="275"/>
      <c r="CJ36" s="275"/>
      <c r="CK36" s="275"/>
      <c r="CL36" s="275"/>
      <c r="CM36" s="275"/>
      <c r="CN36" s="275"/>
      <c r="CO36" s="442"/>
      <c r="CP36" s="443"/>
      <c r="CQ36" s="429">
        <f t="shared" si="9"/>
        <v>0</v>
      </c>
      <c r="CR36" s="430"/>
    </row>
    <row r="37" spans="1:96" ht="25.5" customHeight="1" x14ac:dyDescent="0.2">
      <c r="A37" s="410">
        <f t="shared" si="10"/>
        <v>22</v>
      </c>
      <c r="B37" s="280"/>
      <c r="C37" s="280"/>
      <c r="D37" s="411"/>
      <c r="E37" s="254"/>
      <c r="F37" s="277"/>
      <c r="G37" s="412"/>
      <c r="H37" s="413"/>
      <c r="I37" s="433" t="str">
        <f t="shared" si="4"/>
        <v/>
      </c>
      <c r="J37" s="434">
        <f t="shared" si="5"/>
        <v>0</v>
      </c>
      <c r="K37" s="259"/>
      <c r="L37" s="276"/>
      <c r="M37" s="435"/>
      <c r="N37" s="417" t="str">
        <f t="shared" si="6"/>
        <v/>
      </c>
      <c r="O37" s="418" t="str">
        <f>IF('Data Set up'!$G$40="JUNE",IF(OR($N37=7,$N37=8,$N37=9),1,IF(OR($N37=10,$N37=11,$N37=12),2,IF(OR($N37=1,$N37=2,$N37=3),3,IF(OR($N37=4,$N37=5,$N37=6),4,"")))),IF(OR($N37=9,$N37=10,$N37=11),1,IF(OR($N37=12,$N37=1,$N37=2),2,IF(OR($N37=3,$N37=4,$N37=5),3,IF(OR($N37=6,$N37=7,$N37=8),4,"")))))</f>
        <v/>
      </c>
      <c r="P37" s="436"/>
      <c r="Q37" s="275"/>
      <c r="R37" s="275"/>
      <c r="S37" s="275"/>
      <c r="T37" s="275"/>
      <c r="U37" s="275"/>
      <c r="V37" s="275"/>
      <c r="W37" s="275"/>
      <c r="X37" s="275"/>
      <c r="Y37" s="275"/>
      <c r="Z37" s="275"/>
      <c r="AA37" s="275"/>
      <c r="AB37" s="275"/>
      <c r="AC37" s="275"/>
      <c r="AD37" s="275"/>
      <c r="AE37" s="275"/>
      <c r="AF37" s="275"/>
      <c r="AG37" s="275"/>
      <c r="AH37" s="438"/>
      <c r="AI37" s="439">
        <f t="shared" si="7"/>
        <v>0</v>
      </c>
      <c r="AJ37" s="263"/>
      <c r="AK37" s="263"/>
      <c r="AL37" s="263"/>
      <c r="AM37" s="263"/>
      <c r="AN37" s="263"/>
      <c r="AO37" s="263"/>
      <c r="AP37" s="263"/>
      <c r="AQ37" s="436"/>
      <c r="AR37" s="275"/>
      <c r="AS37" s="275"/>
      <c r="AT37" s="275"/>
      <c r="AU37" s="275"/>
      <c r="AV37" s="275"/>
      <c r="AW37" s="275"/>
      <c r="AX37" s="275"/>
      <c r="AY37" s="437"/>
      <c r="AZ37" s="440">
        <f t="shared" si="8"/>
        <v>0</v>
      </c>
      <c r="BA37" s="275"/>
      <c r="BB37" s="275"/>
      <c r="BC37" s="275"/>
      <c r="BD37" s="275"/>
      <c r="BE37" s="275"/>
      <c r="BF37" s="275"/>
      <c r="BG37" s="275"/>
      <c r="BH37" s="436"/>
      <c r="BI37" s="275"/>
      <c r="BJ37" s="275"/>
      <c r="BK37" s="291"/>
      <c r="BL37" s="291"/>
      <c r="BM37" s="275"/>
      <c r="BN37" s="275"/>
      <c r="BO37" s="438"/>
      <c r="BP37" s="436"/>
      <c r="BQ37" s="275"/>
      <c r="BR37" s="275"/>
      <c r="BS37" s="275"/>
      <c r="BT37" s="275"/>
      <c r="BU37" s="275"/>
      <c r="BV37" s="275"/>
      <c r="BW37" s="275"/>
      <c r="BX37" s="438"/>
      <c r="BY37" s="436"/>
      <c r="BZ37" s="275"/>
      <c r="CA37" s="275"/>
      <c r="CB37" s="275"/>
      <c r="CC37" s="275"/>
      <c r="CD37" s="275"/>
      <c r="CE37" s="275"/>
      <c r="CF37" s="275"/>
      <c r="CG37" s="438"/>
      <c r="CH37" s="436"/>
      <c r="CI37" s="275"/>
      <c r="CJ37" s="275"/>
      <c r="CK37" s="275"/>
      <c r="CL37" s="295"/>
      <c r="CM37" s="275"/>
      <c r="CN37" s="275"/>
      <c r="CO37" s="442"/>
      <c r="CP37" s="443"/>
      <c r="CQ37" s="429">
        <f t="shared" si="9"/>
        <v>0</v>
      </c>
      <c r="CR37" s="430"/>
    </row>
    <row r="38" spans="1:96" ht="25.5" customHeight="1" x14ac:dyDescent="0.2">
      <c r="A38" s="410">
        <f t="shared" si="10"/>
        <v>23</v>
      </c>
      <c r="B38" s="280"/>
      <c r="C38" s="280"/>
      <c r="D38" s="411"/>
      <c r="E38" s="254"/>
      <c r="F38" s="277"/>
      <c r="G38" s="412"/>
      <c r="H38" s="413"/>
      <c r="I38" s="433" t="str">
        <f t="shared" si="4"/>
        <v/>
      </c>
      <c r="J38" s="434">
        <f t="shared" si="5"/>
        <v>0</v>
      </c>
      <c r="K38" s="259"/>
      <c r="L38" s="276"/>
      <c r="M38" s="435"/>
      <c r="N38" s="417" t="str">
        <f t="shared" si="6"/>
        <v/>
      </c>
      <c r="O38" s="418" t="str">
        <f>IF('Data Set up'!$G$40="JUNE",IF(OR($N38=7,$N38=8,$N38=9),1,IF(OR($N38=10,$N38=11,$N38=12),2,IF(OR($N38=1,$N38=2,$N38=3),3,IF(OR($N38=4,$N38=5,$N38=6),4,"")))),IF(OR($N38=9,$N38=10,$N38=11),1,IF(OR($N38=12,$N38=1,$N38=2),2,IF(OR($N38=3,$N38=4,$N38=5),3,IF(OR($N38=6,$N38=7,$N38=8),4,"")))))</f>
        <v/>
      </c>
      <c r="P38" s="436"/>
      <c r="Q38" s="275"/>
      <c r="R38" s="275"/>
      <c r="S38" s="275"/>
      <c r="T38" s="275"/>
      <c r="U38" s="275"/>
      <c r="V38" s="275"/>
      <c r="W38" s="275"/>
      <c r="X38" s="275"/>
      <c r="Y38" s="275"/>
      <c r="Z38" s="275"/>
      <c r="AA38" s="275"/>
      <c r="AB38" s="275"/>
      <c r="AC38" s="275"/>
      <c r="AD38" s="275"/>
      <c r="AE38" s="275"/>
      <c r="AF38" s="275"/>
      <c r="AG38" s="275"/>
      <c r="AH38" s="438"/>
      <c r="AI38" s="439">
        <f t="shared" si="7"/>
        <v>0</v>
      </c>
      <c r="AJ38" s="263"/>
      <c r="AK38" s="263"/>
      <c r="AL38" s="263"/>
      <c r="AM38" s="263"/>
      <c r="AN38" s="263"/>
      <c r="AO38" s="263"/>
      <c r="AP38" s="263"/>
      <c r="AQ38" s="436"/>
      <c r="AR38" s="275"/>
      <c r="AS38" s="275"/>
      <c r="AT38" s="275"/>
      <c r="AU38" s="275"/>
      <c r="AV38" s="275"/>
      <c r="AW38" s="275"/>
      <c r="AX38" s="275"/>
      <c r="AY38" s="437"/>
      <c r="AZ38" s="440">
        <f t="shared" si="8"/>
        <v>0</v>
      </c>
      <c r="BA38" s="275"/>
      <c r="BB38" s="275"/>
      <c r="BC38" s="275"/>
      <c r="BD38" s="275"/>
      <c r="BE38" s="275"/>
      <c r="BF38" s="275"/>
      <c r="BG38" s="275"/>
      <c r="BH38" s="436"/>
      <c r="BI38" s="275"/>
      <c r="BJ38" s="275"/>
      <c r="BK38" s="291"/>
      <c r="BL38" s="291"/>
      <c r="BM38" s="275"/>
      <c r="BN38" s="275"/>
      <c r="BO38" s="438"/>
      <c r="BP38" s="436"/>
      <c r="BQ38" s="275"/>
      <c r="BR38" s="275"/>
      <c r="BS38" s="275"/>
      <c r="BT38" s="275"/>
      <c r="BU38" s="275"/>
      <c r="BV38" s="275"/>
      <c r="BW38" s="275"/>
      <c r="BX38" s="438"/>
      <c r="BY38" s="436"/>
      <c r="BZ38" s="275"/>
      <c r="CA38" s="275"/>
      <c r="CB38" s="275"/>
      <c r="CC38" s="275"/>
      <c r="CD38" s="275"/>
      <c r="CE38" s="275"/>
      <c r="CF38" s="275"/>
      <c r="CG38" s="438"/>
      <c r="CH38" s="436"/>
      <c r="CI38" s="275"/>
      <c r="CJ38" s="275"/>
      <c r="CK38" s="275"/>
      <c r="CL38" s="275"/>
      <c r="CM38" s="275"/>
      <c r="CN38" s="275"/>
      <c r="CO38" s="442"/>
      <c r="CP38" s="443"/>
      <c r="CQ38" s="429">
        <f t="shared" si="9"/>
        <v>0</v>
      </c>
      <c r="CR38" s="430"/>
    </row>
    <row r="39" spans="1:96" ht="25.5" customHeight="1" x14ac:dyDescent="0.2">
      <c r="A39" s="410">
        <f t="shared" si="10"/>
        <v>24</v>
      </c>
      <c r="B39" s="280"/>
      <c r="C39" s="280"/>
      <c r="D39" s="411"/>
      <c r="E39" s="254"/>
      <c r="F39" s="277"/>
      <c r="G39" s="412"/>
      <c r="H39" s="413"/>
      <c r="I39" s="433" t="str">
        <f t="shared" si="4"/>
        <v/>
      </c>
      <c r="J39" s="434">
        <f t="shared" si="5"/>
        <v>0</v>
      </c>
      <c r="K39" s="259"/>
      <c r="L39" s="276"/>
      <c r="M39" s="435"/>
      <c r="N39" s="417" t="str">
        <f t="shared" si="6"/>
        <v/>
      </c>
      <c r="O39" s="418" t="str">
        <f>IF('Data Set up'!$G$40="JUNE",IF(OR($N39=7,$N39=8,$N39=9),1,IF(OR($N39=10,$N39=11,$N39=12),2,IF(OR($N39=1,$N39=2,$N39=3),3,IF(OR($N39=4,$N39=5,$N39=6),4,"")))),IF(OR($N39=9,$N39=10,$N39=11),1,IF(OR($N39=12,$N39=1,$N39=2),2,IF(OR($N39=3,$N39=4,$N39=5),3,IF(OR($N39=6,$N39=7,$N39=8),4,"")))))</f>
        <v/>
      </c>
      <c r="P39" s="436"/>
      <c r="Q39" s="275"/>
      <c r="R39" s="275"/>
      <c r="S39" s="275"/>
      <c r="T39" s="275"/>
      <c r="U39" s="275"/>
      <c r="V39" s="275"/>
      <c r="W39" s="275"/>
      <c r="X39" s="275"/>
      <c r="Y39" s="275"/>
      <c r="Z39" s="275"/>
      <c r="AA39" s="275"/>
      <c r="AB39" s="275"/>
      <c r="AC39" s="275"/>
      <c r="AD39" s="275"/>
      <c r="AE39" s="275"/>
      <c r="AF39" s="275"/>
      <c r="AG39" s="275"/>
      <c r="AH39" s="438"/>
      <c r="AI39" s="439">
        <f t="shared" si="7"/>
        <v>0</v>
      </c>
      <c r="AJ39" s="263"/>
      <c r="AK39" s="263"/>
      <c r="AL39" s="263"/>
      <c r="AM39" s="263"/>
      <c r="AN39" s="263"/>
      <c r="AO39" s="263"/>
      <c r="AP39" s="263"/>
      <c r="AQ39" s="436"/>
      <c r="AR39" s="275"/>
      <c r="AS39" s="275"/>
      <c r="AT39" s="275"/>
      <c r="AU39" s="275"/>
      <c r="AV39" s="275"/>
      <c r="AW39" s="275"/>
      <c r="AX39" s="275"/>
      <c r="AY39" s="437"/>
      <c r="AZ39" s="440">
        <f t="shared" si="8"/>
        <v>0</v>
      </c>
      <c r="BA39" s="275"/>
      <c r="BB39" s="275"/>
      <c r="BC39" s="275"/>
      <c r="BD39" s="275"/>
      <c r="BE39" s="275"/>
      <c r="BF39" s="275"/>
      <c r="BG39" s="275"/>
      <c r="BH39" s="436"/>
      <c r="BI39" s="275"/>
      <c r="BJ39" s="275"/>
      <c r="BK39" s="291"/>
      <c r="BL39" s="291"/>
      <c r="BM39" s="275"/>
      <c r="BN39" s="275"/>
      <c r="BO39" s="438"/>
      <c r="BP39" s="436"/>
      <c r="BQ39" s="275"/>
      <c r="BR39" s="275"/>
      <c r="BS39" s="275"/>
      <c r="BT39" s="275"/>
      <c r="BU39" s="275"/>
      <c r="BV39" s="275"/>
      <c r="BW39" s="275"/>
      <c r="BX39" s="438"/>
      <c r="BY39" s="436"/>
      <c r="BZ39" s="275"/>
      <c r="CA39" s="275"/>
      <c r="CB39" s="275"/>
      <c r="CC39" s="275"/>
      <c r="CD39" s="275"/>
      <c r="CE39" s="275"/>
      <c r="CF39" s="275"/>
      <c r="CG39" s="438"/>
      <c r="CH39" s="436"/>
      <c r="CI39" s="275"/>
      <c r="CJ39" s="275"/>
      <c r="CK39" s="275"/>
      <c r="CL39" s="295"/>
      <c r="CM39" s="275"/>
      <c r="CN39" s="275"/>
      <c r="CO39" s="442"/>
      <c r="CP39" s="443"/>
      <c r="CQ39" s="429">
        <f t="shared" si="9"/>
        <v>0</v>
      </c>
      <c r="CR39" s="430"/>
    </row>
    <row r="40" spans="1:96" ht="25.5" customHeight="1" x14ac:dyDescent="0.2">
      <c r="A40" s="410">
        <f t="shared" si="10"/>
        <v>25</v>
      </c>
      <c r="B40" s="280"/>
      <c r="C40" s="280"/>
      <c r="D40" s="411"/>
      <c r="E40" s="254"/>
      <c r="F40" s="277"/>
      <c r="G40" s="412"/>
      <c r="H40" s="413"/>
      <c r="I40" s="433" t="str">
        <f t="shared" si="4"/>
        <v/>
      </c>
      <c r="J40" s="434">
        <f t="shared" si="5"/>
        <v>0</v>
      </c>
      <c r="K40" s="259"/>
      <c r="L40" s="276"/>
      <c r="M40" s="435"/>
      <c r="N40" s="417" t="str">
        <f t="shared" si="6"/>
        <v/>
      </c>
      <c r="O40" s="418" t="str">
        <f>IF('Data Set up'!$G$40="JUNE",IF(OR($N40=7,$N40=8,$N40=9),1,IF(OR($N40=10,$N40=11,$N40=12),2,IF(OR($N40=1,$N40=2,$N40=3),3,IF(OR($N40=4,$N40=5,$N40=6),4,"")))),IF(OR($N40=9,$N40=10,$N40=11),1,IF(OR($N40=12,$N40=1,$N40=2),2,IF(OR($N40=3,$N40=4,$N40=5),3,IF(OR($N40=6,$N40=7,$N40=8),4,"")))))</f>
        <v/>
      </c>
      <c r="P40" s="436"/>
      <c r="Q40" s="275"/>
      <c r="R40" s="275"/>
      <c r="S40" s="275"/>
      <c r="T40" s="275"/>
      <c r="U40" s="275"/>
      <c r="V40" s="275"/>
      <c r="W40" s="295"/>
      <c r="X40" s="275"/>
      <c r="Y40" s="275"/>
      <c r="Z40" s="275"/>
      <c r="AA40" s="275"/>
      <c r="AB40" s="275"/>
      <c r="AC40" s="275"/>
      <c r="AD40" s="275"/>
      <c r="AE40" s="275"/>
      <c r="AF40" s="275"/>
      <c r="AG40" s="275"/>
      <c r="AH40" s="438"/>
      <c r="AI40" s="439">
        <f t="shared" si="7"/>
        <v>0</v>
      </c>
      <c r="AJ40" s="263"/>
      <c r="AK40" s="263"/>
      <c r="AL40" s="263"/>
      <c r="AM40" s="263"/>
      <c r="AN40" s="263"/>
      <c r="AO40" s="263"/>
      <c r="AP40" s="263"/>
      <c r="AQ40" s="436"/>
      <c r="AR40" s="275"/>
      <c r="AS40" s="275"/>
      <c r="AT40" s="275"/>
      <c r="AU40" s="275"/>
      <c r="AV40" s="275"/>
      <c r="AW40" s="275"/>
      <c r="AX40" s="275"/>
      <c r="AY40" s="437"/>
      <c r="AZ40" s="440">
        <f t="shared" si="8"/>
        <v>0</v>
      </c>
      <c r="BA40" s="275"/>
      <c r="BB40" s="275"/>
      <c r="BC40" s="275"/>
      <c r="BD40" s="275"/>
      <c r="BE40" s="275"/>
      <c r="BF40" s="275"/>
      <c r="BG40" s="275"/>
      <c r="BH40" s="436"/>
      <c r="BI40" s="275"/>
      <c r="BJ40" s="275"/>
      <c r="BK40" s="291"/>
      <c r="BL40" s="291"/>
      <c r="BM40" s="275"/>
      <c r="BN40" s="275"/>
      <c r="BO40" s="438"/>
      <c r="BP40" s="436"/>
      <c r="BQ40" s="275"/>
      <c r="BR40" s="275"/>
      <c r="BS40" s="275"/>
      <c r="BT40" s="275"/>
      <c r="BU40" s="275"/>
      <c r="BV40" s="275"/>
      <c r="BW40" s="275"/>
      <c r="BX40" s="438"/>
      <c r="BY40" s="436"/>
      <c r="BZ40" s="275"/>
      <c r="CA40" s="275"/>
      <c r="CB40" s="275"/>
      <c r="CC40" s="275"/>
      <c r="CD40" s="275"/>
      <c r="CE40" s="275"/>
      <c r="CF40" s="275"/>
      <c r="CG40" s="438"/>
      <c r="CH40" s="436"/>
      <c r="CI40" s="275"/>
      <c r="CJ40" s="275"/>
      <c r="CK40" s="275"/>
      <c r="CL40" s="275"/>
      <c r="CM40" s="275"/>
      <c r="CN40" s="275"/>
      <c r="CO40" s="442"/>
      <c r="CP40" s="443"/>
      <c r="CQ40" s="429">
        <f t="shared" si="9"/>
        <v>0</v>
      </c>
      <c r="CR40" s="430"/>
    </row>
    <row r="41" spans="1:96" ht="25.5" customHeight="1" x14ac:dyDescent="0.2">
      <c r="A41" s="410">
        <f t="shared" si="10"/>
        <v>26</v>
      </c>
      <c r="B41" s="280"/>
      <c r="C41" s="280"/>
      <c r="D41" s="411"/>
      <c r="E41" s="254"/>
      <c r="F41" s="277"/>
      <c r="G41" s="412"/>
      <c r="H41" s="413"/>
      <c r="I41" s="433" t="str">
        <f t="shared" si="4"/>
        <v/>
      </c>
      <c r="J41" s="434">
        <f t="shared" si="5"/>
        <v>0</v>
      </c>
      <c r="K41" s="259"/>
      <c r="L41" s="276"/>
      <c r="M41" s="435"/>
      <c r="N41" s="417" t="str">
        <f t="shared" si="6"/>
        <v/>
      </c>
      <c r="O41" s="418" t="str">
        <f>IF('Data Set up'!$G$40="JUNE",IF(OR($N41=7,$N41=8,$N41=9),1,IF(OR($N41=10,$N41=11,$N41=12),2,IF(OR($N41=1,$N41=2,$N41=3),3,IF(OR($N41=4,$N41=5,$N41=6),4,"")))),IF(OR($N41=9,$N41=10,$N41=11),1,IF(OR($N41=12,$N41=1,$N41=2),2,IF(OR($N41=3,$N41=4,$N41=5),3,IF(OR($N41=6,$N41=7,$N41=8),4,"")))))</f>
        <v/>
      </c>
      <c r="P41" s="436"/>
      <c r="Q41" s="275"/>
      <c r="R41" s="275"/>
      <c r="S41" s="275"/>
      <c r="T41" s="275"/>
      <c r="U41" s="275"/>
      <c r="V41" s="275"/>
      <c r="W41" s="275"/>
      <c r="X41" s="275"/>
      <c r="Y41" s="275"/>
      <c r="Z41" s="275"/>
      <c r="AA41" s="275"/>
      <c r="AB41" s="275"/>
      <c r="AC41" s="275"/>
      <c r="AD41" s="275"/>
      <c r="AE41" s="275"/>
      <c r="AF41" s="275"/>
      <c r="AG41" s="275"/>
      <c r="AH41" s="438"/>
      <c r="AI41" s="439">
        <f t="shared" si="7"/>
        <v>0</v>
      </c>
      <c r="AJ41" s="263"/>
      <c r="AK41" s="263"/>
      <c r="AL41" s="263"/>
      <c r="AM41" s="263"/>
      <c r="AN41" s="263"/>
      <c r="AO41" s="263"/>
      <c r="AP41" s="263"/>
      <c r="AQ41" s="436"/>
      <c r="AR41" s="275"/>
      <c r="AS41" s="275"/>
      <c r="AT41" s="275"/>
      <c r="AU41" s="275"/>
      <c r="AV41" s="275"/>
      <c r="AW41" s="275"/>
      <c r="AX41" s="275"/>
      <c r="AY41" s="437"/>
      <c r="AZ41" s="440">
        <f t="shared" si="8"/>
        <v>0</v>
      </c>
      <c r="BA41" s="275"/>
      <c r="BB41" s="275"/>
      <c r="BC41" s="275"/>
      <c r="BD41" s="275"/>
      <c r="BE41" s="275"/>
      <c r="BF41" s="275"/>
      <c r="BG41" s="275"/>
      <c r="BH41" s="436"/>
      <c r="BI41" s="275"/>
      <c r="BJ41" s="275"/>
      <c r="BK41" s="291"/>
      <c r="BL41" s="291"/>
      <c r="BM41" s="275"/>
      <c r="BN41" s="275"/>
      <c r="BO41" s="438"/>
      <c r="BP41" s="436"/>
      <c r="BQ41" s="275"/>
      <c r="BR41" s="275"/>
      <c r="BS41" s="275"/>
      <c r="BT41" s="275"/>
      <c r="BU41" s="275"/>
      <c r="BV41" s="275"/>
      <c r="BW41" s="275"/>
      <c r="BX41" s="438"/>
      <c r="BY41" s="436"/>
      <c r="BZ41" s="275"/>
      <c r="CA41" s="275"/>
      <c r="CB41" s="275"/>
      <c r="CC41" s="275"/>
      <c r="CD41" s="275"/>
      <c r="CE41" s="275"/>
      <c r="CF41" s="275"/>
      <c r="CG41" s="438"/>
      <c r="CH41" s="436"/>
      <c r="CI41" s="275"/>
      <c r="CJ41" s="275"/>
      <c r="CK41" s="275"/>
      <c r="CL41" s="275"/>
      <c r="CM41" s="275"/>
      <c r="CN41" s="275"/>
      <c r="CO41" s="442"/>
      <c r="CP41" s="443"/>
      <c r="CQ41" s="429">
        <f t="shared" si="9"/>
        <v>0</v>
      </c>
      <c r="CR41" s="430"/>
    </row>
    <row r="42" spans="1:96" s="1" customFormat="1" ht="25.5" customHeight="1" x14ac:dyDescent="0.2">
      <c r="A42" s="410">
        <f t="shared" si="10"/>
        <v>27</v>
      </c>
      <c r="B42" s="280"/>
      <c r="C42" s="280"/>
      <c r="D42" s="411"/>
      <c r="E42" s="254"/>
      <c r="F42" s="277"/>
      <c r="G42" s="412"/>
      <c r="H42" s="413"/>
      <c r="I42" s="433" t="str">
        <f t="shared" si="4"/>
        <v/>
      </c>
      <c r="J42" s="434">
        <f t="shared" si="5"/>
        <v>0</v>
      </c>
      <c r="K42" s="259"/>
      <c r="L42" s="276"/>
      <c r="M42" s="435"/>
      <c r="N42" s="417" t="str">
        <f t="shared" si="6"/>
        <v/>
      </c>
      <c r="O42" s="418" t="str">
        <f>IF('Data Set up'!$G$40="JUNE",IF(OR($N42=7,$N42=8,$N42=9),1,IF(OR($N42=10,$N42=11,$N42=12),2,IF(OR($N42=1,$N42=2,$N42=3),3,IF(OR($N42=4,$N42=5,$N42=6),4,"")))),IF(OR($N42=9,$N42=10,$N42=11),1,IF(OR($N42=12,$N42=1,$N42=2),2,IF(OR($N42=3,$N42=4,$N42=5),3,IF(OR($N42=6,$N42=7,$N42=8),4,"")))))</f>
        <v/>
      </c>
      <c r="P42" s="445"/>
      <c r="Q42" s="291"/>
      <c r="R42" s="291"/>
      <c r="S42" s="291"/>
      <c r="T42" s="446"/>
      <c r="U42" s="291"/>
      <c r="V42" s="291"/>
      <c r="W42" s="291"/>
      <c r="X42" s="291"/>
      <c r="Y42" s="291"/>
      <c r="Z42" s="291"/>
      <c r="AA42" s="291"/>
      <c r="AB42" s="291"/>
      <c r="AC42" s="291"/>
      <c r="AD42" s="291"/>
      <c r="AE42" s="291"/>
      <c r="AF42" s="291"/>
      <c r="AG42" s="291"/>
      <c r="AH42" s="447"/>
      <c r="AI42" s="439">
        <f t="shared" si="7"/>
        <v>0</v>
      </c>
      <c r="AJ42" s="263"/>
      <c r="AK42" s="263"/>
      <c r="AL42" s="263"/>
      <c r="AM42" s="263"/>
      <c r="AN42" s="263"/>
      <c r="AO42" s="263"/>
      <c r="AP42" s="263"/>
      <c r="AQ42" s="445"/>
      <c r="AR42" s="291"/>
      <c r="AS42" s="291"/>
      <c r="AT42" s="291"/>
      <c r="AU42" s="291"/>
      <c r="AV42" s="291"/>
      <c r="AW42" s="291"/>
      <c r="AX42" s="291"/>
      <c r="AY42" s="448"/>
      <c r="AZ42" s="440">
        <f t="shared" si="8"/>
        <v>0</v>
      </c>
      <c r="BA42" s="291"/>
      <c r="BB42" s="291"/>
      <c r="BC42" s="291"/>
      <c r="BD42" s="291"/>
      <c r="BE42" s="291"/>
      <c r="BF42" s="291"/>
      <c r="BG42" s="291"/>
      <c r="BH42" s="445"/>
      <c r="BI42" s="291"/>
      <c r="BJ42" s="291"/>
      <c r="BK42" s="291"/>
      <c r="BL42" s="291"/>
      <c r="BM42" s="291"/>
      <c r="BN42" s="291"/>
      <c r="BO42" s="447"/>
      <c r="BP42" s="445"/>
      <c r="BQ42" s="291"/>
      <c r="BR42" s="291"/>
      <c r="BS42" s="291"/>
      <c r="BT42" s="291"/>
      <c r="BU42" s="291"/>
      <c r="BV42" s="291"/>
      <c r="BW42" s="291"/>
      <c r="BX42" s="447"/>
      <c r="BY42" s="445"/>
      <c r="BZ42" s="291"/>
      <c r="CA42" s="291"/>
      <c r="CB42" s="291"/>
      <c r="CC42" s="291"/>
      <c r="CD42" s="291"/>
      <c r="CE42" s="291"/>
      <c r="CF42" s="291"/>
      <c r="CG42" s="447"/>
      <c r="CH42" s="445"/>
      <c r="CI42" s="291"/>
      <c r="CJ42" s="291"/>
      <c r="CK42" s="291"/>
      <c r="CL42" s="291"/>
      <c r="CM42" s="291"/>
      <c r="CN42" s="291"/>
      <c r="CO42" s="449"/>
      <c r="CP42" s="443"/>
      <c r="CQ42" s="429">
        <f t="shared" si="9"/>
        <v>0</v>
      </c>
      <c r="CR42" s="398"/>
    </row>
    <row r="43" spans="1:96" ht="25.5" customHeight="1" x14ac:dyDescent="0.2">
      <c r="A43" s="410">
        <f t="shared" si="10"/>
        <v>28</v>
      </c>
      <c r="B43" s="280"/>
      <c r="C43" s="280"/>
      <c r="D43" s="411"/>
      <c r="E43" s="254"/>
      <c r="F43" s="277"/>
      <c r="G43" s="412"/>
      <c r="H43" s="413"/>
      <c r="I43" s="433" t="str">
        <f t="shared" si="4"/>
        <v/>
      </c>
      <c r="J43" s="434">
        <f t="shared" si="5"/>
        <v>0</v>
      </c>
      <c r="K43" s="259"/>
      <c r="L43" s="276"/>
      <c r="M43" s="435"/>
      <c r="N43" s="417" t="str">
        <f t="shared" si="6"/>
        <v/>
      </c>
      <c r="O43" s="418" t="str">
        <f>IF('Data Set up'!$G$40="JUNE",IF(OR($N43=7,$N43=8,$N43=9),1,IF(OR($N43=10,$N43=11,$N43=12),2,IF(OR($N43=1,$N43=2,$N43=3),3,IF(OR($N43=4,$N43=5,$N43=6),4,"")))),IF(OR($N43=9,$N43=10,$N43=11),1,IF(OR($N43=12,$N43=1,$N43=2),2,IF(OR($N43=3,$N43=4,$N43=5),3,IF(OR($N43=6,$N43=7,$N43=8),4,"")))))</f>
        <v/>
      </c>
      <c r="P43" s="436"/>
      <c r="Q43" s="275"/>
      <c r="R43" s="446"/>
      <c r="S43" s="275"/>
      <c r="T43" s="275"/>
      <c r="U43" s="275"/>
      <c r="V43" s="275"/>
      <c r="W43" s="275"/>
      <c r="X43" s="275"/>
      <c r="Y43" s="275"/>
      <c r="Z43" s="275"/>
      <c r="AA43" s="275"/>
      <c r="AB43" s="275"/>
      <c r="AC43" s="275"/>
      <c r="AD43" s="275"/>
      <c r="AE43" s="275"/>
      <c r="AF43" s="275"/>
      <c r="AG43" s="275"/>
      <c r="AH43" s="438"/>
      <c r="AI43" s="439">
        <f t="shared" si="7"/>
        <v>0</v>
      </c>
      <c r="AJ43" s="263"/>
      <c r="AK43" s="263"/>
      <c r="AL43" s="263"/>
      <c r="AM43" s="263"/>
      <c r="AN43" s="263"/>
      <c r="AO43" s="263"/>
      <c r="AP43" s="263"/>
      <c r="AQ43" s="436"/>
      <c r="AR43" s="275"/>
      <c r="AS43" s="275"/>
      <c r="AT43" s="275"/>
      <c r="AU43" s="275"/>
      <c r="AV43" s="275"/>
      <c r="AW43" s="295"/>
      <c r="AX43" s="275"/>
      <c r="AY43" s="437"/>
      <c r="AZ43" s="440">
        <f t="shared" si="8"/>
        <v>0</v>
      </c>
      <c r="BA43" s="275"/>
      <c r="BB43" s="275"/>
      <c r="BC43" s="275"/>
      <c r="BD43" s="275"/>
      <c r="BE43" s="275"/>
      <c r="BF43" s="275"/>
      <c r="BG43" s="275"/>
      <c r="BH43" s="436"/>
      <c r="BI43" s="275"/>
      <c r="BJ43" s="275"/>
      <c r="BK43" s="291"/>
      <c r="BL43" s="291"/>
      <c r="BM43" s="275"/>
      <c r="BN43" s="275"/>
      <c r="BO43" s="438"/>
      <c r="BP43" s="436"/>
      <c r="BQ43" s="275"/>
      <c r="BR43" s="275"/>
      <c r="BS43" s="275"/>
      <c r="BT43" s="275"/>
      <c r="BU43" s="275"/>
      <c r="BV43" s="275"/>
      <c r="BW43" s="275"/>
      <c r="BX43" s="438"/>
      <c r="BY43" s="436"/>
      <c r="BZ43" s="275"/>
      <c r="CA43" s="275"/>
      <c r="CB43" s="275"/>
      <c r="CC43" s="275"/>
      <c r="CD43" s="275"/>
      <c r="CE43" s="275"/>
      <c r="CF43" s="275"/>
      <c r="CG43" s="438"/>
      <c r="CH43" s="436"/>
      <c r="CI43" s="275"/>
      <c r="CJ43" s="275"/>
      <c r="CK43" s="275"/>
      <c r="CL43" s="275"/>
      <c r="CM43" s="275"/>
      <c r="CN43" s="275"/>
      <c r="CO43" s="442"/>
      <c r="CP43" s="443"/>
      <c r="CQ43" s="429">
        <f t="shared" si="9"/>
        <v>0</v>
      </c>
      <c r="CR43" s="430"/>
    </row>
    <row r="44" spans="1:96" ht="25.5" customHeight="1" x14ac:dyDescent="0.2">
      <c r="A44" s="410">
        <f t="shared" si="10"/>
        <v>29</v>
      </c>
      <c r="B44" s="280"/>
      <c r="C44" s="280"/>
      <c r="D44" s="411"/>
      <c r="E44" s="254"/>
      <c r="F44" s="277"/>
      <c r="G44" s="412"/>
      <c r="H44" s="413"/>
      <c r="I44" s="433" t="str">
        <f t="shared" si="4"/>
        <v/>
      </c>
      <c r="J44" s="434">
        <f t="shared" si="5"/>
        <v>0</v>
      </c>
      <c r="K44" s="259"/>
      <c r="L44" s="276"/>
      <c r="M44" s="435"/>
      <c r="N44" s="417" t="str">
        <f t="shared" si="6"/>
        <v/>
      </c>
      <c r="O44" s="418" t="str">
        <f>IF('Data Set up'!$G$40="JUNE",IF(OR($N44=7,$N44=8,$N44=9),1,IF(OR($N44=10,$N44=11,$N44=12),2,IF(OR($N44=1,$N44=2,$N44=3),3,IF(OR($N44=4,$N44=5,$N44=6),4,"")))),IF(OR($N44=9,$N44=10,$N44=11),1,IF(OR($N44=12,$N44=1,$N44=2),2,IF(OR($N44=3,$N44=4,$N44=5),3,IF(OR($N44=6,$N44=7,$N44=8),4,"")))))</f>
        <v/>
      </c>
      <c r="P44" s="436"/>
      <c r="Q44" s="275"/>
      <c r="R44" s="275"/>
      <c r="S44" s="275"/>
      <c r="T44" s="275"/>
      <c r="U44" s="275"/>
      <c r="V44" s="275"/>
      <c r="W44" s="275"/>
      <c r="X44" s="275"/>
      <c r="Y44" s="275"/>
      <c r="Z44" s="275"/>
      <c r="AA44" s="275"/>
      <c r="AB44" s="275"/>
      <c r="AC44" s="275"/>
      <c r="AD44" s="275"/>
      <c r="AE44" s="275"/>
      <c r="AF44" s="275"/>
      <c r="AG44" s="275"/>
      <c r="AH44" s="438"/>
      <c r="AI44" s="439">
        <f t="shared" si="7"/>
        <v>0</v>
      </c>
      <c r="AJ44" s="263"/>
      <c r="AK44" s="263"/>
      <c r="AL44" s="263"/>
      <c r="AM44" s="263"/>
      <c r="AN44" s="263"/>
      <c r="AO44" s="263"/>
      <c r="AP44" s="263"/>
      <c r="AQ44" s="436"/>
      <c r="AR44" s="275"/>
      <c r="AS44" s="275"/>
      <c r="AT44" s="275"/>
      <c r="AU44" s="275"/>
      <c r="AV44" s="275"/>
      <c r="AW44" s="275"/>
      <c r="AX44" s="275"/>
      <c r="AY44" s="437"/>
      <c r="AZ44" s="440">
        <f t="shared" si="8"/>
        <v>0</v>
      </c>
      <c r="BA44" s="275"/>
      <c r="BB44" s="275"/>
      <c r="BC44" s="275"/>
      <c r="BD44" s="275"/>
      <c r="BE44" s="275"/>
      <c r="BF44" s="275"/>
      <c r="BG44" s="275"/>
      <c r="BH44" s="436"/>
      <c r="BI44" s="275"/>
      <c r="BJ44" s="275"/>
      <c r="BK44" s="291"/>
      <c r="BL44" s="291"/>
      <c r="BM44" s="275"/>
      <c r="BN44" s="275"/>
      <c r="BO44" s="438"/>
      <c r="BP44" s="436"/>
      <c r="BQ44" s="275"/>
      <c r="BR44" s="275"/>
      <c r="BS44" s="275"/>
      <c r="BT44" s="275"/>
      <c r="BU44" s="275"/>
      <c r="BV44" s="275"/>
      <c r="BW44" s="275"/>
      <c r="BX44" s="438"/>
      <c r="BY44" s="436"/>
      <c r="BZ44" s="275"/>
      <c r="CA44" s="275"/>
      <c r="CB44" s="275"/>
      <c r="CC44" s="275"/>
      <c r="CD44" s="275"/>
      <c r="CE44" s="275"/>
      <c r="CF44" s="275"/>
      <c r="CG44" s="438"/>
      <c r="CH44" s="436"/>
      <c r="CI44" s="275"/>
      <c r="CJ44" s="275"/>
      <c r="CK44" s="275"/>
      <c r="CL44" s="275"/>
      <c r="CM44" s="275"/>
      <c r="CN44" s="275"/>
      <c r="CO44" s="442"/>
      <c r="CP44" s="443"/>
      <c r="CQ44" s="429">
        <f t="shared" si="9"/>
        <v>0</v>
      </c>
      <c r="CR44" s="430"/>
    </row>
    <row r="45" spans="1:96" ht="25.5" customHeight="1" x14ac:dyDescent="0.2">
      <c r="A45" s="410">
        <f t="shared" si="10"/>
        <v>30</v>
      </c>
      <c r="B45" s="280"/>
      <c r="C45" s="280"/>
      <c r="D45" s="411"/>
      <c r="E45" s="254"/>
      <c r="F45" s="277"/>
      <c r="G45" s="450"/>
      <c r="H45" s="451"/>
      <c r="I45" s="433" t="str">
        <f t="shared" si="4"/>
        <v/>
      </c>
      <c r="J45" s="434">
        <f t="shared" si="5"/>
        <v>0</v>
      </c>
      <c r="K45" s="259"/>
      <c r="L45" s="276"/>
      <c r="M45" s="435"/>
      <c r="N45" s="417" t="str">
        <f t="shared" si="6"/>
        <v/>
      </c>
      <c r="O45" s="418" t="str">
        <f>IF('Data Set up'!$G$40="JUNE",IF(OR($N45=7,$N45=8,$N45=9),1,IF(OR($N45=10,$N45=11,$N45=12),2,IF(OR($N45=1,$N45=2,$N45=3),3,IF(OR($N45=4,$N45=5,$N45=6),4,"")))),IF(OR($N45=9,$N45=10,$N45=11),1,IF(OR($N45=12,$N45=1,$N45=2),2,IF(OR($N45=3,$N45=4,$N45=5),3,IF(OR($N45=6,$N45=7,$N45=8),4,"")))))</f>
        <v/>
      </c>
      <c r="P45" s="436"/>
      <c r="Q45" s="275"/>
      <c r="R45" s="275"/>
      <c r="S45" s="275"/>
      <c r="T45" s="275"/>
      <c r="U45" s="275"/>
      <c r="V45" s="275"/>
      <c r="W45" s="275"/>
      <c r="X45" s="275"/>
      <c r="Y45" s="275"/>
      <c r="Z45" s="275"/>
      <c r="AA45" s="275"/>
      <c r="AB45" s="275"/>
      <c r="AC45" s="275"/>
      <c r="AD45" s="275"/>
      <c r="AE45" s="275"/>
      <c r="AF45" s="275"/>
      <c r="AG45" s="275"/>
      <c r="AH45" s="438"/>
      <c r="AI45" s="439">
        <f t="shared" si="7"/>
        <v>0</v>
      </c>
      <c r="AJ45" s="263"/>
      <c r="AK45" s="263"/>
      <c r="AL45" s="263"/>
      <c r="AM45" s="263"/>
      <c r="AN45" s="263"/>
      <c r="AO45" s="263"/>
      <c r="AP45" s="263"/>
      <c r="AQ45" s="436"/>
      <c r="AR45" s="275"/>
      <c r="AS45" s="275"/>
      <c r="AT45" s="275"/>
      <c r="AU45" s="275"/>
      <c r="AV45" s="275"/>
      <c r="AW45" s="275"/>
      <c r="AX45" s="275"/>
      <c r="AY45" s="437"/>
      <c r="AZ45" s="440">
        <f t="shared" si="8"/>
        <v>0</v>
      </c>
      <c r="BA45" s="275"/>
      <c r="BB45" s="275"/>
      <c r="BC45" s="275"/>
      <c r="BD45" s="275"/>
      <c r="BE45" s="275"/>
      <c r="BF45" s="275"/>
      <c r="BG45" s="275"/>
      <c r="BH45" s="436"/>
      <c r="BI45" s="275"/>
      <c r="BJ45" s="275"/>
      <c r="BK45" s="291"/>
      <c r="BL45" s="291"/>
      <c r="BM45" s="275"/>
      <c r="BN45" s="275"/>
      <c r="BO45" s="438"/>
      <c r="BP45" s="436"/>
      <c r="BQ45" s="275"/>
      <c r="BR45" s="275"/>
      <c r="BS45" s="275"/>
      <c r="BT45" s="275"/>
      <c r="BU45" s="275"/>
      <c r="BV45" s="275"/>
      <c r="BW45" s="275"/>
      <c r="BX45" s="438"/>
      <c r="BY45" s="436"/>
      <c r="BZ45" s="275"/>
      <c r="CA45" s="275"/>
      <c r="CB45" s="275"/>
      <c r="CC45" s="275"/>
      <c r="CD45" s="275"/>
      <c r="CE45" s="275"/>
      <c r="CF45" s="275"/>
      <c r="CG45" s="438"/>
      <c r="CH45" s="436"/>
      <c r="CI45" s="275"/>
      <c r="CJ45" s="275"/>
      <c r="CK45" s="275"/>
      <c r="CL45" s="275"/>
      <c r="CM45" s="295"/>
      <c r="CN45" s="275"/>
      <c r="CO45" s="442"/>
      <c r="CP45" s="443"/>
      <c r="CQ45" s="429">
        <f t="shared" si="9"/>
        <v>0</v>
      </c>
      <c r="CR45" s="430"/>
    </row>
    <row r="46" spans="1:96" ht="25.5" customHeight="1" x14ac:dyDescent="0.2">
      <c r="A46" s="410">
        <f t="shared" si="10"/>
        <v>31</v>
      </c>
      <c r="B46" s="280"/>
      <c r="C46" s="280"/>
      <c r="D46" s="411"/>
      <c r="E46" s="254"/>
      <c r="F46" s="277"/>
      <c r="G46" s="450"/>
      <c r="H46" s="413"/>
      <c r="I46" s="433" t="str">
        <f t="shared" si="4"/>
        <v/>
      </c>
      <c r="J46" s="434">
        <f t="shared" si="5"/>
        <v>0</v>
      </c>
      <c r="K46" s="279"/>
      <c r="L46" s="276"/>
      <c r="M46" s="435"/>
      <c r="N46" s="417" t="str">
        <f t="shared" si="6"/>
        <v/>
      </c>
      <c r="O46" s="418" t="str">
        <f>IF('Data Set up'!$G$40="JUNE",IF(OR($N46=7,$N46=8,$N46=9),1,IF(OR($N46=10,$N46=11,$N46=12),2,IF(OR($N46=1,$N46=2,$N46=3),3,IF(OR($N46=4,$N46=5,$N46=6),4,"")))),IF(OR($N46=9,$N46=10,$N46=11),1,IF(OR($N46=12,$N46=1,$N46=2),2,IF(OR($N46=3,$N46=4,$N46=5),3,IF(OR($N46=6,$N46=7,$N46=8),4,"")))))</f>
        <v/>
      </c>
      <c r="P46" s="436"/>
      <c r="Q46" s="275"/>
      <c r="R46" s="275"/>
      <c r="S46" s="275"/>
      <c r="T46" s="275"/>
      <c r="U46" s="275"/>
      <c r="V46" s="275"/>
      <c r="W46" s="275"/>
      <c r="X46" s="275"/>
      <c r="Y46" s="275"/>
      <c r="Z46" s="275"/>
      <c r="AA46" s="275"/>
      <c r="AB46" s="275"/>
      <c r="AC46" s="275"/>
      <c r="AD46" s="275"/>
      <c r="AE46" s="275"/>
      <c r="AF46" s="275"/>
      <c r="AG46" s="275"/>
      <c r="AH46" s="438"/>
      <c r="AI46" s="439">
        <f t="shared" si="7"/>
        <v>0</v>
      </c>
      <c r="AJ46" s="263"/>
      <c r="AK46" s="263"/>
      <c r="AL46" s="263"/>
      <c r="AM46" s="263"/>
      <c r="AN46" s="263"/>
      <c r="AO46" s="263"/>
      <c r="AP46" s="263"/>
      <c r="AQ46" s="436"/>
      <c r="AR46" s="275"/>
      <c r="AS46" s="275"/>
      <c r="AT46" s="275"/>
      <c r="AU46" s="275"/>
      <c r="AV46" s="275"/>
      <c r="AW46" s="275"/>
      <c r="AX46" s="275"/>
      <c r="AY46" s="437"/>
      <c r="AZ46" s="440">
        <f t="shared" si="8"/>
        <v>0</v>
      </c>
      <c r="BA46" s="275"/>
      <c r="BB46" s="275"/>
      <c r="BC46" s="275"/>
      <c r="BD46" s="275"/>
      <c r="BE46" s="275"/>
      <c r="BF46" s="275"/>
      <c r="BG46" s="275"/>
      <c r="BH46" s="436"/>
      <c r="BI46" s="275"/>
      <c r="BJ46" s="275"/>
      <c r="BK46" s="291"/>
      <c r="BL46" s="291"/>
      <c r="BM46" s="275"/>
      <c r="BN46" s="275"/>
      <c r="BO46" s="438"/>
      <c r="BP46" s="436"/>
      <c r="BQ46" s="275"/>
      <c r="BR46" s="275"/>
      <c r="BS46" s="275"/>
      <c r="BT46" s="275"/>
      <c r="BU46" s="275"/>
      <c r="BV46" s="275"/>
      <c r="BW46" s="275"/>
      <c r="BX46" s="438"/>
      <c r="BY46" s="436"/>
      <c r="BZ46" s="275"/>
      <c r="CA46" s="275"/>
      <c r="CB46" s="275"/>
      <c r="CC46" s="275"/>
      <c r="CD46" s="275"/>
      <c r="CE46" s="275"/>
      <c r="CF46" s="275"/>
      <c r="CG46" s="438"/>
      <c r="CH46" s="436"/>
      <c r="CI46" s="275"/>
      <c r="CJ46" s="275"/>
      <c r="CK46" s="275"/>
      <c r="CL46" s="275"/>
      <c r="CM46" s="295"/>
      <c r="CN46" s="275"/>
      <c r="CO46" s="442"/>
      <c r="CP46" s="443"/>
      <c r="CQ46" s="429">
        <f t="shared" si="9"/>
        <v>0</v>
      </c>
      <c r="CR46" s="430"/>
    </row>
    <row r="47" spans="1:96" ht="25.5" customHeight="1" x14ac:dyDescent="0.2">
      <c r="A47" s="410">
        <f t="shared" si="10"/>
        <v>32</v>
      </c>
      <c r="B47" s="280"/>
      <c r="C47" s="280"/>
      <c r="D47" s="411"/>
      <c r="E47" s="254"/>
      <c r="F47" s="277"/>
      <c r="G47" s="450"/>
      <c r="H47" s="413"/>
      <c r="I47" s="433" t="str">
        <f t="shared" si="4"/>
        <v/>
      </c>
      <c r="J47" s="434">
        <f t="shared" si="5"/>
        <v>0</v>
      </c>
      <c r="K47" s="279"/>
      <c r="L47" s="276"/>
      <c r="M47" s="435"/>
      <c r="N47" s="417" t="str">
        <f t="shared" si="6"/>
        <v/>
      </c>
      <c r="O47" s="418" t="str">
        <f>IF('Data Set up'!$G$40="JUNE",IF(OR($N47=7,$N47=8,$N47=9),1,IF(OR($N47=10,$N47=11,$N47=12),2,IF(OR($N47=1,$N47=2,$N47=3),3,IF(OR($N47=4,$N47=5,$N47=6),4,"")))),IF(OR($N47=9,$N47=10,$N47=11),1,IF(OR($N47=12,$N47=1,$N47=2),2,IF(OR($N47=3,$N47=4,$N47=5),3,IF(OR($N47=6,$N47=7,$N47=8),4,"")))))</f>
        <v/>
      </c>
      <c r="P47" s="436"/>
      <c r="Q47" s="275"/>
      <c r="R47" s="275"/>
      <c r="S47" s="275"/>
      <c r="T47" s="275"/>
      <c r="U47" s="275"/>
      <c r="V47" s="275"/>
      <c r="W47" s="275"/>
      <c r="X47" s="275"/>
      <c r="Y47" s="275"/>
      <c r="Z47" s="275"/>
      <c r="AA47" s="275"/>
      <c r="AB47" s="275"/>
      <c r="AC47" s="275"/>
      <c r="AD47" s="275"/>
      <c r="AE47" s="275"/>
      <c r="AF47" s="275"/>
      <c r="AG47" s="275"/>
      <c r="AH47" s="438"/>
      <c r="AI47" s="439">
        <f t="shared" si="7"/>
        <v>0</v>
      </c>
      <c r="AJ47" s="263"/>
      <c r="AK47" s="263"/>
      <c r="AL47" s="263"/>
      <c r="AM47" s="263"/>
      <c r="AN47" s="263"/>
      <c r="AO47" s="263"/>
      <c r="AP47" s="263"/>
      <c r="AQ47" s="436"/>
      <c r="AR47" s="275"/>
      <c r="AS47" s="275"/>
      <c r="AT47" s="275"/>
      <c r="AU47" s="275"/>
      <c r="AV47" s="275"/>
      <c r="AW47" s="275"/>
      <c r="AX47" s="275"/>
      <c r="AY47" s="437"/>
      <c r="AZ47" s="440">
        <f t="shared" si="8"/>
        <v>0</v>
      </c>
      <c r="BA47" s="275"/>
      <c r="BB47" s="275"/>
      <c r="BC47" s="275"/>
      <c r="BD47" s="275"/>
      <c r="BE47" s="275"/>
      <c r="BF47" s="275"/>
      <c r="BG47" s="275"/>
      <c r="BH47" s="436"/>
      <c r="BI47" s="275"/>
      <c r="BJ47" s="275"/>
      <c r="BK47" s="291"/>
      <c r="BL47" s="291"/>
      <c r="BM47" s="275"/>
      <c r="BN47" s="275"/>
      <c r="BO47" s="438"/>
      <c r="BP47" s="436"/>
      <c r="BQ47" s="275"/>
      <c r="BR47" s="275"/>
      <c r="BS47" s="275"/>
      <c r="BT47" s="275"/>
      <c r="BU47" s="275"/>
      <c r="BV47" s="275"/>
      <c r="BW47" s="275"/>
      <c r="BX47" s="438"/>
      <c r="BY47" s="436"/>
      <c r="BZ47" s="275"/>
      <c r="CA47" s="275"/>
      <c r="CB47" s="275"/>
      <c r="CC47" s="275"/>
      <c r="CD47" s="275"/>
      <c r="CE47" s="275"/>
      <c r="CF47" s="275"/>
      <c r="CG47" s="438"/>
      <c r="CH47" s="436"/>
      <c r="CI47" s="275"/>
      <c r="CJ47" s="275"/>
      <c r="CK47" s="275"/>
      <c r="CL47" s="275"/>
      <c r="CM47" s="275"/>
      <c r="CN47" s="275"/>
      <c r="CO47" s="442"/>
      <c r="CP47" s="443"/>
      <c r="CQ47" s="429">
        <f t="shared" si="9"/>
        <v>0</v>
      </c>
      <c r="CR47" s="430"/>
    </row>
    <row r="48" spans="1:96" ht="25.5" customHeight="1" x14ac:dyDescent="0.2">
      <c r="A48" s="410">
        <f t="shared" si="10"/>
        <v>33</v>
      </c>
      <c r="B48" s="280"/>
      <c r="C48" s="280"/>
      <c r="D48" s="411"/>
      <c r="E48" s="254"/>
      <c r="F48" s="277"/>
      <c r="G48" s="450"/>
      <c r="H48" s="413"/>
      <c r="I48" s="433" t="str">
        <f t="shared" si="4"/>
        <v/>
      </c>
      <c r="J48" s="434">
        <f t="shared" si="5"/>
        <v>0</v>
      </c>
      <c r="K48" s="279"/>
      <c r="L48" s="276"/>
      <c r="M48" s="435"/>
      <c r="N48" s="417" t="str">
        <f t="shared" si="6"/>
        <v/>
      </c>
      <c r="O48" s="418" t="str">
        <f>IF('Data Set up'!$G$40="JUNE",IF(OR($N48=7,$N48=8,$N48=9),1,IF(OR($N48=10,$N48=11,$N48=12),2,IF(OR($N48=1,$N48=2,$N48=3),3,IF(OR($N48=4,$N48=5,$N48=6),4,"")))),IF(OR($N48=9,$N48=10,$N48=11),1,IF(OR($N48=12,$N48=1,$N48=2),2,IF(OR($N48=3,$N48=4,$N48=5),3,IF(OR($N48=6,$N48=7,$N48=8),4,"")))))</f>
        <v/>
      </c>
      <c r="P48" s="436"/>
      <c r="Q48" s="275"/>
      <c r="R48" s="275"/>
      <c r="S48" s="275"/>
      <c r="T48" s="275"/>
      <c r="U48" s="275"/>
      <c r="V48" s="275"/>
      <c r="W48" s="275"/>
      <c r="X48" s="275"/>
      <c r="Y48" s="275"/>
      <c r="Z48" s="275"/>
      <c r="AA48" s="275"/>
      <c r="AB48" s="275"/>
      <c r="AC48" s="275"/>
      <c r="AD48" s="275"/>
      <c r="AE48" s="275"/>
      <c r="AF48" s="275"/>
      <c r="AG48" s="275"/>
      <c r="AH48" s="438"/>
      <c r="AI48" s="439">
        <f t="shared" si="7"/>
        <v>0</v>
      </c>
      <c r="AJ48" s="263"/>
      <c r="AK48" s="263"/>
      <c r="AL48" s="263"/>
      <c r="AM48" s="263"/>
      <c r="AN48" s="263"/>
      <c r="AO48" s="263"/>
      <c r="AP48" s="263"/>
      <c r="AQ48" s="436"/>
      <c r="AR48" s="275"/>
      <c r="AS48" s="275"/>
      <c r="AT48" s="275"/>
      <c r="AU48" s="275"/>
      <c r="AV48" s="275"/>
      <c r="AW48" s="275"/>
      <c r="AX48" s="275"/>
      <c r="AY48" s="437"/>
      <c r="AZ48" s="440">
        <f t="shared" si="8"/>
        <v>0</v>
      </c>
      <c r="BA48" s="275"/>
      <c r="BB48" s="275"/>
      <c r="BC48" s="275"/>
      <c r="BD48" s="275"/>
      <c r="BE48" s="275"/>
      <c r="BF48" s="275"/>
      <c r="BG48" s="275"/>
      <c r="BH48" s="436"/>
      <c r="BI48" s="275"/>
      <c r="BJ48" s="275"/>
      <c r="BK48" s="291"/>
      <c r="BL48" s="291"/>
      <c r="BM48" s="275"/>
      <c r="BN48" s="275"/>
      <c r="BO48" s="438"/>
      <c r="BP48" s="436"/>
      <c r="BQ48" s="275"/>
      <c r="BR48" s="275"/>
      <c r="BS48" s="275"/>
      <c r="BT48" s="275"/>
      <c r="BU48" s="275"/>
      <c r="BV48" s="275"/>
      <c r="BW48" s="275"/>
      <c r="BX48" s="438"/>
      <c r="BY48" s="436"/>
      <c r="BZ48" s="275"/>
      <c r="CA48" s="275"/>
      <c r="CB48" s="275"/>
      <c r="CC48" s="275"/>
      <c r="CD48" s="275"/>
      <c r="CE48" s="275"/>
      <c r="CF48" s="275"/>
      <c r="CG48" s="438"/>
      <c r="CH48" s="436"/>
      <c r="CI48" s="275"/>
      <c r="CJ48" s="275"/>
      <c r="CK48" s="275"/>
      <c r="CL48" s="275"/>
      <c r="CM48" s="275"/>
      <c r="CN48" s="275"/>
      <c r="CO48" s="442"/>
      <c r="CP48" s="443"/>
      <c r="CQ48" s="429">
        <f t="shared" si="9"/>
        <v>0</v>
      </c>
      <c r="CR48" s="430"/>
    </row>
    <row r="49" spans="1:96" ht="25.5" customHeight="1" x14ac:dyDescent="0.2">
      <c r="A49" s="410">
        <f t="shared" si="10"/>
        <v>34</v>
      </c>
      <c r="B49" s="280"/>
      <c r="C49" s="280"/>
      <c r="D49" s="411"/>
      <c r="E49" s="254"/>
      <c r="F49" s="277"/>
      <c r="G49" s="450"/>
      <c r="H49" s="413"/>
      <c r="I49" s="433" t="str">
        <f t="shared" si="4"/>
        <v/>
      </c>
      <c r="J49" s="434">
        <f t="shared" si="5"/>
        <v>0</v>
      </c>
      <c r="K49" s="279"/>
      <c r="L49" s="276"/>
      <c r="M49" s="435"/>
      <c r="N49" s="417" t="str">
        <f t="shared" si="6"/>
        <v/>
      </c>
      <c r="O49" s="418" t="str">
        <f>IF('Data Set up'!$G$40="JUNE",IF(OR($N49=7,$N49=8,$N49=9),1,IF(OR($N49=10,$N49=11,$N49=12),2,IF(OR($N49=1,$N49=2,$N49=3),3,IF(OR($N49=4,$N49=5,$N49=6),4,"")))),IF(OR($N49=9,$N49=10,$N49=11),1,IF(OR($N49=12,$N49=1,$N49=2),2,IF(OR($N49=3,$N49=4,$N49=5),3,IF(OR($N49=6,$N49=7,$N49=8),4,"")))))</f>
        <v/>
      </c>
      <c r="P49" s="436"/>
      <c r="Q49" s="275"/>
      <c r="R49" s="275"/>
      <c r="S49" s="275"/>
      <c r="T49" s="275"/>
      <c r="U49" s="275"/>
      <c r="V49" s="275"/>
      <c r="W49" s="295"/>
      <c r="X49" s="275"/>
      <c r="Y49" s="275"/>
      <c r="Z49" s="275"/>
      <c r="AA49" s="275"/>
      <c r="AB49" s="275"/>
      <c r="AC49" s="275"/>
      <c r="AD49" s="275"/>
      <c r="AE49" s="275"/>
      <c r="AF49" s="275"/>
      <c r="AG49" s="275"/>
      <c r="AH49" s="438"/>
      <c r="AI49" s="439">
        <f t="shared" si="7"/>
        <v>0</v>
      </c>
      <c r="AJ49" s="263"/>
      <c r="AK49" s="263"/>
      <c r="AL49" s="263"/>
      <c r="AM49" s="263"/>
      <c r="AN49" s="263"/>
      <c r="AO49" s="263"/>
      <c r="AP49" s="263"/>
      <c r="AQ49" s="436"/>
      <c r="AR49" s="275"/>
      <c r="AS49" s="275"/>
      <c r="AT49" s="275"/>
      <c r="AU49" s="275"/>
      <c r="AV49" s="275"/>
      <c r="AW49" s="275"/>
      <c r="AX49" s="275"/>
      <c r="AY49" s="437"/>
      <c r="AZ49" s="440">
        <f t="shared" si="8"/>
        <v>0</v>
      </c>
      <c r="BA49" s="275"/>
      <c r="BB49" s="275"/>
      <c r="BC49" s="275"/>
      <c r="BD49" s="275"/>
      <c r="BE49" s="275"/>
      <c r="BF49" s="275"/>
      <c r="BG49" s="275"/>
      <c r="BH49" s="436"/>
      <c r="BI49" s="275"/>
      <c r="BJ49" s="275"/>
      <c r="BK49" s="291"/>
      <c r="BL49" s="291"/>
      <c r="BM49" s="275"/>
      <c r="BN49" s="275"/>
      <c r="BO49" s="438"/>
      <c r="BP49" s="436"/>
      <c r="BQ49" s="275"/>
      <c r="BR49" s="275"/>
      <c r="BS49" s="275"/>
      <c r="BT49" s="275"/>
      <c r="BU49" s="275"/>
      <c r="BV49" s="275"/>
      <c r="BW49" s="275"/>
      <c r="BX49" s="438"/>
      <c r="BY49" s="436"/>
      <c r="BZ49" s="275"/>
      <c r="CA49" s="275"/>
      <c r="CB49" s="275"/>
      <c r="CC49" s="275"/>
      <c r="CD49" s="275"/>
      <c r="CE49" s="275"/>
      <c r="CF49" s="275"/>
      <c r="CG49" s="438"/>
      <c r="CH49" s="436"/>
      <c r="CI49" s="275"/>
      <c r="CJ49" s="275"/>
      <c r="CK49" s="275"/>
      <c r="CL49" s="275"/>
      <c r="CM49" s="275"/>
      <c r="CN49" s="275"/>
      <c r="CO49" s="442"/>
      <c r="CP49" s="443"/>
      <c r="CQ49" s="429">
        <f t="shared" si="9"/>
        <v>0</v>
      </c>
      <c r="CR49" s="430"/>
    </row>
    <row r="50" spans="1:96" ht="25.5" customHeight="1" x14ac:dyDescent="0.2">
      <c r="A50" s="410">
        <f t="shared" si="10"/>
        <v>35</v>
      </c>
      <c r="B50" s="280"/>
      <c r="C50" s="280"/>
      <c r="D50" s="411"/>
      <c r="E50" s="254"/>
      <c r="F50" s="277"/>
      <c r="G50" s="450"/>
      <c r="H50" s="413"/>
      <c r="I50" s="433" t="str">
        <f t="shared" si="4"/>
        <v/>
      </c>
      <c r="J50" s="434">
        <f t="shared" si="5"/>
        <v>0</v>
      </c>
      <c r="K50" s="279"/>
      <c r="L50" s="276"/>
      <c r="M50" s="435"/>
      <c r="N50" s="417" t="str">
        <f t="shared" si="6"/>
        <v/>
      </c>
      <c r="O50" s="418" t="str">
        <f>IF('Data Set up'!$G$40="JUNE",IF(OR($N50=7,$N50=8,$N50=9),1,IF(OR($N50=10,$N50=11,$N50=12),2,IF(OR($N50=1,$N50=2,$N50=3),3,IF(OR($N50=4,$N50=5,$N50=6),4,"")))),IF(OR($N50=9,$N50=10,$N50=11),1,IF(OR($N50=12,$N50=1,$N50=2),2,IF(OR($N50=3,$N50=4,$N50=5),3,IF(OR($N50=6,$N50=7,$N50=8),4,"")))))</f>
        <v/>
      </c>
      <c r="P50" s="270"/>
      <c r="Q50" s="275"/>
      <c r="R50" s="275"/>
      <c r="S50" s="275"/>
      <c r="T50" s="275"/>
      <c r="U50" s="275"/>
      <c r="V50" s="275"/>
      <c r="W50" s="275"/>
      <c r="X50" s="275"/>
      <c r="Y50" s="275"/>
      <c r="Z50" s="275"/>
      <c r="AA50" s="275"/>
      <c r="AB50" s="275"/>
      <c r="AC50" s="275"/>
      <c r="AD50" s="275"/>
      <c r="AE50" s="275"/>
      <c r="AF50" s="275"/>
      <c r="AG50" s="275"/>
      <c r="AH50" s="438"/>
      <c r="AI50" s="439">
        <f t="shared" si="7"/>
        <v>0</v>
      </c>
      <c r="AJ50" s="263"/>
      <c r="AK50" s="263"/>
      <c r="AL50" s="263"/>
      <c r="AM50" s="263"/>
      <c r="AN50" s="263"/>
      <c r="AO50" s="263"/>
      <c r="AP50" s="263"/>
      <c r="AQ50" s="436"/>
      <c r="AR50" s="275"/>
      <c r="AS50" s="275"/>
      <c r="AT50" s="275"/>
      <c r="AU50" s="275"/>
      <c r="AV50" s="275"/>
      <c r="AW50" s="275"/>
      <c r="AX50" s="275"/>
      <c r="AY50" s="437"/>
      <c r="AZ50" s="440">
        <f t="shared" si="8"/>
        <v>0</v>
      </c>
      <c r="BA50" s="275"/>
      <c r="BB50" s="275"/>
      <c r="BC50" s="275"/>
      <c r="BD50" s="275"/>
      <c r="BE50" s="275"/>
      <c r="BF50" s="275"/>
      <c r="BG50" s="275"/>
      <c r="BH50" s="436"/>
      <c r="BI50" s="275"/>
      <c r="BJ50" s="275"/>
      <c r="BK50" s="291"/>
      <c r="BL50" s="291"/>
      <c r="BM50" s="275"/>
      <c r="BN50" s="275"/>
      <c r="BO50" s="438"/>
      <c r="BP50" s="436"/>
      <c r="BQ50" s="275"/>
      <c r="BR50" s="275"/>
      <c r="BS50" s="275"/>
      <c r="BT50" s="275"/>
      <c r="BU50" s="275"/>
      <c r="BV50" s="275"/>
      <c r="BW50" s="275"/>
      <c r="BX50" s="438"/>
      <c r="BY50" s="436"/>
      <c r="BZ50" s="275"/>
      <c r="CA50" s="275"/>
      <c r="CB50" s="275"/>
      <c r="CC50" s="275"/>
      <c r="CD50" s="275"/>
      <c r="CE50" s="275"/>
      <c r="CF50" s="275"/>
      <c r="CG50" s="438"/>
      <c r="CH50" s="436"/>
      <c r="CI50" s="295"/>
      <c r="CJ50" s="275"/>
      <c r="CK50" s="275"/>
      <c r="CL50" s="275"/>
      <c r="CM50" s="275"/>
      <c r="CN50" s="275"/>
      <c r="CO50" s="442"/>
      <c r="CP50" s="443"/>
      <c r="CQ50" s="429">
        <f t="shared" si="9"/>
        <v>0</v>
      </c>
      <c r="CR50" s="430"/>
    </row>
    <row r="51" spans="1:96" s="1" customFormat="1" ht="25.5" customHeight="1" x14ac:dyDescent="0.2">
      <c r="A51" s="410">
        <f t="shared" si="10"/>
        <v>36</v>
      </c>
      <c r="B51" s="280"/>
      <c r="C51" s="280"/>
      <c r="D51" s="411"/>
      <c r="E51" s="254"/>
      <c r="F51" s="277"/>
      <c r="G51" s="450"/>
      <c r="H51" s="413"/>
      <c r="I51" s="433" t="str">
        <f t="shared" si="4"/>
        <v/>
      </c>
      <c r="J51" s="434">
        <f t="shared" si="5"/>
        <v>0</v>
      </c>
      <c r="K51" s="279"/>
      <c r="L51" s="276"/>
      <c r="M51" s="435"/>
      <c r="N51" s="417" t="str">
        <f t="shared" si="6"/>
        <v/>
      </c>
      <c r="O51" s="418" t="str">
        <f>IF('Data Set up'!$G$40="JUNE",IF(OR($N51=7,$N51=8,$N51=9),1,IF(OR($N51=10,$N51=11,$N51=12),2,IF(OR($N51=1,$N51=2,$N51=3),3,IF(OR($N51=4,$N51=5,$N51=6),4,"")))),IF(OR($N51=9,$N51=10,$N51=11),1,IF(OR($N51=12,$N51=1,$N51=2),2,IF(OR($N51=3,$N51=4,$N51=5),3,IF(OR($N51=6,$N51=7,$N51=8),4,"")))))</f>
        <v/>
      </c>
      <c r="P51" s="445"/>
      <c r="Q51" s="291"/>
      <c r="R51" s="291"/>
      <c r="S51" s="291"/>
      <c r="T51" s="291"/>
      <c r="U51" s="291"/>
      <c r="V51" s="291"/>
      <c r="W51" s="291"/>
      <c r="X51" s="291"/>
      <c r="Y51" s="291"/>
      <c r="Z51" s="291"/>
      <c r="AA51" s="291"/>
      <c r="AB51" s="291"/>
      <c r="AC51" s="291"/>
      <c r="AD51" s="291"/>
      <c r="AE51" s="291"/>
      <c r="AF51" s="291"/>
      <c r="AG51" s="291"/>
      <c r="AH51" s="447"/>
      <c r="AI51" s="439">
        <f t="shared" si="7"/>
        <v>0</v>
      </c>
      <c r="AJ51" s="263"/>
      <c r="AK51" s="263"/>
      <c r="AL51" s="263"/>
      <c r="AM51" s="263"/>
      <c r="AN51" s="263"/>
      <c r="AO51" s="263"/>
      <c r="AP51" s="263"/>
      <c r="AQ51" s="445"/>
      <c r="AR51" s="291"/>
      <c r="AS51" s="291"/>
      <c r="AT51" s="291"/>
      <c r="AU51" s="291"/>
      <c r="AV51" s="291"/>
      <c r="AW51" s="291"/>
      <c r="AX51" s="291"/>
      <c r="AY51" s="448"/>
      <c r="AZ51" s="440">
        <f t="shared" si="8"/>
        <v>0</v>
      </c>
      <c r="BA51" s="291"/>
      <c r="BB51" s="291"/>
      <c r="BC51" s="291"/>
      <c r="BD51" s="291"/>
      <c r="BE51" s="291"/>
      <c r="BF51" s="291"/>
      <c r="BG51" s="291"/>
      <c r="BH51" s="445"/>
      <c r="BI51" s="291"/>
      <c r="BJ51" s="291"/>
      <c r="BK51" s="291"/>
      <c r="BL51" s="291"/>
      <c r="BM51" s="291"/>
      <c r="BN51" s="291"/>
      <c r="BO51" s="447"/>
      <c r="BP51" s="445"/>
      <c r="BQ51" s="291"/>
      <c r="BR51" s="291"/>
      <c r="BS51" s="291"/>
      <c r="BT51" s="291"/>
      <c r="BU51" s="291"/>
      <c r="BV51" s="291"/>
      <c r="BW51" s="291"/>
      <c r="BX51" s="447"/>
      <c r="BY51" s="445"/>
      <c r="BZ51" s="291"/>
      <c r="CA51" s="291"/>
      <c r="CB51" s="291"/>
      <c r="CC51" s="291"/>
      <c r="CD51" s="291"/>
      <c r="CE51" s="291"/>
      <c r="CF51" s="291"/>
      <c r="CG51" s="447"/>
      <c r="CH51" s="445"/>
      <c r="CI51" s="291"/>
      <c r="CJ51" s="291"/>
      <c r="CK51" s="291"/>
      <c r="CL51" s="291"/>
      <c r="CM51" s="291"/>
      <c r="CN51" s="291"/>
      <c r="CO51" s="449"/>
      <c r="CP51" s="443"/>
      <c r="CQ51" s="429">
        <f t="shared" si="9"/>
        <v>0</v>
      </c>
      <c r="CR51" s="398"/>
    </row>
    <row r="52" spans="1:96" ht="25.5" customHeight="1" x14ac:dyDescent="0.2">
      <c r="A52" s="410">
        <f t="shared" si="10"/>
        <v>37</v>
      </c>
      <c r="B52" s="280"/>
      <c r="C52" s="280"/>
      <c r="D52" s="411"/>
      <c r="E52" s="254"/>
      <c r="F52" s="277"/>
      <c r="G52" s="450"/>
      <c r="H52" s="413"/>
      <c r="I52" s="433" t="str">
        <f t="shared" si="4"/>
        <v/>
      </c>
      <c r="J52" s="434">
        <f t="shared" si="5"/>
        <v>0</v>
      </c>
      <c r="K52" s="279"/>
      <c r="L52" s="276"/>
      <c r="M52" s="435"/>
      <c r="N52" s="417" t="str">
        <f t="shared" si="6"/>
        <v/>
      </c>
      <c r="O52" s="418" t="str">
        <f>IF('Data Set up'!$G$40="JUNE",IF(OR($N52=7,$N52=8,$N52=9),1,IF(OR($N52=10,$N52=11,$N52=12),2,IF(OR($N52=1,$N52=2,$N52=3),3,IF(OR($N52=4,$N52=5,$N52=6),4,"")))),IF(OR($N52=9,$N52=10,$N52=11),1,IF(OR($N52=12,$N52=1,$N52=2),2,IF(OR($N52=3,$N52=4,$N52=5),3,IF(OR($N52=6,$N52=7,$N52=8),4,"")))))</f>
        <v/>
      </c>
      <c r="P52" s="445"/>
      <c r="Q52" s="291"/>
      <c r="R52" s="291"/>
      <c r="S52" s="275"/>
      <c r="T52" s="275"/>
      <c r="U52" s="275"/>
      <c r="V52" s="275"/>
      <c r="W52" s="275"/>
      <c r="X52" s="275"/>
      <c r="Y52" s="275"/>
      <c r="Z52" s="275"/>
      <c r="AA52" s="275"/>
      <c r="AB52" s="275"/>
      <c r="AC52" s="275"/>
      <c r="AD52" s="275"/>
      <c r="AE52" s="275"/>
      <c r="AF52" s="275"/>
      <c r="AG52" s="275"/>
      <c r="AH52" s="438"/>
      <c r="AI52" s="439">
        <f t="shared" si="7"/>
        <v>0</v>
      </c>
      <c r="AJ52" s="263"/>
      <c r="AK52" s="263"/>
      <c r="AL52" s="263"/>
      <c r="AM52" s="263"/>
      <c r="AN52" s="263"/>
      <c r="AO52" s="263"/>
      <c r="AP52" s="263"/>
      <c r="AQ52" s="436"/>
      <c r="AR52" s="275"/>
      <c r="AS52" s="275"/>
      <c r="AT52" s="275"/>
      <c r="AU52" s="275"/>
      <c r="AV52" s="275"/>
      <c r="AW52" s="275"/>
      <c r="AX52" s="275"/>
      <c r="AY52" s="437"/>
      <c r="AZ52" s="440">
        <f t="shared" si="8"/>
        <v>0</v>
      </c>
      <c r="BA52" s="275"/>
      <c r="BB52" s="275"/>
      <c r="BC52" s="275"/>
      <c r="BD52" s="275"/>
      <c r="BE52" s="275"/>
      <c r="BF52" s="275"/>
      <c r="BG52" s="275"/>
      <c r="BH52" s="436"/>
      <c r="BI52" s="275"/>
      <c r="BJ52" s="275"/>
      <c r="BK52" s="291"/>
      <c r="BL52" s="291"/>
      <c r="BM52" s="275"/>
      <c r="BN52" s="275"/>
      <c r="BO52" s="438"/>
      <c r="BP52" s="436"/>
      <c r="BQ52" s="275"/>
      <c r="BR52" s="275"/>
      <c r="BS52" s="275"/>
      <c r="BT52" s="275"/>
      <c r="BU52" s="275"/>
      <c r="BV52" s="275"/>
      <c r="BW52" s="275"/>
      <c r="BX52" s="438"/>
      <c r="BY52" s="436"/>
      <c r="BZ52" s="275"/>
      <c r="CA52" s="275"/>
      <c r="CB52" s="275"/>
      <c r="CC52" s="275"/>
      <c r="CD52" s="275"/>
      <c r="CE52" s="275"/>
      <c r="CF52" s="275"/>
      <c r="CG52" s="438"/>
      <c r="CH52" s="436"/>
      <c r="CI52" s="275"/>
      <c r="CJ52" s="275"/>
      <c r="CK52" s="275"/>
      <c r="CL52" s="275"/>
      <c r="CM52" s="275"/>
      <c r="CN52" s="275"/>
      <c r="CO52" s="442"/>
      <c r="CP52" s="443"/>
      <c r="CQ52" s="429">
        <f t="shared" si="9"/>
        <v>0</v>
      </c>
      <c r="CR52" s="430"/>
    </row>
    <row r="53" spans="1:96" ht="25.5" customHeight="1" x14ac:dyDescent="0.2">
      <c r="A53" s="410">
        <f t="shared" si="10"/>
        <v>38</v>
      </c>
      <c r="B53" s="280"/>
      <c r="C53" s="280"/>
      <c r="D53" s="411"/>
      <c r="E53" s="254"/>
      <c r="F53" s="277"/>
      <c r="G53" s="450"/>
      <c r="H53" s="413"/>
      <c r="I53" s="433" t="str">
        <f t="shared" si="4"/>
        <v/>
      </c>
      <c r="J53" s="434">
        <f t="shared" si="5"/>
        <v>0</v>
      </c>
      <c r="K53" s="279"/>
      <c r="L53" s="276"/>
      <c r="M53" s="435"/>
      <c r="N53" s="417" t="str">
        <f t="shared" si="6"/>
        <v/>
      </c>
      <c r="O53" s="418" t="str">
        <f>IF('Data Set up'!$G$40="JUNE",IF(OR($N53=7,$N53=8,$N53=9),1,IF(OR($N53=10,$N53=11,$N53=12),2,IF(OR($N53=1,$N53=2,$N53=3),3,IF(OR($N53=4,$N53=5,$N53=6),4,"")))),IF(OR($N53=9,$N53=10,$N53=11),1,IF(OR($N53=12,$N53=1,$N53=2),2,IF(OR($N53=3,$N53=4,$N53=5),3,IF(OR($N53=6,$N53=7,$N53=8),4,"")))))</f>
        <v/>
      </c>
      <c r="P53" s="445"/>
      <c r="Q53" s="291"/>
      <c r="R53" s="291"/>
      <c r="S53" s="275"/>
      <c r="T53" s="275"/>
      <c r="U53" s="275"/>
      <c r="V53" s="275"/>
      <c r="W53" s="275"/>
      <c r="X53" s="275"/>
      <c r="Y53" s="275"/>
      <c r="Z53" s="275"/>
      <c r="AA53" s="275"/>
      <c r="AB53" s="275"/>
      <c r="AC53" s="275"/>
      <c r="AD53" s="275"/>
      <c r="AE53" s="275"/>
      <c r="AF53" s="275"/>
      <c r="AG53" s="275"/>
      <c r="AH53" s="438"/>
      <c r="AI53" s="439">
        <f t="shared" si="7"/>
        <v>0</v>
      </c>
      <c r="AJ53" s="263"/>
      <c r="AK53" s="263"/>
      <c r="AL53" s="263"/>
      <c r="AM53" s="263"/>
      <c r="AN53" s="263"/>
      <c r="AO53" s="263"/>
      <c r="AP53" s="263"/>
      <c r="AQ53" s="436"/>
      <c r="AR53" s="275"/>
      <c r="AS53" s="275"/>
      <c r="AT53" s="275"/>
      <c r="AU53" s="275"/>
      <c r="AV53" s="275"/>
      <c r="AW53" s="275"/>
      <c r="AX53" s="275"/>
      <c r="AY53" s="437"/>
      <c r="AZ53" s="440">
        <f t="shared" si="8"/>
        <v>0</v>
      </c>
      <c r="BA53" s="275"/>
      <c r="BB53" s="275"/>
      <c r="BC53" s="275"/>
      <c r="BD53" s="275"/>
      <c r="BE53" s="275"/>
      <c r="BF53" s="275"/>
      <c r="BG53" s="275"/>
      <c r="BH53" s="436"/>
      <c r="BI53" s="275"/>
      <c r="BJ53" s="275"/>
      <c r="BK53" s="291"/>
      <c r="BL53" s="291"/>
      <c r="BM53" s="275"/>
      <c r="BN53" s="275"/>
      <c r="BO53" s="438"/>
      <c r="BP53" s="436"/>
      <c r="BQ53" s="275"/>
      <c r="BR53" s="275"/>
      <c r="BS53" s="275"/>
      <c r="BT53" s="275"/>
      <c r="BU53" s="275"/>
      <c r="BV53" s="275"/>
      <c r="BW53" s="275"/>
      <c r="BX53" s="438"/>
      <c r="BY53" s="436"/>
      <c r="BZ53" s="275"/>
      <c r="CA53" s="275"/>
      <c r="CB53" s="275"/>
      <c r="CC53" s="275"/>
      <c r="CD53" s="275"/>
      <c r="CE53" s="275"/>
      <c r="CF53" s="275"/>
      <c r="CG53" s="438"/>
      <c r="CH53" s="436"/>
      <c r="CI53" s="275"/>
      <c r="CJ53" s="275"/>
      <c r="CK53" s="275"/>
      <c r="CL53" s="275"/>
      <c r="CM53" s="275"/>
      <c r="CN53" s="275"/>
      <c r="CO53" s="442"/>
      <c r="CP53" s="443"/>
      <c r="CQ53" s="429">
        <f t="shared" si="9"/>
        <v>0</v>
      </c>
      <c r="CR53" s="430"/>
    </row>
    <row r="54" spans="1:96" ht="25.5" customHeight="1" x14ac:dyDescent="0.2">
      <c r="A54" s="410">
        <f t="shared" si="10"/>
        <v>39</v>
      </c>
      <c r="B54" s="280"/>
      <c r="C54" s="280"/>
      <c r="D54" s="411"/>
      <c r="E54" s="254"/>
      <c r="F54" s="277"/>
      <c r="G54" s="450"/>
      <c r="H54" s="413"/>
      <c r="I54" s="433" t="str">
        <f t="shared" si="4"/>
        <v/>
      </c>
      <c r="J54" s="434">
        <f t="shared" si="5"/>
        <v>0</v>
      </c>
      <c r="K54" s="279"/>
      <c r="L54" s="276"/>
      <c r="M54" s="435"/>
      <c r="N54" s="417" t="str">
        <f t="shared" si="6"/>
        <v/>
      </c>
      <c r="O54" s="418" t="str">
        <f>IF('Data Set up'!$G$40="JUNE",IF(OR($N54=7,$N54=8,$N54=9),1,IF(OR($N54=10,$N54=11,$N54=12),2,IF(OR($N54=1,$N54=2,$N54=3),3,IF(OR($N54=4,$N54=5,$N54=6),4,"")))),IF(OR($N54=9,$N54=10,$N54=11),1,IF(OR($N54=12,$N54=1,$N54=2),2,IF(OR($N54=3,$N54=4,$N54=5),3,IF(OR($N54=6,$N54=7,$N54=8),4,"")))))</f>
        <v/>
      </c>
      <c r="P54" s="445"/>
      <c r="Q54" s="291"/>
      <c r="R54" s="291"/>
      <c r="S54" s="275"/>
      <c r="T54" s="275"/>
      <c r="U54" s="275"/>
      <c r="V54" s="275"/>
      <c r="W54" s="275"/>
      <c r="X54" s="275"/>
      <c r="Y54" s="275"/>
      <c r="Z54" s="275"/>
      <c r="AA54" s="275"/>
      <c r="AB54" s="275"/>
      <c r="AC54" s="275"/>
      <c r="AD54" s="275"/>
      <c r="AE54" s="275"/>
      <c r="AF54" s="275"/>
      <c r="AG54" s="275"/>
      <c r="AH54" s="438"/>
      <c r="AI54" s="439">
        <f t="shared" si="7"/>
        <v>0</v>
      </c>
      <c r="AJ54" s="263"/>
      <c r="AK54" s="263"/>
      <c r="AL54" s="263"/>
      <c r="AM54" s="263"/>
      <c r="AN54" s="263"/>
      <c r="AO54" s="263"/>
      <c r="AP54" s="263"/>
      <c r="AQ54" s="436"/>
      <c r="AR54" s="275"/>
      <c r="AS54" s="275"/>
      <c r="AT54" s="275"/>
      <c r="AU54" s="275"/>
      <c r="AV54" s="275"/>
      <c r="AW54" s="275"/>
      <c r="AX54" s="275"/>
      <c r="AY54" s="437"/>
      <c r="AZ54" s="440">
        <f t="shared" si="8"/>
        <v>0</v>
      </c>
      <c r="BA54" s="275"/>
      <c r="BB54" s="275"/>
      <c r="BC54" s="275"/>
      <c r="BD54" s="275"/>
      <c r="BE54" s="275"/>
      <c r="BF54" s="275"/>
      <c r="BG54" s="275"/>
      <c r="BH54" s="436"/>
      <c r="BI54" s="275"/>
      <c r="BJ54" s="275"/>
      <c r="BK54" s="291"/>
      <c r="BL54" s="291"/>
      <c r="BM54" s="275"/>
      <c r="BN54" s="275"/>
      <c r="BO54" s="438"/>
      <c r="BP54" s="436"/>
      <c r="BQ54" s="275"/>
      <c r="BR54" s="275"/>
      <c r="BS54" s="275"/>
      <c r="BT54" s="275"/>
      <c r="BU54" s="275"/>
      <c r="BV54" s="275"/>
      <c r="BW54" s="275"/>
      <c r="BX54" s="438"/>
      <c r="BY54" s="436"/>
      <c r="BZ54" s="275"/>
      <c r="CA54" s="275"/>
      <c r="CB54" s="275"/>
      <c r="CC54" s="275"/>
      <c r="CD54" s="275"/>
      <c r="CE54" s="275"/>
      <c r="CF54" s="275"/>
      <c r="CG54" s="438"/>
      <c r="CH54" s="436"/>
      <c r="CI54" s="275"/>
      <c r="CJ54" s="275"/>
      <c r="CK54" s="275"/>
      <c r="CL54" s="275"/>
      <c r="CM54" s="275"/>
      <c r="CN54" s="275"/>
      <c r="CO54" s="442"/>
      <c r="CP54" s="443"/>
      <c r="CQ54" s="429">
        <f t="shared" si="9"/>
        <v>0</v>
      </c>
      <c r="CR54" s="430"/>
    </row>
    <row r="55" spans="1:96" ht="25.5" customHeight="1" x14ac:dyDescent="0.2">
      <c r="A55" s="410">
        <f t="shared" si="10"/>
        <v>40</v>
      </c>
      <c r="B55" s="280"/>
      <c r="C55" s="280"/>
      <c r="D55" s="411"/>
      <c r="E55" s="254"/>
      <c r="F55" s="277"/>
      <c r="G55" s="450"/>
      <c r="H55" s="413"/>
      <c r="I55" s="433" t="str">
        <f t="shared" si="4"/>
        <v/>
      </c>
      <c r="J55" s="434">
        <f t="shared" si="5"/>
        <v>0</v>
      </c>
      <c r="K55" s="279"/>
      <c r="L55" s="276"/>
      <c r="M55" s="435"/>
      <c r="N55" s="417" t="str">
        <f t="shared" si="6"/>
        <v/>
      </c>
      <c r="O55" s="418" t="str">
        <f>IF('Data Set up'!$G$40="JUNE",IF(OR($N55=7,$N55=8,$N55=9),1,IF(OR($N55=10,$N55=11,$N55=12),2,IF(OR($N55=1,$N55=2,$N55=3),3,IF(OR($N55=4,$N55=5,$N55=6),4,"")))),IF(OR($N55=9,$N55=10,$N55=11),1,IF(OR($N55=12,$N55=1,$N55=2),2,IF(OR($N55=3,$N55=4,$N55=5),3,IF(OR($N55=6,$N55=7,$N55=8),4,"")))))</f>
        <v/>
      </c>
      <c r="P55" s="445"/>
      <c r="Q55" s="291"/>
      <c r="R55" s="291"/>
      <c r="S55" s="275"/>
      <c r="T55" s="275"/>
      <c r="U55" s="275"/>
      <c r="V55" s="275"/>
      <c r="W55" s="275"/>
      <c r="X55" s="275"/>
      <c r="Y55" s="275"/>
      <c r="Z55" s="275"/>
      <c r="AA55" s="275"/>
      <c r="AB55" s="275"/>
      <c r="AC55" s="275"/>
      <c r="AD55" s="275"/>
      <c r="AE55" s="275"/>
      <c r="AF55" s="275"/>
      <c r="AG55" s="275"/>
      <c r="AH55" s="438"/>
      <c r="AI55" s="439">
        <f t="shared" si="7"/>
        <v>0</v>
      </c>
      <c r="AJ55" s="263"/>
      <c r="AK55" s="263"/>
      <c r="AL55" s="263"/>
      <c r="AM55" s="263"/>
      <c r="AN55" s="263"/>
      <c r="AO55" s="263"/>
      <c r="AP55" s="263"/>
      <c r="AQ55" s="436"/>
      <c r="AR55" s="275"/>
      <c r="AS55" s="275"/>
      <c r="AT55" s="275"/>
      <c r="AU55" s="275"/>
      <c r="AV55" s="275"/>
      <c r="AW55" s="275"/>
      <c r="AX55" s="275"/>
      <c r="AY55" s="437"/>
      <c r="AZ55" s="440">
        <f t="shared" si="8"/>
        <v>0</v>
      </c>
      <c r="BA55" s="275"/>
      <c r="BB55" s="275"/>
      <c r="BC55" s="275"/>
      <c r="BD55" s="275"/>
      <c r="BE55" s="275"/>
      <c r="BF55" s="275"/>
      <c r="BG55" s="275"/>
      <c r="BH55" s="436"/>
      <c r="BI55" s="275"/>
      <c r="BJ55" s="275"/>
      <c r="BK55" s="291"/>
      <c r="BL55" s="291"/>
      <c r="BM55" s="275"/>
      <c r="BN55" s="275"/>
      <c r="BO55" s="438"/>
      <c r="BP55" s="436"/>
      <c r="BQ55" s="275"/>
      <c r="BR55" s="275"/>
      <c r="BS55" s="275"/>
      <c r="BT55" s="275"/>
      <c r="BU55" s="275"/>
      <c r="BV55" s="275"/>
      <c r="BW55" s="275"/>
      <c r="BX55" s="438"/>
      <c r="BY55" s="436"/>
      <c r="BZ55" s="275"/>
      <c r="CA55" s="275"/>
      <c r="CB55" s="275"/>
      <c r="CC55" s="275"/>
      <c r="CD55" s="275"/>
      <c r="CE55" s="275"/>
      <c r="CF55" s="275"/>
      <c r="CG55" s="438"/>
      <c r="CH55" s="436"/>
      <c r="CI55" s="275"/>
      <c r="CJ55" s="275"/>
      <c r="CK55" s="275"/>
      <c r="CL55" s="275"/>
      <c r="CM55" s="275"/>
      <c r="CN55" s="275"/>
      <c r="CO55" s="442"/>
      <c r="CP55" s="443"/>
      <c r="CQ55" s="429">
        <f t="shared" si="9"/>
        <v>0</v>
      </c>
      <c r="CR55" s="430"/>
    </row>
    <row r="56" spans="1:96" ht="25.5" customHeight="1" x14ac:dyDescent="0.2">
      <c r="A56" s="410">
        <f t="shared" si="10"/>
        <v>41</v>
      </c>
      <c r="B56" s="280"/>
      <c r="C56" s="280"/>
      <c r="D56" s="411"/>
      <c r="E56" s="254"/>
      <c r="F56" s="277"/>
      <c r="G56" s="450"/>
      <c r="H56" s="413"/>
      <c r="I56" s="433" t="str">
        <f t="shared" si="4"/>
        <v/>
      </c>
      <c r="J56" s="434">
        <f t="shared" si="5"/>
        <v>0</v>
      </c>
      <c r="K56" s="279"/>
      <c r="L56" s="276"/>
      <c r="M56" s="435"/>
      <c r="N56" s="417" t="str">
        <f t="shared" si="6"/>
        <v/>
      </c>
      <c r="O56" s="418" t="str">
        <f>IF('Data Set up'!$G$40="JUNE",IF(OR($N56=7,$N56=8,$N56=9),1,IF(OR($N56=10,$N56=11,$N56=12),2,IF(OR($N56=1,$N56=2,$N56=3),3,IF(OR($N56=4,$N56=5,$N56=6),4,"")))),IF(OR($N56=9,$N56=10,$N56=11),1,IF(OR($N56=12,$N56=1,$N56=2),2,IF(OR($N56=3,$N56=4,$N56=5),3,IF(OR($N56=6,$N56=7,$N56=8),4,"")))))</f>
        <v/>
      </c>
      <c r="P56" s="445"/>
      <c r="Q56" s="291"/>
      <c r="R56" s="291"/>
      <c r="S56" s="275"/>
      <c r="T56" s="275"/>
      <c r="U56" s="275"/>
      <c r="V56" s="275"/>
      <c r="W56" s="275"/>
      <c r="X56" s="275"/>
      <c r="Y56" s="275"/>
      <c r="Z56" s="275"/>
      <c r="AA56" s="275"/>
      <c r="AB56" s="275"/>
      <c r="AC56" s="275"/>
      <c r="AD56" s="275"/>
      <c r="AE56" s="275"/>
      <c r="AF56" s="275"/>
      <c r="AG56" s="275"/>
      <c r="AH56" s="438"/>
      <c r="AI56" s="439">
        <f t="shared" si="7"/>
        <v>0</v>
      </c>
      <c r="AJ56" s="263"/>
      <c r="AK56" s="263"/>
      <c r="AL56" s="263"/>
      <c r="AM56" s="263"/>
      <c r="AN56" s="263"/>
      <c r="AO56" s="263"/>
      <c r="AP56" s="263"/>
      <c r="AQ56" s="436"/>
      <c r="AR56" s="275"/>
      <c r="AS56" s="275"/>
      <c r="AT56" s="275"/>
      <c r="AU56" s="275"/>
      <c r="AV56" s="275"/>
      <c r="AW56" s="275"/>
      <c r="AX56" s="275"/>
      <c r="AY56" s="437"/>
      <c r="AZ56" s="440">
        <f t="shared" si="8"/>
        <v>0</v>
      </c>
      <c r="BA56" s="275"/>
      <c r="BB56" s="275"/>
      <c r="BC56" s="275"/>
      <c r="BD56" s="275"/>
      <c r="BE56" s="275"/>
      <c r="BF56" s="275"/>
      <c r="BG56" s="275"/>
      <c r="BH56" s="436"/>
      <c r="BI56" s="275"/>
      <c r="BJ56" s="275"/>
      <c r="BK56" s="291"/>
      <c r="BL56" s="291"/>
      <c r="BM56" s="275"/>
      <c r="BN56" s="275"/>
      <c r="BO56" s="438"/>
      <c r="BP56" s="436"/>
      <c r="BQ56" s="275"/>
      <c r="BR56" s="275"/>
      <c r="BS56" s="275"/>
      <c r="BT56" s="275"/>
      <c r="BU56" s="275"/>
      <c r="BV56" s="275"/>
      <c r="BW56" s="275"/>
      <c r="BX56" s="438"/>
      <c r="BY56" s="436"/>
      <c r="BZ56" s="275"/>
      <c r="CA56" s="275"/>
      <c r="CB56" s="275"/>
      <c r="CC56" s="275"/>
      <c r="CD56" s="275"/>
      <c r="CE56" s="275"/>
      <c r="CF56" s="275"/>
      <c r="CG56" s="438"/>
      <c r="CH56" s="436"/>
      <c r="CI56" s="275"/>
      <c r="CJ56" s="275"/>
      <c r="CK56" s="275"/>
      <c r="CL56" s="275"/>
      <c r="CM56" s="275"/>
      <c r="CN56" s="275"/>
      <c r="CO56" s="442"/>
      <c r="CP56" s="443"/>
      <c r="CQ56" s="429">
        <f t="shared" si="9"/>
        <v>0</v>
      </c>
      <c r="CR56" s="430"/>
    </row>
    <row r="57" spans="1:96" ht="25.5" customHeight="1" x14ac:dyDescent="0.2">
      <c r="A57" s="410">
        <f t="shared" si="10"/>
        <v>42</v>
      </c>
      <c r="B57" s="280"/>
      <c r="C57" s="280"/>
      <c r="D57" s="411"/>
      <c r="E57" s="254"/>
      <c r="F57" s="277"/>
      <c r="G57" s="450"/>
      <c r="H57" s="413"/>
      <c r="I57" s="433" t="str">
        <f t="shared" si="4"/>
        <v/>
      </c>
      <c r="J57" s="434">
        <f t="shared" si="5"/>
        <v>0</v>
      </c>
      <c r="K57" s="279"/>
      <c r="L57" s="276"/>
      <c r="M57" s="435"/>
      <c r="N57" s="417" t="str">
        <f t="shared" si="6"/>
        <v/>
      </c>
      <c r="O57" s="418" t="str">
        <f>IF('Data Set up'!$G$40="JUNE",IF(OR($N57=7,$N57=8,$N57=9),1,IF(OR($N57=10,$N57=11,$N57=12),2,IF(OR($N57=1,$N57=2,$N57=3),3,IF(OR($N57=4,$N57=5,$N57=6),4,"")))),IF(OR($N57=9,$N57=10,$N57=11),1,IF(OR($N57=12,$N57=1,$N57=2),2,IF(OR($N57=3,$N57=4,$N57=5),3,IF(OR($N57=6,$N57=7,$N57=8),4,"")))))</f>
        <v/>
      </c>
      <c r="P57" s="445"/>
      <c r="Q57" s="291"/>
      <c r="R57" s="291"/>
      <c r="S57" s="275"/>
      <c r="T57" s="275"/>
      <c r="U57" s="275"/>
      <c r="V57" s="275"/>
      <c r="W57" s="275"/>
      <c r="X57" s="275"/>
      <c r="Y57" s="275"/>
      <c r="Z57" s="275"/>
      <c r="AA57" s="275"/>
      <c r="AB57" s="275"/>
      <c r="AC57" s="275"/>
      <c r="AD57" s="275"/>
      <c r="AE57" s="275"/>
      <c r="AF57" s="275"/>
      <c r="AG57" s="275"/>
      <c r="AH57" s="438"/>
      <c r="AI57" s="439">
        <f t="shared" si="7"/>
        <v>0</v>
      </c>
      <c r="AJ57" s="263"/>
      <c r="AK57" s="263"/>
      <c r="AL57" s="263"/>
      <c r="AM57" s="263"/>
      <c r="AN57" s="263"/>
      <c r="AO57" s="263"/>
      <c r="AP57" s="263"/>
      <c r="AQ57" s="436"/>
      <c r="AR57" s="275"/>
      <c r="AS57" s="275"/>
      <c r="AT57" s="275"/>
      <c r="AU57" s="275"/>
      <c r="AV57" s="275"/>
      <c r="AW57" s="275"/>
      <c r="AX57" s="275"/>
      <c r="AY57" s="437"/>
      <c r="AZ57" s="440">
        <f t="shared" si="8"/>
        <v>0</v>
      </c>
      <c r="BA57" s="275"/>
      <c r="BB57" s="275"/>
      <c r="BC57" s="275"/>
      <c r="BD57" s="275"/>
      <c r="BE57" s="275"/>
      <c r="BF57" s="275"/>
      <c r="BG57" s="275"/>
      <c r="BH57" s="436"/>
      <c r="BI57" s="275"/>
      <c r="BJ57" s="275"/>
      <c r="BK57" s="291"/>
      <c r="BL57" s="291"/>
      <c r="BM57" s="275"/>
      <c r="BN57" s="275"/>
      <c r="BO57" s="438"/>
      <c r="BP57" s="436"/>
      <c r="BQ57" s="275"/>
      <c r="BR57" s="275"/>
      <c r="BS57" s="275"/>
      <c r="BT57" s="275"/>
      <c r="BU57" s="275"/>
      <c r="BV57" s="275"/>
      <c r="BW57" s="275"/>
      <c r="BX57" s="438"/>
      <c r="BY57" s="436"/>
      <c r="BZ57" s="275"/>
      <c r="CA57" s="275"/>
      <c r="CB57" s="275"/>
      <c r="CC57" s="275"/>
      <c r="CD57" s="275"/>
      <c r="CE57" s="275"/>
      <c r="CF57" s="275"/>
      <c r="CG57" s="438"/>
      <c r="CH57" s="436"/>
      <c r="CI57" s="275"/>
      <c r="CJ57" s="275"/>
      <c r="CK57" s="275"/>
      <c r="CL57" s="275"/>
      <c r="CM57" s="275"/>
      <c r="CN57" s="275"/>
      <c r="CO57" s="442"/>
      <c r="CP57" s="443"/>
      <c r="CQ57" s="429">
        <f t="shared" si="9"/>
        <v>0</v>
      </c>
      <c r="CR57" s="430"/>
    </row>
    <row r="58" spans="1:96" ht="25.5" customHeight="1" x14ac:dyDescent="0.2">
      <c r="A58" s="410">
        <f t="shared" si="10"/>
        <v>43</v>
      </c>
      <c r="B58" s="280"/>
      <c r="C58" s="280"/>
      <c r="D58" s="411"/>
      <c r="E58" s="254"/>
      <c r="F58" s="277"/>
      <c r="G58" s="450"/>
      <c r="H58" s="413"/>
      <c r="I58" s="433" t="str">
        <f t="shared" si="4"/>
        <v/>
      </c>
      <c r="J58" s="434">
        <f t="shared" si="5"/>
        <v>0</v>
      </c>
      <c r="K58" s="279"/>
      <c r="L58" s="276"/>
      <c r="M58" s="435"/>
      <c r="N58" s="417" t="str">
        <f t="shared" si="6"/>
        <v/>
      </c>
      <c r="O58" s="418" t="str">
        <f>IF('Data Set up'!$G$40="JUNE",IF(OR($N58=7,$N58=8,$N58=9),1,IF(OR($N58=10,$N58=11,$N58=12),2,IF(OR($N58=1,$N58=2,$N58=3),3,IF(OR($N58=4,$N58=5,$N58=6),4,"")))),IF(OR($N58=9,$N58=10,$N58=11),1,IF(OR($N58=12,$N58=1,$N58=2),2,IF(OR($N58=3,$N58=4,$N58=5),3,IF(OR($N58=6,$N58=7,$N58=8),4,"")))))</f>
        <v/>
      </c>
      <c r="P58" s="445"/>
      <c r="Q58" s="291"/>
      <c r="R58" s="291"/>
      <c r="S58" s="275"/>
      <c r="T58" s="275"/>
      <c r="U58" s="275"/>
      <c r="V58" s="275"/>
      <c r="W58" s="275"/>
      <c r="X58" s="275"/>
      <c r="Y58" s="275"/>
      <c r="Z58" s="275"/>
      <c r="AA58" s="275"/>
      <c r="AB58" s="275"/>
      <c r="AC58" s="275"/>
      <c r="AD58" s="275"/>
      <c r="AE58" s="275"/>
      <c r="AF58" s="275"/>
      <c r="AG58" s="275"/>
      <c r="AH58" s="438"/>
      <c r="AI58" s="439">
        <f t="shared" si="7"/>
        <v>0</v>
      </c>
      <c r="AJ58" s="263"/>
      <c r="AK58" s="263"/>
      <c r="AL58" s="263"/>
      <c r="AM58" s="263"/>
      <c r="AN58" s="263"/>
      <c r="AO58" s="263"/>
      <c r="AP58" s="263"/>
      <c r="AQ58" s="436"/>
      <c r="AR58" s="275"/>
      <c r="AS58" s="275"/>
      <c r="AT58" s="275"/>
      <c r="AU58" s="275"/>
      <c r="AV58" s="275"/>
      <c r="AW58" s="275"/>
      <c r="AX58" s="275"/>
      <c r="AY58" s="437"/>
      <c r="AZ58" s="440">
        <f t="shared" si="8"/>
        <v>0</v>
      </c>
      <c r="BA58" s="275"/>
      <c r="BB58" s="275"/>
      <c r="BC58" s="275"/>
      <c r="BD58" s="275"/>
      <c r="BE58" s="275"/>
      <c r="BF58" s="275"/>
      <c r="BG58" s="275"/>
      <c r="BH58" s="436"/>
      <c r="BI58" s="275"/>
      <c r="BJ58" s="275"/>
      <c r="BK58" s="291"/>
      <c r="BL58" s="291"/>
      <c r="BM58" s="275"/>
      <c r="BN58" s="275"/>
      <c r="BO58" s="438"/>
      <c r="BP58" s="436"/>
      <c r="BQ58" s="275"/>
      <c r="BR58" s="275"/>
      <c r="BS58" s="275"/>
      <c r="BT58" s="275"/>
      <c r="BU58" s="275"/>
      <c r="BV58" s="275"/>
      <c r="BW58" s="275"/>
      <c r="BX58" s="438"/>
      <c r="BY58" s="436"/>
      <c r="BZ58" s="275"/>
      <c r="CA58" s="275"/>
      <c r="CB58" s="275"/>
      <c r="CC58" s="275"/>
      <c r="CD58" s="275"/>
      <c r="CE58" s="275"/>
      <c r="CF58" s="275"/>
      <c r="CG58" s="438"/>
      <c r="CH58" s="436"/>
      <c r="CI58" s="275"/>
      <c r="CJ58" s="275"/>
      <c r="CK58" s="275"/>
      <c r="CL58" s="275"/>
      <c r="CM58" s="275"/>
      <c r="CN58" s="275"/>
      <c r="CO58" s="442"/>
      <c r="CP58" s="443"/>
      <c r="CQ58" s="429">
        <f t="shared" si="9"/>
        <v>0</v>
      </c>
      <c r="CR58" s="430"/>
    </row>
    <row r="59" spans="1:96" ht="25.5" customHeight="1" x14ac:dyDescent="0.2">
      <c r="A59" s="410">
        <f t="shared" si="10"/>
        <v>44</v>
      </c>
      <c r="B59" s="280"/>
      <c r="C59" s="280"/>
      <c r="D59" s="411"/>
      <c r="E59" s="254"/>
      <c r="F59" s="277"/>
      <c r="G59" s="450"/>
      <c r="H59" s="413"/>
      <c r="I59" s="433" t="str">
        <f t="shared" si="4"/>
        <v/>
      </c>
      <c r="J59" s="434">
        <f t="shared" si="5"/>
        <v>0</v>
      </c>
      <c r="K59" s="279"/>
      <c r="L59" s="276"/>
      <c r="M59" s="435"/>
      <c r="N59" s="417" t="str">
        <f t="shared" si="6"/>
        <v/>
      </c>
      <c r="O59" s="418" t="str">
        <f>IF('Data Set up'!$G$40="JUNE",IF(OR($N59=7,$N59=8,$N59=9),1,IF(OR($N59=10,$N59=11,$N59=12),2,IF(OR($N59=1,$N59=2,$N59=3),3,IF(OR($N59=4,$N59=5,$N59=6),4,"")))),IF(OR($N59=9,$N59=10,$N59=11),1,IF(OR($N59=12,$N59=1,$N59=2),2,IF(OR($N59=3,$N59=4,$N59=5),3,IF(OR($N59=6,$N59=7,$N59=8),4,"")))))</f>
        <v/>
      </c>
      <c r="P59" s="445"/>
      <c r="Q59" s="291"/>
      <c r="R59" s="291"/>
      <c r="S59" s="275"/>
      <c r="T59" s="275"/>
      <c r="U59" s="275"/>
      <c r="V59" s="275"/>
      <c r="W59" s="275"/>
      <c r="X59" s="275"/>
      <c r="Y59" s="275"/>
      <c r="Z59" s="275"/>
      <c r="AA59" s="275"/>
      <c r="AB59" s="275"/>
      <c r="AC59" s="275"/>
      <c r="AD59" s="275"/>
      <c r="AE59" s="275"/>
      <c r="AF59" s="275"/>
      <c r="AG59" s="275"/>
      <c r="AH59" s="438"/>
      <c r="AI59" s="439">
        <f t="shared" si="7"/>
        <v>0</v>
      </c>
      <c r="AJ59" s="263"/>
      <c r="AK59" s="263"/>
      <c r="AL59" s="263"/>
      <c r="AM59" s="263"/>
      <c r="AN59" s="263"/>
      <c r="AO59" s="263"/>
      <c r="AP59" s="263"/>
      <c r="AQ59" s="436"/>
      <c r="AR59" s="275"/>
      <c r="AS59" s="275"/>
      <c r="AT59" s="275"/>
      <c r="AU59" s="275"/>
      <c r="AV59" s="275"/>
      <c r="AW59" s="275"/>
      <c r="AX59" s="275"/>
      <c r="AY59" s="437"/>
      <c r="AZ59" s="440">
        <f t="shared" si="8"/>
        <v>0</v>
      </c>
      <c r="BA59" s="275"/>
      <c r="BB59" s="275"/>
      <c r="BC59" s="275"/>
      <c r="BD59" s="275"/>
      <c r="BE59" s="275"/>
      <c r="BF59" s="275"/>
      <c r="BG59" s="275"/>
      <c r="BH59" s="436"/>
      <c r="BI59" s="275"/>
      <c r="BJ59" s="275"/>
      <c r="BK59" s="291"/>
      <c r="BL59" s="291"/>
      <c r="BM59" s="275"/>
      <c r="BN59" s="275"/>
      <c r="BO59" s="438"/>
      <c r="BP59" s="436"/>
      <c r="BQ59" s="275"/>
      <c r="BR59" s="275"/>
      <c r="BS59" s="275"/>
      <c r="BT59" s="275"/>
      <c r="BU59" s="275"/>
      <c r="BV59" s="275"/>
      <c r="BW59" s="275"/>
      <c r="BX59" s="438"/>
      <c r="BY59" s="436"/>
      <c r="BZ59" s="275"/>
      <c r="CA59" s="275"/>
      <c r="CB59" s="275"/>
      <c r="CC59" s="275"/>
      <c r="CD59" s="275"/>
      <c r="CE59" s="275"/>
      <c r="CF59" s="275"/>
      <c r="CG59" s="438"/>
      <c r="CH59" s="436"/>
      <c r="CI59" s="275"/>
      <c r="CJ59" s="275"/>
      <c r="CK59" s="275"/>
      <c r="CL59" s="275"/>
      <c r="CM59" s="275"/>
      <c r="CN59" s="275"/>
      <c r="CO59" s="442"/>
      <c r="CP59" s="443"/>
      <c r="CQ59" s="429">
        <f t="shared" si="9"/>
        <v>0</v>
      </c>
      <c r="CR59" s="430"/>
    </row>
    <row r="60" spans="1:96" ht="25.5" customHeight="1" x14ac:dyDescent="0.2">
      <c r="A60" s="410">
        <f t="shared" si="10"/>
        <v>45</v>
      </c>
      <c r="B60" s="280"/>
      <c r="C60" s="280"/>
      <c r="D60" s="411"/>
      <c r="E60" s="254"/>
      <c r="F60" s="277"/>
      <c r="G60" s="450"/>
      <c r="H60" s="413"/>
      <c r="I60" s="433" t="str">
        <f t="shared" si="4"/>
        <v/>
      </c>
      <c r="J60" s="434">
        <f t="shared" si="5"/>
        <v>0</v>
      </c>
      <c r="K60" s="279"/>
      <c r="L60" s="276"/>
      <c r="M60" s="435"/>
      <c r="N60" s="417" t="str">
        <f t="shared" si="6"/>
        <v/>
      </c>
      <c r="O60" s="418" t="str">
        <f>IF('Data Set up'!$G$40="JUNE",IF(OR($N60=7,$N60=8,$N60=9),1,IF(OR($N60=10,$N60=11,$N60=12),2,IF(OR($N60=1,$N60=2,$N60=3),3,IF(OR($N60=4,$N60=5,$N60=6),4,"")))),IF(OR($N60=9,$N60=10,$N60=11),1,IF(OR($N60=12,$N60=1,$N60=2),2,IF(OR($N60=3,$N60=4,$N60=5),3,IF(OR($N60=6,$N60=7,$N60=8),4,"")))))</f>
        <v/>
      </c>
      <c r="P60" s="436"/>
      <c r="Q60" s="275"/>
      <c r="R60" s="275"/>
      <c r="S60" s="275"/>
      <c r="T60" s="275"/>
      <c r="U60" s="275"/>
      <c r="V60" s="275"/>
      <c r="W60" s="275"/>
      <c r="X60" s="275"/>
      <c r="Y60" s="275"/>
      <c r="Z60" s="275"/>
      <c r="AA60" s="275"/>
      <c r="AB60" s="275"/>
      <c r="AC60" s="275"/>
      <c r="AD60" s="275"/>
      <c r="AE60" s="275"/>
      <c r="AF60" s="275"/>
      <c r="AG60" s="275"/>
      <c r="AH60" s="438"/>
      <c r="AI60" s="439">
        <f t="shared" si="7"/>
        <v>0</v>
      </c>
      <c r="AJ60" s="263"/>
      <c r="AK60" s="263"/>
      <c r="AL60" s="263"/>
      <c r="AM60" s="263"/>
      <c r="AN60" s="263"/>
      <c r="AO60" s="263"/>
      <c r="AP60" s="263"/>
      <c r="AQ60" s="436"/>
      <c r="AR60" s="275"/>
      <c r="AS60" s="275"/>
      <c r="AT60" s="275"/>
      <c r="AU60" s="275"/>
      <c r="AV60" s="275"/>
      <c r="AW60" s="275"/>
      <c r="AX60" s="275"/>
      <c r="AY60" s="437"/>
      <c r="AZ60" s="440">
        <f t="shared" si="8"/>
        <v>0</v>
      </c>
      <c r="BA60" s="275"/>
      <c r="BB60" s="275"/>
      <c r="BC60" s="275"/>
      <c r="BD60" s="275"/>
      <c r="BE60" s="275"/>
      <c r="BF60" s="275"/>
      <c r="BG60" s="275"/>
      <c r="BH60" s="436"/>
      <c r="BI60" s="275"/>
      <c r="BJ60" s="275"/>
      <c r="BK60" s="291"/>
      <c r="BL60" s="291"/>
      <c r="BM60" s="275"/>
      <c r="BN60" s="275"/>
      <c r="BO60" s="438"/>
      <c r="BP60" s="436"/>
      <c r="BQ60" s="275"/>
      <c r="BR60" s="275"/>
      <c r="BS60" s="275"/>
      <c r="BT60" s="275"/>
      <c r="BU60" s="275"/>
      <c r="BV60" s="275"/>
      <c r="BW60" s="275"/>
      <c r="BX60" s="438"/>
      <c r="BY60" s="436"/>
      <c r="BZ60" s="275"/>
      <c r="CA60" s="275"/>
      <c r="CB60" s="275"/>
      <c r="CC60" s="275"/>
      <c r="CD60" s="275"/>
      <c r="CE60" s="275"/>
      <c r="CF60" s="275"/>
      <c r="CG60" s="438"/>
      <c r="CH60" s="436"/>
      <c r="CI60" s="275"/>
      <c r="CJ60" s="275"/>
      <c r="CK60" s="275"/>
      <c r="CL60" s="275"/>
      <c r="CM60" s="275"/>
      <c r="CN60" s="275"/>
      <c r="CO60" s="442"/>
      <c r="CP60" s="443"/>
      <c r="CQ60" s="429">
        <f t="shared" si="9"/>
        <v>0</v>
      </c>
      <c r="CR60" s="430"/>
    </row>
    <row r="61" spans="1:96" ht="25.5" customHeight="1" x14ac:dyDescent="0.2">
      <c r="A61" s="410">
        <f t="shared" si="10"/>
        <v>46</v>
      </c>
      <c r="B61" s="280"/>
      <c r="C61" s="280"/>
      <c r="D61" s="411"/>
      <c r="E61" s="254"/>
      <c r="F61" s="277"/>
      <c r="G61" s="450"/>
      <c r="H61" s="413"/>
      <c r="I61" s="433" t="str">
        <f t="shared" si="4"/>
        <v/>
      </c>
      <c r="J61" s="434">
        <f t="shared" si="5"/>
        <v>0</v>
      </c>
      <c r="K61" s="279"/>
      <c r="L61" s="276"/>
      <c r="M61" s="435"/>
      <c r="N61" s="417" t="str">
        <f t="shared" si="6"/>
        <v/>
      </c>
      <c r="O61" s="418" t="str">
        <f>IF('Data Set up'!$G$40="JUNE",IF(OR($N61=7,$N61=8,$N61=9),1,IF(OR($N61=10,$N61=11,$N61=12),2,IF(OR($N61=1,$N61=2,$N61=3),3,IF(OR($N61=4,$N61=5,$N61=6),4,"")))),IF(OR($N61=9,$N61=10,$N61=11),1,IF(OR($N61=12,$N61=1,$N61=2),2,IF(OR($N61=3,$N61=4,$N61=5),3,IF(OR($N61=6,$N61=7,$N61=8),4,"")))))</f>
        <v/>
      </c>
      <c r="P61" s="436"/>
      <c r="Q61" s="275"/>
      <c r="R61" s="275"/>
      <c r="S61" s="275"/>
      <c r="T61" s="275"/>
      <c r="U61" s="275"/>
      <c r="V61" s="275"/>
      <c r="W61" s="275"/>
      <c r="X61" s="275"/>
      <c r="Y61" s="275"/>
      <c r="Z61" s="275"/>
      <c r="AA61" s="275"/>
      <c r="AB61" s="275"/>
      <c r="AC61" s="275"/>
      <c r="AD61" s="275"/>
      <c r="AE61" s="275"/>
      <c r="AF61" s="275"/>
      <c r="AG61" s="275"/>
      <c r="AH61" s="438"/>
      <c r="AI61" s="439">
        <f t="shared" si="7"/>
        <v>0</v>
      </c>
      <c r="AJ61" s="263"/>
      <c r="AK61" s="263"/>
      <c r="AL61" s="263"/>
      <c r="AM61" s="263"/>
      <c r="AN61" s="263"/>
      <c r="AO61" s="263"/>
      <c r="AP61" s="263"/>
      <c r="AQ61" s="436"/>
      <c r="AR61" s="275"/>
      <c r="AS61" s="275"/>
      <c r="AT61" s="275"/>
      <c r="AU61" s="275"/>
      <c r="AV61" s="275"/>
      <c r="AW61" s="275"/>
      <c r="AX61" s="275"/>
      <c r="AY61" s="437"/>
      <c r="AZ61" s="440">
        <f t="shared" si="8"/>
        <v>0</v>
      </c>
      <c r="BA61" s="275"/>
      <c r="BB61" s="275"/>
      <c r="BC61" s="275"/>
      <c r="BD61" s="275"/>
      <c r="BE61" s="275"/>
      <c r="BF61" s="275"/>
      <c r="BG61" s="275"/>
      <c r="BH61" s="436"/>
      <c r="BI61" s="275"/>
      <c r="BJ61" s="275"/>
      <c r="BK61" s="291"/>
      <c r="BL61" s="291"/>
      <c r="BM61" s="275"/>
      <c r="BN61" s="275"/>
      <c r="BO61" s="438"/>
      <c r="BP61" s="436"/>
      <c r="BQ61" s="275"/>
      <c r="BR61" s="275"/>
      <c r="BS61" s="275"/>
      <c r="BT61" s="275"/>
      <c r="BU61" s="275"/>
      <c r="BV61" s="275"/>
      <c r="BW61" s="275"/>
      <c r="BX61" s="438"/>
      <c r="BY61" s="436"/>
      <c r="BZ61" s="275"/>
      <c r="CA61" s="275"/>
      <c r="CB61" s="275"/>
      <c r="CC61" s="275"/>
      <c r="CD61" s="275"/>
      <c r="CE61" s="275"/>
      <c r="CF61" s="275"/>
      <c r="CG61" s="438"/>
      <c r="CH61" s="436"/>
      <c r="CI61" s="275"/>
      <c r="CJ61" s="275"/>
      <c r="CK61" s="275"/>
      <c r="CL61" s="275"/>
      <c r="CM61" s="275"/>
      <c r="CN61" s="275"/>
      <c r="CO61" s="442"/>
      <c r="CP61" s="443"/>
      <c r="CQ61" s="429">
        <f t="shared" si="9"/>
        <v>0</v>
      </c>
      <c r="CR61" s="430"/>
    </row>
    <row r="62" spans="1:96" ht="25.5" customHeight="1" x14ac:dyDescent="0.2">
      <c r="A62" s="410">
        <f t="shared" si="10"/>
        <v>47</v>
      </c>
      <c r="B62" s="280"/>
      <c r="C62" s="280"/>
      <c r="D62" s="411"/>
      <c r="E62" s="254"/>
      <c r="F62" s="277"/>
      <c r="G62" s="450"/>
      <c r="H62" s="413"/>
      <c r="I62" s="433" t="str">
        <f t="shared" si="4"/>
        <v/>
      </c>
      <c r="J62" s="434">
        <f t="shared" si="5"/>
        <v>0</v>
      </c>
      <c r="K62" s="279"/>
      <c r="L62" s="276"/>
      <c r="M62" s="435"/>
      <c r="N62" s="417" t="str">
        <f t="shared" si="6"/>
        <v/>
      </c>
      <c r="O62" s="418" t="str">
        <f>IF('Data Set up'!$G$40="JUNE",IF(OR($N62=7,$N62=8,$N62=9),1,IF(OR($N62=10,$N62=11,$N62=12),2,IF(OR($N62=1,$N62=2,$N62=3),3,IF(OR($N62=4,$N62=5,$N62=6),4,"")))),IF(OR($N62=9,$N62=10,$N62=11),1,IF(OR($N62=12,$N62=1,$N62=2),2,IF(OR($N62=3,$N62=4,$N62=5),3,IF(OR($N62=6,$N62=7,$N62=8),4,"")))))</f>
        <v/>
      </c>
      <c r="P62" s="436"/>
      <c r="Q62" s="275"/>
      <c r="R62" s="275"/>
      <c r="S62" s="275"/>
      <c r="T62" s="275"/>
      <c r="U62" s="275"/>
      <c r="V62" s="275"/>
      <c r="W62" s="275"/>
      <c r="X62" s="275"/>
      <c r="Y62" s="275"/>
      <c r="Z62" s="275"/>
      <c r="AA62" s="275"/>
      <c r="AB62" s="275"/>
      <c r="AC62" s="275"/>
      <c r="AD62" s="275"/>
      <c r="AE62" s="275"/>
      <c r="AF62" s="275"/>
      <c r="AG62" s="275"/>
      <c r="AH62" s="438"/>
      <c r="AI62" s="439">
        <f t="shared" si="7"/>
        <v>0</v>
      </c>
      <c r="AJ62" s="263"/>
      <c r="AK62" s="263"/>
      <c r="AL62" s="263"/>
      <c r="AM62" s="263"/>
      <c r="AN62" s="263"/>
      <c r="AO62" s="263"/>
      <c r="AP62" s="263"/>
      <c r="AQ62" s="436"/>
      <c r="AR62" s="275"/>
      <c r="AS62" s="275"/>
      <c r="AT62" s="275"/>
      <c r="AU62" s="275"/>
      <c r="AV62" s="275"/>
      <c r="AW62" s="275"/>
      <c r="AX62" s="275"/>
      <c r="AY62" s="437"/>
      <c r="AZ62" s="440">
        <f t="shared" si="8"/>
        <v>0</v>
      </c>
      <c r="BA62" s="275"/>
      <c r="BB62" s="275"/>
      <c r="BC62" s="275"/>
      <c r="BD62" s="275"/>
      <c r="BE62" s="275"/>
      <c r="BF62" s="275"/>
      <c r="BG62" s="275"/>
      <c r="BH62" s="436"/>
      <c r="BI62" s="275"/>
      <c r="BJ62" s="275"/>
      <c r="BK62" s="291"/>
      <c r="BL62" s="291"/>
      <c r="BM62" s="275"/>
      <c r="BN62" s="275"/>
      <c r="BO62" s="438"/>
      <c r="BP62" s="436"/>
      <c r="BQ62" s="275"/>
      <c r="BR62" s="275"/>
      <c r="BS62" s="275"/>
      <c r="BT62" s="275"/>
      <c r="BU62" s="275"/>
      <c r="BV62" s="275"/>
      <c r="BW62" s="275"/>
      <c r="BX62" s="438"/>
      <c r="BY62" s="436"/>
      <c r="BZ62" s="275"/>
      <c r="CA62" s="275"/>
      <c r="CB62" s="275"/>
      <c r="CC62" s="275"/>
      <c r="CD62" s="275"/>
      <c r="CE62" s="275"/>
      <c r="CF62" s="275"/>
      <c r="CG62" s="438"/>
      <c r="CH62" s="436"/>
      <c r="CI62" s="275"/>
      <c r="CJ62" s="275"/>
      <c r="CK62" s="275"/>
      <c r="CL62" s="275"/>
      <c r="CM62" s="275"/>
      <c r="CN62" s="275"/>
      <c r="CO62" s="442"/>
      <c r="CP62" s="443"/>
      <c r="CQ62" s="429">
        <f t="shared" si="9"/>
        <v>0</v>
      </c>
      <c r="CR62" s="430"/>
    </row>
    <row r="63" spans="1:96" ht="25.5" customHeight="1" x14ac:dyDescent="0.2">
      <c r="A63" s="410">
        <f t="shared" si="10"/>
        <v>48</v>
      </c>
      <c r="B63" s="280"/>
      <c r="C63" s="280"/>
      <c r="D63" s="411"/>
      <c r="E63" s="254"/>
      <c r="F63" s="277"/>
      <c r="G63" s="450"/>
      <c r="H63" s="413"/>
      <c r="I63" s="433" t="str">
        <f t="shared" si="4"/>
        <v/>
      </c>
      <c r="J63" s="434">
        <f t="shared" si="5"/>
        <v>0</v>
      </c>
      <c r="K63" s="279"/>
      <c r="L63" s="276"/>
      <c r="M63" s="435"/>
      <c r="N63" s="417" t="str">
        <f t="shared" si="6"/>
        <v/>
      </c>
      <c r="O63" s="418" t="str">
        <f>IF('Data Set up'!$G$40="JUNE",IF(OR($N63=7,$N63=8,$N63=9),1,IF(OR($N63=10,$N63=11,$N63=12),2,IF(OR($N63=1,$N63=2,$N63=3),3,IF(OR($N63=4,$N63=5,$N63=6),4,"")))),IF(OR($N63=9,$N63=10,$N63=11),1,IF(OR($N63=12,$N63=1,$N63=2),2,IF(OR($N63=3,$N63=4,$N63=5),3,IF(OR($N63=6,$N63=7,$N63=8),4,"")))))</f>
        <v/>
      </c>
      <c r="P63" s="436"/>
      <c r="Q63" s="275"/>
      <c r="R63" s="275"/>
      <c r="S63" s="275"/>
      <c r="T63" s="275"/>
      <c r="U63" s="275"/>
      <c r="V63" s="275"/>
      <c r="W63" s="275"/>
      <c r="X63" s="275"/>
      <c r="Y63" s="275"/>
      <c r="Z63" s="275"/>
      <c r="AA63" s="275"/>
      <c r="AB63" s="275"/>
      <c r="AC63" s="275"/>
      <c r="AD63" s="275"/>
      <c r="AE63" s="275"/>
      <c r="AF63" s="275"/>
      <c r="AG63" s="275"/>
      <c r="AH63" s="438"/>
      <c r="AI63" s="439">
        <f t="shared" si="7"/>
        <v>0</v>
      </c>
      <c r="AJ63" s="263"/>
      <c r="AK63" s="263"/>
      <c r="AL63" s="263"/>
      <c r="AM63" s="263"/>
      <c r="AN63" s="263"/>
      <c r="AO63" s="263"/>
      <c r="AP63" s="263"/>
      <c r="AQ63" s="436"/>
      <c r="AR63" s="275"/>
      <c r="AS63" s="275"/>
      <c r="AT63" s="275"/>
      <c r="AU63" s="275"/>
      <c r="AV63" s="275"/>
      <c r="AW63" s="275"/>
      <c r="AX63" s="275"/>
      <c r="AY63" s="437"/>
      <c r="AZ63" s="440">
        <f t="shared" si="8"/>
        <v>0</v>
      </c>
      <c r="BA63" s="275"/>
      <c r="BB63" s="275"/>
      <c r="BC63" s="275"/>
      <c r="BD63" s="275"/>
      <c r="BE63" s="275"/>
      <c r="BF63" s="275"/>
      <c r="BG63" s="275"/>
      <c r="BH63" s="436"/>
      <c r="BI63" s="275"/>
      <c r="BJ63" s="275"/>
      <c r="BK63" s="291"/>
      <c r="BL63" s="291"/>
      <c r="BM63" s="275"/>
      <c r="BN63" s="275"/>
      <c r="BO63" s="438"/>
      <c r="BP63" s="436"/>
      <c r="BQ63" s="275"/>
      <c r="BR63" s="275"/>
      <c r="BS63" s="275"/>
      <c r="BT63" s="275"/>
      <c r="BU63" s="275"/>
      <c r="BV63" s="275"/>
      <c r="BW63" s="275"/>
      <c r="BX63" s="438"/>
      <c r="BY63" s="436"/>
      <c r="BZ63" s="275"/>
      <c r="CA63" s="275"/>
      <c r="CB63" s="275"/>
      <c r="CC63" s="275"/>
      <c r="CD63" s="275"/>
      <c r="CE63" s="275"/>
      <c r="CF63" s="275"/>
      <c r="CG63" s="438"/>
      <c r="CH63" s="436"/>
      <c r="CI63" s="275"/>
      <c r="CJ63" s="275"/>
      <c r="CK63" s="275"/>
      <c r="CL63" s="275"/>
      <c r="CM63" s="275"/>
      <c r="CN63" s="275"/>
      <c r="CO63" s="442"/>
      <c r="CP63" s="443"/>
      <c r="CQ63" s="429">
        <f t="shared" si="9"/>
        <v>0</v>
      </c>
      <c r="CR63" s="430"/>
    </row>
    <row r="64" spans="1:96" ht="25.5" customHeight="1" x14ac:dyDescent="0.2">
      <c r="A64" s="410">
        <f t="shared" si="10"/>
        <v>49</v>
      </c>
      <c r="B64" s="280"/>
      <c r="C64" s="280"/>
      <c r="D64" s="411"/>
      <c r="E64" s="254"/>
      <c r="F64" s="277"/>
      <c r="G64" s="450"/>
      <c r="H64" s="413"/>
      <c r="I64" s="433" t="str">
        <f t="shared" si="4"/>
        <v/>
      </c>
      <c r="J64" s="434">
        <f t="shared" si="5"/>
        <v>0</v>
      </c>
      <c r="K64" s="279"/>
      <c r="L64" s="276"/>
      <c r="M64" s="435"/>
      <c r="N64" s="417" t="str">
        <f t="shared" si="6"/>
        <v/>
      </c>
      <c r="O64" s="418" t="str">
        <f>IF('Data Set up'!$G$40="JUNE",IF(OR($N64=7,$N64=8,$N64=9),1,IF(OR($N64=10,$N64=11,$N64=12),2,IF(OR($N64=1,$N64=2,$N64=3),3,IF(OR($N64=4,$N64=5,$N64=6),4,"")))),IF(OR($N64=9,$N64=10,$N64=11),1,IF(OR($N64=12,$N64=1,$N64=2),2,IF(OR($N64=3,$N64=4,$N64=5),3,IF(OR($N64=6,$N64=7,$N64=8),4,"")))))</f>
        <v/>
      </c>
      <c r="P64" s="436"/>
      <c r="Q64" s="275"/>
      <c r="R64" s="275"/>
      <c r="S64" s="275"/>
      <c r="T64" s="275"/>
      <c r="U64" s="275"/>
      <c r="V64" s="275"/>
      <c r="W64" s="275"/>
      <c r="X64" s="275"/>
      <c r="Y64" s="275"/>
      <c r="Z64" s="275"/>
      <c r="AA64" s="275"/>
      <c r="AB64" s="275"/>
      <c r="AC64" s="275"/>
      <c r="AD64" s="275"/>
      <c r="AE64" s="275"/>
      <c r="AF64" s="275"/>
      <c r="AG64" s="275"/>
      <c r="AH64" s="438"/>
      <c r="AI64" s="439">
        <f t="shared" si="7"/>
        <v>0</v>
      </c>
      <c r="AJ64" s="263"/>
      <c r="AK64" s="263"/>
      <c r="AL64" s="263"/>
      <c r="AM64" s="263"/>
      <c r="AN64" s="263"/>
      <c r="AO64" s="263"/>
      <c r="AP64" s="263"/>
      <c r="AQ64" s="436"/>
      <c r="AR64" s="275"/>
      <c r="AS64" s="275"/>
      <c r="AT64" s="275"/>
      <c r="AU64" s="275"/>
      <c r="AV64" s="275"/>
      <c r="AW64" s="275"/>
      <c r="AX64" s="275"/>
      <c r="AY64" s="437"/>
      <c r="AZ64" s="440">
        <f t="shared" si="8"/>
        <v>0</v>
      </c>
      <c r="BA64" s="275"/>
      <c r="BB64" s="275"/>
      <c r="BC64" s="275"/>
      <c r="BD64" s="275"/>
      <c r="BE64" s="275"/>
      <c r="BF64" s="275"/>
      <c r="BG64" s="275"/>
      <c r="BH64" s="436"/>
      <c r="BI64" s="275"/>
      <c r="BJ64" s="275"/>
      <c r="BK64" s="291"/>
      <c r="BL64" s="291"/>
      <c r="BM64" s="275"/>
      <c r="BN64" s="275"/>
      <c r="BO64" s="438"/>
      <c r="BP64" s="436"/>
      <c r="BQ64" s="275"/>
      <c r="BR64" s="275"/>
      <c r="BS64" s="275"/>
      <c r="BT64" s="275"/>
      <c r="BU64" s="275"/>
      <c r="BV64" s="275"/>
      <c r="BW64" s="275"/>
      <c r="BX64" s="438"/>
      <c r="BY64" s="436"/>
      <c r="BZ64" s="275"/>
      <c r="CA64" s="275"/>
      <c r="CB64" s="275"/>
      <c r="CC64" s="275"/>
      <c r="CD64" s="275"/>
      <c r="CE64" s="275"/>
      <c r="CF64" s="275"/>
      <c r="CG64" s="438"/>
      <c r="CH64" s="436"/>
      <c r="CI64" s="275"/>
      <c r="CJ64" s="275"/>
      <c r="CK64" s="275"/>
      <c r="CL64" s="275"/>
      <c r="CM64" s="275"/>
      <c r="CN64" s="275"/>
      <c r="CO64" s="442"/>
      <c r="CP64" s="443"/>
      <c r="CQ64" s="429">
        <f t="shared" si="9"/>
        <v>0</v>
      </c>
      <c r="CR64" s="430"/>
    </row>
    <row r="65" spans="1:96" ht="25.5" customHeight="1" x14ac:dyDescent="0.2">
      <c r="A65" s="410">
        <f t="shared" si="10"/>
        <v>50</v>
      </c>
      <c r="B65" s="280"/>
      <c r="C65" s="280"/>
      <c r="D65" s="411"/>
      <c r="E65" s="254"/>
      <c r="F65" s="277"/>
      <c r="G65" s="450"/>
      <c r="H65" s="413"/>
      <c r="I65" s="433" t="str">
        <f t="shared" si="4"/>
        <v/>
      </c>
      <c r="J65" s="434">
        <f t="shared" si="5"/>
        <v>0</v>
      </c>
      <c r="K65" s="279"/>
      <c r="L65" s="276"/>
      <c r="M65" s="435"/>
      <c r="N65" s="417" t="str">
        <f t="shared" si="6"/>
        <v/>
      </c>
      <c r="O65" s="418" t="str">
        <f>IF('Data Set up'!$G$40="JUNE",IF(OR($N65=7,$N65=8,$N65=9),1,IF(OR($N65=10,$N65=11,$N65=12),2,IF(OR($N65=1,$N65=2,$N65=3),3,IF(OR($N65=4,$N65=5,$N65=6),4,"")))),IF(OR($N65=9,$N65=10,$N65=11),1,IF(OR($N65=12,$N65=1,$N65=2),2,IF(OR($N65=3,$N65=4,$N65=5),3,IF(OR($N65=6,$N65=7,$N65=8),4,"")))))</f>
        <v/>
      </c>
      <c r="P65" s="436"/>
      <c r="Q65" s="275"/>
      <c r="R65" s="275"/>
      <c r="S65" s="275"/>
      <c r="T65" s="275"/>
      <c r="U65" s="275"/>
      <c r="V65" s="275"/>
      <c r="W65" s="275"/>
      <c r="X65" s="275"/>
      <c r="Y65" s="275"/>
      <c r="Z65" s="275"/>
      <c r="AA65" s="275"/>
      <c r="AB65" s="275"/>
      <c r="AC65" s="275"/>
      <c r="AD65" s="275"/>
      <c r="AE65" s="275"/>
      <c r="AF65" s="275"/>
      <c r="AG65" s="275"/>
      <c r="AH65" s="438"/>
      <c r="AI65" s="439">
        <f t="shared" si="7"/>
        <v>0</v>
      </c>
      <c r="AJ65" s="263"/>
      <c r="AK65" s="263"/>
      <c r="AL65" s="263"/>
      <c r="AM65" s="263"/>
      <c r="AN65" s="263"/>
      <c r="AO65" s="263"/>
      <c r="AP65" s="263"/>
      <c r="AQ65" s="436"/>
      <c r="AR65" s="275"/>
      <c r="AS65" s="275"/>
      <c r="AT65" s="275"/>
      <c r="AU65" s="275"/>
      <c r="AV65" s="275"/>
      <c r="AW65" s="275"/>
      <c r="AX65" s="275"/>
      <c r="AY65" s="437"/>
      <c r="AZ65" s="440">
        <f t="shared" si="8"/>
        <v>0</v>
      </c>
      <c r="BA65" s="275"/>
      <c r="BB65" s="275"/>
      <c r="BC65" s="275"/>
      <c r="BD65" s="275"/>
      <c r="BE65" s="275"/>
      <c r="BF65" s="275"/>
      <c r="BG65" s="275"/>
      <c r="BH65" s="436"/>
      <c r="BI65" s="275"/>
      <c r="BJ65" s="275"/>
      <c r="BK65" s="291"/>
      <c r="BL65" s="291"/>
      <c r="BM65" s="275"/>
      <c r="BN65" s="275"/>
      <c r="BO65" s="438"/>
      <c r="BP65" s="436"/>
      <c r="BQ65" s="275"/>
      <c r="BR65" s="275"/>
      <c r="BS65" s="275"/>
      <c r="BT65" s="275"/>
      <c r="BU65" s="275"/>
      <c r="BV65" s="275"/>
      <c r="BW65" s="275"/>
      <c r="BX65" s="438"/>
      <c r="BY65" s="436"/>
      <c r="BZ65" s="275"/>
      <c r="CA65" s="275"/>
      <c r="CB65" s="275"/>
      <c r="CC65" s="275"/>
      <c r="CD65" s="275"/>
      <c r="CE65" s="275"/>
      <c r="CF65" s="275"/>
      <c r="CG65" s="438"/>
      <c r="CH65" s="436"/>
      <c r="CI65" s="275"/>
      <c r="CJ65" s="275"/>
      <c r="CK65" s="275"/>
      <c r="CL65" s="275"/>
      <c r="CM65" s="275"/>
      <c r="CN65" s="275"/>
      <c r="CO65" s="442"/>
      <c r="CP65" s="443"/>
      <c r="CQ65" s="429">
        <f t="shared" si="9"/>
        <v>0</v>
      </c>
      <c r="CR65" s="430"/>
    </row>
    <row r="66" spans="1:96" ht="25.5" customHeight="1" x14ac:dyDescent="0.2">
      <c r="A66" s="410">
        <f t="shared" si="10"/>
        <v>51</v>
      </c>
      <c r="B66" s="280"/>
      <c r="C66" s="280"/>
      <c r="D66" s="411"/>
      <c r="E66" s="254"/>
      <c r="F66" s="277"/>
      <c r="G66" s="450"/>
      <c r="H66" s="413"/>
      <c r="I66" s="433" t="str">
        <f t="shared" si="4"/>
        <v/>
      </c>
      <c r="J66" s="434">
        <f t="shared" si="5"/>
        <v>0</v>
      </c>
      <c r="K66" s="279"/>
      <c r="L66" s="276"/>
      <c r="M66" s="435"/>
      <c r="N66" s="417" t="str">
        <f t="shared" si="6"/>
        <v/>
      </c>
      <c r="O66" s="418" t="str">
        <f>IF('Data Set up'!$G$40="JUNE",IF(OR($N66=7,$N66=8,$N66=9),1,IF(OR($N66=10,$N66=11,$N66=12),2,IF(OR($N66=1,$N66=2,$N66=3),3,IF(OR($N66=4,$N66=5,$N66=6),4,"")))),IF(OR($N66=9,$N66=10,$N66=11),1,IF(OR($N66=12,$N66=1,$N66=2),2,IF(OR($N66=3,$N66=4,$N66=5),3,IF(OR($N66=6,$N66=7,$N66=8),4,"")))))</f>
        <v/>
      </c>
      <c r="P66" s="436"/>
      <c r="Q66" s="275"/>
      <c r="R66" s="275"/>
      <c r="S66" s="275"/>
      <c r="T66" s="275"/>
      <c r="U66" s="275"/>
      <c r="V66" s="275"/>
      <c r="W66" s="275"/>
      <c r="X66" s="275"/>
      <c r="Y66" s="275"/>
      <c r="Z66" s="275"/>
      <c r="AA66" s="275"/>
      <c r="AB66" s="275"/>
      <c r="AC66" s="275"/>
      <c r="AD66" s="275"/>
      <c r="AE66" s="275"/>
      <c r="AF66" s="275"/>
      <c r="AG66" s="275"/>
      <c r="AH66" s="438"/>
      <c r="AI66" s="439">
        <f t="shared" si="7"/>
        <v>0</v>
      </c>
      <c r="AJ66" s="263"/>
      <c r="AK66" s="263"/>
      <c r="AL66" s="263"/>
      <c r="AM66" s="263"/>
      <c r="AN66" s="263"/>
      <c r="AO66" s="263"/>
      <c r="AP66" s="263"/>
      <c r="AQ66" s="436"/>
      <c r="AR66" s="275"/>
      <c r="AS66" s="275"/>
      <c r="AT66" s="275"/>
      <c r="AU66" s="275"/>
      <c r="AV66" s="275"/>
      <c r="AW66" s="275"/>
      <c r="AX66" s="275"/>
      <c r="AY66" s="437"/>
      <c r="AZ66" s="440">
        <f t="shared" si="8"/>
        <v>0</v>
      </c>
      <c r="BA66" s="275"/>
      <c r="BB66" s="275"/>
      <c r="BC66" s="275"/>
      <c r="BD66" s="275"/>
      <c r="BE66" s="275"/>
      <c r="BF66" s="275"/>
      <c r="BG66" s="275"/>
      <c r="BH66" s="436"/>
      <c r="BI66" s="275"/>
      <c r="BJ66" s="275"/>
      <c r="BK66" s="291"/>
      <c r="BL66" s="291"/>
      <c r="BM66" s="275"/>
      <c r="BN66" s="275"/>
      <c r="BO66" s="438"/>
      <c r="BP66" s="436"/>
      <c r="BQ66" s="275"/>
      <c r="BR66" s="275"/>
      <c r="BS66" s="275"/>
      <c r="BT66" s="275"/>
      <c r="BU66" s="275"/>
      <c r="BV66" s="275"/>
      <c r="BW66" s="275"/>
      <c r="BX66" s="438"/>
      <c r="BY66" s="436"/>
      <c r="BZ66" s="275"/>
      <c r="CA66" s="275"/>
      <c r="CB66" s="275"/>
      <c r="CC66" s="275"/>
      <c r="CD66" s="275"/>
      <c r="CE66" s="275"/>
      <c r="CF66" s="275"/>
      <c r="CG66" s="438"/>
      <c r="CH66" s="436"/>
      <c r="CI66" s="275"/>
      <c r="CJ66" s="275"/>
      <c r="CK66" s="275"/>
      <c r="CL66" s="275"/>
      <c r="CM66" s="275"/>
      <c r="CN66" s="275"/>
      <c r="CO66" s="442"/>
      <c r="CP66" s="443"/>
      <c r="CQ66" s="429">
        <f t="shared" si="9"/>
        <v>0</v>
      </c>
      <c r="CR66" s="430"/>
    </row>
    <row r="67" spans="1:96" ht="25.5" customHeight="1" x14ac:dyDescent="0.2">
      <c r="A67" s="410">
        <f t="shared" si="10"/>
        <v>52</v>
      </c>
      <c r="B67" s="280"/>
      <c r="C67" s="280"/>
      <c r="D67" s="411"/>
      <c r="E67" s="254"/>
      <c r="F67" s="277"/>
      <c r="G67" s="450"/>
      <c r="H67" s="413"/>
      <c r="I67" s="433" t="str">
        <f t="shared" si="4"/>
        <v/>
      </c>
      <c r="J67" s="434">
        <f t="shared" si="5"/>
        <v>0</v>
      </c>
      <c r="K67" s="279"/>
      <c r="L67" s="276"/>
      <c r="M67" s="435"/>
      <c r="N67" s="417" t="str">
        <f t="shared" si="6"/>
        <v/>
      </c>
      <c r="O67" s="418" t="str">
        <f>IF('Data Set up'!$G$40="JUNE",IF(OR($N67=7,$N67=8,$N67=9),1,IF(OR($N67=10,$N67=11,$N67=12),2,IF(OR($N67=1,$N67=2,$N67=3),3,IF(OR($N67=4,$N67=5,$N67=6),4,"")))),IF(OR($N67=9,$N67=10,$N67=11),1,IF(OR($N67=12,$N67=1,$N67=2),2,IF(OR($N67=3,$N67=4,$N67=5),3,IF(OR($N67=6,$N67=7,$N67=8),4,"")))))</f>
        <v/>
      </c>
      <c r="P67" s="445"/>
      <c r="Q67" s="291"/>
      <c r="R67" s="291"/>
      <c r="S67" s="275"/>
      <c r="T67" s="275"/>
      <c r="U67" s="275"/>
      <c r="V67" s="275"/>
      <c r="W67" s="275"/>
      <c r="X67" s="275"/>
      <c r="Y67" s="275"/>
      <c r="Z67" s="275"/>
      <c r="AA67" s="275"/>
      <c r="AB67" s="275"/>
      <c r="AC67" s="275"/>
      <c r="AD67" s="275"/>
      <c r="AE67" s="275"/>
      <c r="AF67" s="275"/>
      <c r="AG67" s="275"/>
      <c r="AH67" s="438"/>
      <c r="AI67" s="439">
        <f t="shared" si="7"/>
        <v>0</v>
      </c>
      <c r="AJ67" s="263"/>
      <c r="AK67" s="263"/>
      <c r="AL67" s="263"/>
      <c r="AM67" s="263"/>
      <c r="AN67" s="263"/>
      <c r="AO67" s="263"/>
      <c r="AP67" s="263"/>
      <c r="AQ67" s="436"/>
      <c r="AR67" s="275"/>
      <c r="AS67" s="275"/>
      <c r="AT67" s="275"/>
      <c r="AU67" s="275"/>
      <c r="AV67" s="275"/>
      <c r="AW67" s="275"/>
      <c r="AX67" s="275"/>
      <c r="AY67" s="437"/>
      <c r="AZ67" s="440">
        <f t="shared" si="8"/>
        <v>0</v>
      </c>
      <c r="BA67" s="275"/>
      <c r="BB67" s="275"/>
      <c r="BC67" s="275"/>
      <c r="BD67" s="275"/>
      <c r="BE67" s="275"/>
      <c r="BF67" s="275"/>
      <c r="BG67" s="275"/>
      <c r="BH67" s="436"/>
      <c r="BI67" s="275"/>
      <c r="BJ67" s="275"/>
      <c r="BK67" s="291"/>
      <c r="BL67" s="291"/>
      <c r="BM67" s="275"/>
      <c r="BN67" s="275"/>
      <c r="BO67" s="438"/>
      <c r="BP67" s="436"/>
      <c r="BQ67" s="275"/>
      <c r="BR67" s="275"/>
      <c r="BS67" s="275"/>
      <c r="BT67" s="275"/>
      <c r="BU67" s="275"/>
      <c r="BV67" s="275"/>
      <c r="BW67" s="275"/>
      <c r="BX67" s="438"/>
      <c r="BY67" s="436"/>
      <c r="BZ67" s="275"/>
      <c r="CA67" s="275"/>
      <c r="CB67" s="275"/>
      <c r="CC67" s="275"/>
      <c r="CD67" s="275"/>
      <c r="CE67" s="275"/>
      <c r="CF67" s="275"/>
      <c r="CG67" s="438"/>
      <c r="CH67" s="436"/>
      <c r="CI67" s="275"/>
      <c r="CJ67" s="275"/>
      <c r="CK67" s="275"/>
      <c r="CL67" s="275"/>
      <c r="CM67" s="275"/>
      <c r="CN67" s="275"/>
      <c r="CO67" s="442"/>
      <c r="CP67" s="443"/>
      <c r="CQ67" s="429">
        <f t="shared" si="9"/>
        <v>0</v>
      </c>
      <c r="CR67" s="430"/>
    </row>
    <row r="68" spans="1:96" ht="25.5" customHeight="1" x14ac:dyDescent="0.2">
      <c r="A68" s="410">
        <f t="shared" si="10"/>
        <v>53</v>
      </c>
      <c r="B68" s="280"/>
      <c r="C68" s="280"/>
      <c r="D68" s="411"/>
      <c r="E68" s="254"/>
      <c r="F68" s="277"/>
      <c r="G68" s="450"/>
      <c r="H68" s="413"/>
      <c r="I68" s="433" t="str">
        <f t="shared" si="4"/>
        <v/>
      </c>
      <c r="J68" s="434">
        <f t="shared" si="5"/>
        <v>0</v>
      </c>
      <c r="K68" s="279"/>
      <c r="L68" s="276"/>
      <c r="M68" s="435"/>
      <c r="N68" s="417" t="str">
        <f t="shared" si="6"/>
        <v/>
      </c>
      <c r="O68" s="418" t="str">
        <f>IF('Data Set up'!$G$40="JUNE",IF(OR($N68=7,$N68=8,$N68=9),1,IF(OR($N68=10,$N68=11,$N68=12),2,IF(OR($N68=1,$N68=2,$N68=3),3,IF(OR($N68=4,$N68=5,$N68=6),4,"")))),IF(OR($N68=9,$N68=10,$N68=11),1,IF(OR($N68=12,$N68=1,$N68=2),2,IF(OR($N68=3,$N68=4,$N68=5),3,IF(OR($N68=6,$N68=7,$N68=8),4,"")))))</f>
        <v/>
      </c>
      <c r="P68" s="445"/>
      <c r="Q68" s="291"/>
      <c r="R68" s="291"/>
      <c r="S68" s="275"/>
      <c r="T68" s="275"/>
      <c r="U68" s="275"/>
      <c r="V68" s="275"/>
      <c r="W68" s="275"/>
      <c r="X68" s="275"/>
      <c r="Y68" s="275"/>
      <c r="Z68" s="275"/>
      <c r="AA68" s="275"/>
      <c r="AB68" s="275"/>
      <c r="AC68" s="275"/>
      <c r="AD68" s="275"/>
      <c r="AE68" s="275"/>
      <c r="AF68" s="275"/>
      <c r="AG68" s="275"/>
      <c r="AH68" s="438"/>
      <c r="AI68" s="439">
        <f t="shared" si="7"/>
        <v>0</v>
      </c>
      <c r="AJ68" s="263"/>
      <c r="AK68" s="263"/>
      <c r="AL68" s="263"/>
      <c r="AM68" s="263"/>
      <c r="AN68" s="263"/>
      <c r="AO68" s="263"/>
      <c r="AP68" s="263"/>
      <c r="AQ68" s="436"/>
      <c r="AR68" s="275"/>
      <c r="AS68" s="275"/>
      <c r="AT68" s="275"/>
      <c r="AU68" s="275"/>
      <c r="AV68" s="275"/>
      <c r="AW68" s="275"/>
      <c r="AX68" s="275"/>
      <c r="AY68" s="437"/>
      <c r="AZ68" s="440">
        <f t="shared" si="8"/>
        <v>0</v>
      </c>
      <c r="BA68" s="275"/>
      <c r="BB68" s="275"/>
      <c r="BC68" s="275"/>
      <c r="BD68" s="275"/>
      <c r="BE68" s="275"/>
      <c r="BF68" s="275"/>
      <c r="BG68" s="275"/>
      <c r="BH68" s="436"/>
      <c r="BI68" s="275"/>
      <c r="BJ68" s="275"/>
      <c r="BK68" s="291"/>
      <c r="BL68" s="291"/>
      <c r="BM68" s="275"/>
      <c r="BN68" s="275"/>
      <c r="BO68" s="438"/>
      <c r="BP68" s="436"/>
      <c r="BQ68" s="275"/>
      <c r="BR68" s="275"/>
      <c r="BS68" s="275"/>
      <c r="BT68" s="275"/>
      <c r="BU68" s="275"/>
      <c r="BV68" s="275"/>
      <c r="BW68" s="275"/>
      <c r="BX68" s="438"/>
      <c r="BY68" s="436"/>
      <c r="BZ68" s="275"/>
      <c r="CA68" s="275"/>
      <c r="CB68" s="275"/>
      <c r="CC68" s="275"/>
      <c r="CD68" s="275"/>
      <c r="CE68" s="275"/>
      <c r="CF68" s="275"/>
      <c r="CG68" s="438"/>
      <c r="CH68" s="436"/>
      <c r="CI68" s="275"/>
      <c r="CJ68" s="275"/>
      <c r="CK68" s="275"/>
      <c r="CL68" s="275"/>
      <c r="CM68" s="275"/>
      <c r="CN68" s="275"/>
      <c r="CO68" s="442"/>
      <c r="CP68" s="443"/>
      <c r="CQ68" s="429">
        <f t="shared" si="9"/>
        <v>0</v>
      </c>
      <c r="CR68" s="430"/>
    </row>
    <row r="69" spans="1:96" ht="25.5" customHeight="1" x14ac:dyDescent="0.2">
      <c r="A69" s="410">
        <f t="shared" si="10"/>
        <v>54</v>
      </c>
      <c r="B69" s="280"/>
      <c r="C69" s="280"/>
      <c r="D69" s="411"/>
      <c r="E69" s="254"/>
      <c r="F69" s="277"/>
      <c r="G69" s="450"/>
      <c r="H69" s="451"/>
      <c r="I69" s="433" t="str">
        <f t="shared" si="4"/>
        <v/>
      </c>
      <c r="J69" s="434">
        <f t="shared" si="5"/>
        <v>0</v>
      </c>
      <c r="K69" s="279"/>
      <c r="L69" s="276"/>
      <c r="M69" s="435"/>
      <c r="N69" s="417" t="str">
        <f t="shared" si="6"/>
        <v/>
      </c>
      <c r="O69" s="418" t="str">
        <f>IF('Data Set up'!$G$40="JUNE",IF(OR($N69=7,$N69=8,$N69=9),1,IF(OR($N69=10,$N69=11,$N69=12),2,IF(OR($N69=1,$N69=2,$N69=3),3,IF(OR($N69=4,$N69=5,$N69=6),4,"")))),IF(OR($N69=9,$N69=10,$N69=11),1,IF(OR($N69=12,$N69=1,$N69=2),2,IF(OR($N69=3,$N69=4,$N69=5),3,IF(OR($N69=6,$N69=7,$N69=8),4,"")))))</f>
        <v/>
      </c>
      <c r="P69" s="445"/>
      <c r="Q69" s="291"/>
      <c r="R69" s="291"/>
      <c r="S69" s="275"/>
      <c r="T69" s="275"/>
      <c r="U69" s="275"/>
      <c r="V69" s="275"/>
      <c r="W69" s="275"/>
      <c r="X69" s="275"/>
      <c r="Y69" s="275"/>
      <c r="Z69" s="275"/>
      <c r="AA69" s="275"/>
      <c r="AB69" s="275"/>
      <c r="AC69" s="275"/>
      <c r="AD69" s="275"/>
      <c r="AE69" s="275"/>
      <c r="AF69" s="275"/>
      <c r="AG69" s="275"/>
      <c r="AH69" s="438"/>
      <c r="AI69" s="439">
        <f t="shared" si="7"/>
        <v>0</v>
      </c>
      <c r="AJ69" s="263"/>
      <c r="AK69" s="263"/>
      <c r="AL69" s="263"/>
      <c r="AM69" s="263"/>
      <c r="AN69" s="263"/>
      <c r="AO69" s="263"/>
      <c r="AP69" s="263"/>
      <c r="AQ69" s="436"/>
      <c r="AR69" s="275"/>
      <c r="AS69" s="275"/>
      <c r="AT69" s="275"/>
      <c r="AU69" s="275"/>
      <c r="AV69" s="275"/>
      <c r="AW69" s="275"/>
      <c r="AX69" s="275"/>
      <c r="AY69" s="437"/>
      <c r="AZ69" s="440">
        <f t="shared" si="8"/>
        <v>0</v>
      </c>
      <c r="BA69" s="275"/>
      <c r="BB69" s="275"/>
      <c r="BC69" s="275"/>
      <c r="BD69" s="275"/>
      <c r="BE69" s="275"/>
      <c r="BF69" s="275"/>
      <c r="BG69" s="275"/>
      <c r="BH69" s="436"/>
      <c r="BI69" s="275"/>
      <c r="BJ69" s="275"/>
      <c r="BK69" s="291"/>
      <c r="BL69" s="291"/>
      <c r="BM69" s="275"/>
      <c r="BN69" s="275"/>
      <c r="BO69" s="438"/>
      <c r="BP69" s="436"/>
      <c r="BQ69" s="275"/>
      <c r="BR69" s="275"/>
      <c r="BS69" s="275"/>
      <c r="BT69" s="275"/>
      <c r="BU69" s="275"/>
      <c r="BV69" s="275"/>
      <c r="BW69" s="275"/>
      <c r="BX69" s="438"/>
      <c r="BY69" s="436"/>
      <c r="BZ69" s="275"/>
      <c r="CA69" s="275"/>
      <c r="CB69" s="275"/>
      <c r="CC69" s="275"/>
      <c r="CD69" s="275"/>
      <c r="CE69" s="275"/>
      <c r="CF69" s="275"/>
      <c r="CG69" s="438"/>
      <c r="CH69" s="436"/>
      <c r="CI69" s="275"/>
      <c r="CJ69" s="275"/>
      <c r="CK69" s="275"/>
      <c r="CL69" s="275"/>
      <c r="CM69" s="275"/>
      <c r="CN69" s="275"/>
      <c r="CO69" s="442"/>
      <c r="CP69" s="443"/>
      <c r="CQ69" s="429">
        <f t="shared" si="9"/>
        <v>0</v>
      </c>
      <c r="CR69" s="430"/>
    </row>
    <row r="70" spans="1:96" ht="25.5" customHeight="1" x14ac:dyDescent="0.2">
      <c r="A70" s="410">
        <f t="shared" si="10"/>
        <v>55</v>
      </c>
      <c r="B70" s="280"/>
      <c r="C70" s="280"/>
      <c r="D70" s="411"/>
      <c r="E70" s="254"/>
      <c r="F70" s="277"/>
      <c r="G70" s="450"/>
      <c r="H70" s="451"/>
      <c r="I70" s="433" t="str">
        <f t="shared" si="4"/>
        <v/>
      </c>
      <c r="J70" s="434">
        <f t="shared" si="5"/>
        <v>0</v>
      </c>
      <c r="K70" s="279"/>
      <c r="L70" s="276"/>
      <c r="M70" s="435"/>
      <c r="N70" s="417" t="str">
        <f t="shared" si="6"/>
        <v/>
      </c>
      <c r="O70" s="418" t="str">
        <f>IF('Data Set up'!$G$40="JUNE",IF(OR($N70=7,$N70=8,$N70=9),1,IF(OR($N70=10,$N70=11,$N70=12),2,IF(OR($N70=1,$N70=2,$N70=3),3,IF(OR($N70=4,$N70=5,$N70=6),4,"")))),IF(OR($N70=9,$N70=10,$N70=11),1,IF(OR($N70=12,$N70=1,$N70=2),2,IF(OR($N70=3,$N70=4,$N70=5),3,IF(OR($N70=6,$N70=7,$N70=8),4,"")))))</f>
        <v/>
      </c>
      <c r="P70" s="445"/>
      <c r="Q70" s="291"/>
      <c r="R70" s="291"/>
      <c r="S70" s="275"/>
      <c r="T70" s="275"/>
      <c r="U70" s="275"/>
      <c r="V70" s="275"/>
      <c r="W70" s="275"/>
      <c r="X70" s="275"/>
      <c r="Y70" s="275"/>
      <c r="Z70" s="275"/>
      <c r="AA70" s="275"/>
      <c r="AB70" s="275"/>
      <c r="AC70" s="275"/>
      <c r="AD70" s="275"/>
      <c r="AE70" s="275"/>
      <c r="AF70" s="275"/>
      <c r="AG70" s="275"/>
      <c r="AH70" s="438"/>
      <c r="AI70" s="439">
        <f t="shared" si="7"/>
        <v>0</v>
      </c>
      <c r="AJ70" s="263"/>
      <c r="AK70" s="263"/>
      <c r="AL70" s="263"/>
      <c r="AM70" s="263"/>
      <c r="AN70" s="263"/>
      <c r="AO70" s="263"/>
      <c r="AP70" s="263"/>
      <c r="AQ70" s="436"/>
      <c r="AR70" s="275"/>
      <c r="AS70" s="275"/>
      <c r="AT70" s="275"/>
      <c r="AU70" s="275"/>
      <c r="AV70" s="275"/>
      <c r="AW70" s="275"/>
      <c r="AX70" s="275"/>
      <c r="AY70" s="437"/>
      <c r="AZ70" s="440">
        <f t="shared" si="8"/>
        <v>0</v>
      </c>
      <c r="BA70" s="275"/>
      <c r="BB70" s="275"/>
      <c r="BC70" s="275"/>
      <c r="BD70" s="275"/>
      <c r="BE70" s="275"/>
      <c r="BF70" s="275"/>
      <c r="BG70" s="275"/>
      <c r="BH70" s="436"/>
      <c r="BI70" s="275"/>
      <c r="BJ70" s="275"/>
      <c r="BK70" s="291"/>
      <c r="BL70" s="291"/>
      <c r="BM70" s="275"/>
      <c r="BN70" s="275"/>
      <c r="BO70" s="438"/>
      <c r="BP70" s="436"/>
      <c r="BQ70" s="275"/>
      <c r="BR70" s="275"/>
      <c r="BS70" s="275"/>
      <c r="BT70" s="275"/>
      <c r="BU70" s="275"/>
      <c r="BV70" s="275"/>
      <c r="BW70" s="275"/>
      <c r="BX70" s="438"/>
      <c r="BY70" s="436"/>
      <c r="BZ70" s="275"/>
      <c r="CA70" s="275"/>
      <c r="CB70" s="275"/>
      <c r="CC70" s="275"/>
      <c r="CD70" s="275"/>
      <c r="CE70" s="275"/>
      <c r="CF70" s="275"/>
      <c r="CG70" s="438"/>
      <c r="CH70" s="436"/>
      <c r="CI70" s="275"/>
      <c r="CJ70" s="275"/>
      <c r="CK70" s="275"/>
      <c r="CL70" s="275"/>
      <c r="CM70" s="275"/>
      <c r="CN70" s="275"/>
      <c r="CO70" s="442"/>
      <c r="CP70" s="443"/>
      <c r="CQ70" s="429">
        <f t="shared" si="9"/>
        <v>0</v>
      </c>
      <c r="CR70" s="430"/>
    </row>
    <row r="71" spans="1:96" ht="25.5" customHeight="1" x14ac:dyDescent="0.2">
      <c r="A71" s="410">
        <f t="shared" si="10"/>
        <v>56</v>
      </c>
      <c r="B71" s="280"/>
      <c r="C71" s="280"/>
      <c r="D71" s="411"/>
      <c r="E71" s="254"/>
      <c r="F71" s="277"/>
      <c r="G71" s="450"/>
      <c r="H71" s="451"/>
      <c r="I71" s="433" t="str">
        <f t="shared" si="4"/>
        <v/>
      </c>
      <c r="J71" s="434">
        <f t="shared" si="5"/>
        <v>0</v>
      </c>
      <c r="K71" s="279"/>
      <c r="L71" s="276"/>
      <c r="M71" s="435"/>
      <c r="N71" s="417" t="str">
        <f t="shared" si="6"/>
        <v/>
      </c>
      <c r="O71" s="418" t="str">
        <f>IF('Data Set up'!$G$40="JUNE",IF(OR($N71=7,$N71=8,$N71=9),1,IF(OR($N71=10,$N71=11,$N71=12),2,IF(OR($N71=1,$N71=2,$N71=3),3,IF(OR($N71=4,$N71=5,$N71=6),4,"")))),IF(OR($N71=9,$N71=10,$N71=11),1,IF(OR($N71=12,$N71=1,$N71=2),2,IF(OR($N71=3,$N71=4,$N71=5),3,IF(OR($N71=6,$N71=7,$N71=8),4,"")))))</f>
        <v/>
      </c>
      <c r="P71" s="445"/>
      <c r="Q71" s="291"/>
      <c r="R71" s="291"/>
      <c r="S71" s="275"/>
      <c r="T71" s="275"/>
      <c r="U71" s="275"/>
      <c r="V71" s="275"/>
      <c r="W71" s="275"/>
      <c r="X71" s="275"/>
      <c r="Y71" s="275"/>
      <c r="Z71" s="275"/>
      <c r="AA71" s="275"/>
      <c r="AB71" s="275"/>
      <c r="AC71" s="275"/>
      <c r="AD71" s="275"/>
      <c r="AE71" s="275"/>
      <c r="AF71" s="275"/>
      <c r="AG71" s="275"/>
      <c r="AH71" s="438"/>
      <c r="AI71" s="439">
        <f t="shared" si="7"/>
        <v>0</v>
      </c>
      <c r="AJ71" s="263"/>
      <c r="AK71" s="263"/>
      <c r="AL71" s="263"/>
      <c r="AM71" s="263"/>
      <c r="AN71" s="263"/>
      <c r="AO71" s="263"/>
      <c r="AP71" s="263"/>
      <c r="AQ71" s="436"/>
      <c r="AR71" s="275"/>
      <c r="AS71" s="275"/>
      <c r="AT71" s="275"/>
      <c r="AU71" s="275"/>
      <c r="AV71" s="275"/>
      <c r="AW71" s="275"/>
      <c r="AX71" s="275"/>
      <c r="AY71" s="437"/>
      <c r="AZ71" s="440">
        <f t="shared" si="8"/>
        <v>0</v>
      </c>
      <c r="BA71" s="275"/>
      <c r="BB71" s="275"/>
      <c r="BC71" s="275"/>
      <c r="BD71" s="275"/>
      <c r="BE71" s="275"/>
      <c r="BF71" s="275"/>
      <c r="BG71" s="275"/>
      <c r="BH71" s="436"/>
      <c r="BI71" s="275"/>
      <c r="BJ71" s="275"/>
      <c r="BK71" s="291"/>
      <c r="BL71" s="291"/>
      <c r="BM71" s="275"/>
      <c r="BN71" s="275"/>
      <c r="BO71" s="438"/>
      <c r="BP71" s="436"/>
      <c r="BQ71" s="275"/>
      <c r="BR71" s="275"/>
      <c r="BS71" s="275"/>
      <c r="BT71" s="275"/>
      <c r="BU71" s="275"/>
      <c r="BV71" s="275"/>
      <c r="BW71" s="275"/>
      <c r="BX71" s="438"/>
      <c r="BY71" s="436"/>
      <c r="BZ71" s="275"/>
      <c r="CA71" s="275"/>
      <c r="CB71" s="275"/>
      <c r="CC71" s="275"/>
      <c r="CD71" s="275"/>
      <c r="CE71" s="275"/>
      <c r="CF71" s="275"/>
      <c r="CG71" s="438"/>
      <c r="CH71" s="436"/>
      <c r="CI71" s="275"/>
      <c r="CJ71" s="275"/>
      <c r="CK71" s="275"/>
      <c r="CL71" s="275"/>
      <c r="CM71" s="275"/>
      <c r="CN71" s="275"/>
      <c r="CO71" s="442"/>
      <c r="CP71" s="443"/>
      <c r="CQ71" s="429">
        <f t="shared" si="9"/>
        <v>0</v>
      </c>
      <c r="CR71" s="430"/>
    </row>
    <row r="72" spans="1:96" ht="25.5" customHeight="1" x14ac:dyDescent="0.2">
      <c r="A72" s="410">
        <f t="shared" si="10"/>
        <v>57</v>
      </c>
      <c r="B72" s="280"/>
      <c r="C72" s="280"/>
      <c r="D72" s="411"/>
      <c r="E72" s="254"/>
      <c r="F72" s="277"/>
      <c r="G72" s="450"/>
      <c r="H72" s="451"/>
      <c r="I72" s="433" t="str">
        <f t="shared" si="4"/>
        <v/>
      </c>
      <c r="J72" s="434">
        <f t="shared" si="5"/>
        <v>0</v>
      </c>
      <c r="K72" s="279"/>
      <c r="L72" s="276"/>
      <c r="M72" s="435"/>
      <c r="N72" s="417" t="str">
        <f t="shared" si="6"/>
        <v/>
      </c>
      <c r="O72" s="418" t="str">
        <f>IF('Data Set up'!$G$40="JUNE",IF(OR($N72=7,$N72=8,$N72=9),1,IF(OR($N72=10,$N72=11,$N72=12),2,IF(OR($N72=1,$N72=2,$N72=3),3,IF(OR($N72=4,$N72=5,$N72=6),4,"")))),IF(OR($N72=9,$N72=10,$N72=11),1,IF(OR($N72=12,$N72=1,$N72=2),2,IF(OR($N72=3,$N72=4,$N72=5),3,IF(OR($N72=6,$N72=7,$N72=8),4,"")))))</f>
        <v/>
      </c>
      <c r="P72" s="445"/>
      <c r="Q72" s="291"/>
      <c r="R72" s="291"/>
      <c r="S72" s="275"/>
      <c r="T72" s="275"/>
      <c r="U72" s="275"/>
      <c r="V72" s="275"/>
      <c r="W72" s="275"/>
      <c r="X72" s="275"/>
      <c r="Y72" s="275"/>
      <c r="Z72" s="275"/>
      <c r="AA72" s="275"/>
      <c r="AB72" s="275"/>
      <c r="AC72" s="275"/>
      <c r="AD72" s="275"/>
      <c r="AE72" s="275"/>
      <c r="AF72" s="275"/>
      <c r="AG72" s="275"/>
      <c r="AH72" s="438"/>
      <c r="AI72" s="439">
        <f t="shared" si="7"/>
        <v>0</v>
      </c>
      <c r="AJ72" s="263"/>
      <c r="AK72" s="263"/>
      <c r="AL72" s="263"/>
      <c r="AM72" s="263"/>
      <c r="AN72" s="263"/>
      <c r="AO72" s="263"/>
      <c r="AP72" s="263"/>
      <c r="AQ72" s="436"/>
      <c r="AR72" s="275"/>
      <c r="AS72" s="275"/>
      <c r="AT72" s="275"/>
      <c r="AU72" s="275"/>
      <c r="AV72" s="275"/>
      <c r="AW72" s="275"/>
      <c r="AX72" s="275"/>
      <c r="AY72" s="437"/>
      <c r="AZ72" s="440">
        <f t="shared" si="8"/>
        <v>0</v>
      </c>
      <c r="BA72" s="275"/>
      <c r="BB72" s="275"/>
      <c r="BC72" s="275"/>
      <c r="BD72" s="275"/>
      <c r="BE72" s="275"/>
      <c r="BF72" s="275"/>
      <c r="BG72" s="275"/>
      <c r="BH72" s="436"/>
      <c r="BI72" s="275"/>
      <c r="BJ72" s="275"/>
      <c r="BK72" s="291"/>
      <c r="BL72" s="291"/>
      <c r="BM72" s="275"/>
      <c r="BN72" s="275"/>
      <c r="BO72" s="438"/>
      <c r="BP72" s="436"/>
      <c r="BQ72" s="275"/>
      <c r="BR72" s="275"/>
      <c r="BS72" s="275"/>
      <c r="BT72" s="275"/>
      <c r="BU72" s="275"/>
      <c r="BV72" s="275"/>
      <c r="BW72" s="275"/>
      <c r="BX72" s="438"/>
      <c r="BY72" s="436"/>
      <c r="BZ72" s="275"/>
      <c r="CA72" s="275"/>
      <c r="CB72" s="275"/>
      <c r="CC72" s="275"/>
      <c r="CD72" s="275"/>
      <c r="CE72" s="275"/>
      <c r="CF72" s="275"/>
      <c r="CG72" s="438"/>
      <c r="CH72" s="436"/>
      <c r="CI72" s="275"/>
      <c r="CJ72" s="275"/>
      <c r="CK72" s="275"/>
      <c r="CL72" s="275"/>
      <c r="CM72" s="275"/>
      <c r="CN72" s="275"/>
      <c r="CO72" s="442"/>
      <c r="CP72" s="443"/>
      <c r="CQ72" s="429">
        <f t="shared" si="9"/>
        <v>0</v>
      </c>
      <c r="CR72" s="430"/>
    </row>
    <row r="73" spans="1:96" ht="25.5" customHeight="1" x14ac:dyDescent="0.2">
      <c r="A73" s="410">
        <f t="shared" si="10"/>
        <v>58</v>
      </c>
      <c r="B73" s="280"/>
      <c r="C73" s="280"/>
      <c r="D73" s="411"/>
      <c r="E73" s="254"/>
      <c r="F73" s="277"/>
      <c r="G73" s="450"/>
      <c r="H73" s="451"/>
      <c r="I73" s="433" t="str">
        <f t="shared" si="4"/>
        <v/>
      </c>
      <c r="J73" s="434">
        <f t="shared" si="5"/>
        <v>0</v>
      </c>
      <c r="K73" s="279"/>
      <c r="L73" s="276"/>
      <c r="M73" s="435"/>
      <c r="N73" s="417" t="str">
        <f t="shared" si="6"/>
        <v/>
      </c>
      <c r="O73" s="418" t="str">
        <f>IF('Data Set up'!$G$40="JUNE",IF(OR($N73=7,$N73=8,$N73=9),1,IF(OR($N73=10,$N73=11,$N73=12),2,IF(OR($N73=1,$N73=2,$N73=3),3,IF(OR($N73=4,$N73=5,$N73=6),4,"")))),IF(OR($N73=9,$N73=10,$N73=11),1,IF(OR($N73=12,$N73=1,$N73=2),2,IF(OR($N73=3,$N73=4,$N73=5),3,IF(OR($N73=6,$N73=7,$N73=8),4,"")))))</f>
        <v/>
      </c>
      <c r="P73" s="445"/>
      <c r="Q73" s="291"/>
      <c r="R73" s="291"/>
      <c r="S73" s="275"/>
      <c r="T73" s="275"/>
      <c r="U73" s="275"/>
      <c r="V73" s="275"/>
      <c r="W73" s="275"/>
      <c r="X73" s="275"/>
      <c r="Y73" s="275"/>
      <c r="Z73" s="275"/>
      <c r="AA73" s="275"/>
      <c r="AB73" s="275"/>
      <c r="AC73" s="275"/>
      <c r="AD73" s="275"/>
      <c r="AE73" s="275"/>
      <c r="AF73" s="275"/>
      <c r="AG73" s="275"/>
      <c r="AH73" s="438"/>
      <c r="AI73" s="439">
        <f t="shared" si="7"/>
        <v>0</v>
      </c>
      <c r="AJ73" s="263"/>
      <c r="AK73" s="263"/>
      <c r="AL73" s="263"/>
      <c r="AM73" s="263"/>
      <c r="AN73" s="263"/>
      <c r="AO73" s="263"/>
      <c r="AP73" s="263"/>
      <c r="AQ73" s="436"/>
      <c r="AR73" s="275"/>
      <c r="AS73" s="275"/>
      <c r="AT73" s="275"/>
      <c r="AU73" s="275"/>
      <c r="AV73" s="275"/>
      <c r="AW73" s="275"/>
      <c r="AX73" s="275"/>
      <c r="AY73" s="437"/>
      <c r="AZ73" s="440">
        <f t="shared" si="8"/>
        <v>0</v>
      </c>
      <c r="BA73" s="275"/>
      <c r="BB73" s="275"/>
      <c r="BC73" s="275"/>
      <c r="BD73" s="275"/>
      <c r="BE73" s="275"/>
      <c r="BF73" s="275"/>
      <c r="BG73" s="275"/>
      <c r="BH73" s="436"/>
      <c r="BI73" s="275"/>
      <c r="BJ73" s="275"/>
      <c r="BK73" s="291"/>
      <c r="BL73" s="291"/>
      <c r="BM73" s="275"/>
      <c r="BN73" s="275"/>
      <c r="BO73" s="438"/>
      <c r="BP73" s="436"/>
      <c r="BQ73" s="275"/>
      <c r="BR73" s="275"/>
      <c r="BS73" s="275"/>
      <c r="BT73" s="275"/>
      <c r="BU73" s="275"/>
      <c r="BV73" s="275"/>
      <c r="BW73" s="275"/>
      <c r="BX73" s="438"/>
      <c r="BY73" s="436"/>
      <c r="BZ73" s="275"/>
      <c r="CA73" s="275"/>
      <c r="CB73" s="275"/>
      <c r="CC73" s="275"/>
      <c r="CD73" s="275"/>
      <c r="CE73" s="275"/>
      <c r="CF73" s="275"/>
      <c r="CG73" s="438"/>
      <c r="CH73" s="436"/>
      <c r="CI73" s="275"/>
      <c r="CJ73" s="275"/>
      <c r="CK73" s="275"/>
      <c r="CL73" s="275"/>
      <c r="CM73" s="275"/>
      <c r="CN73" s="275"/>
      <c r="CO73" s="442"/>
      <c r="CP73" s="443"/>
      <c r="CQ73" s="429">
        <f t="shared" si="9"/>
        <v>0</v>
      </c>
      <c r="CR73" s="430"/>
    </row>
    <row r="74" spans="1:96" ht="25.5" customHeight="1" x14ac:dyDescent="0.2">
      <c r="A74" s="410">
        <f t="shared" si="10"/>
        <v>59</v>
      </c>
      <c r="B74" s="280"/>
      <c r="C74" s="280"/>
      <c r="D74" s="411"/>
      <c r="E74" s="254"/>
      <c r="F74" s="277"/>
      <c r="G74" s="450"/>
      <c r="H74" s="451"/>
      <c r="I74" s="433" t="str">
        <f t="shared" si="4"/>
        <v/>
      </c>
      <c r="J74" s="434">
        <f t="shared" si="5"/>
        <v>0</v>
      </c>
      <c r="K74" s="279"/>
      <c r="L74" s="276"/>
      <c r="M74" s="435"/>
      <c r="N74" s="417" t="str">
        <f t="shared" si="6"/>
        <v/>
      </c>
      <c r="O74" s="418" t="str">
        <f>IF('Data Set up'!$G$40="JUNE",IF(OR($N74=7,$N74=8,$N74=9),1,IF(OR($N74=10,$N74=11,$N74=12),2,IF(OR($N74=1,$N74=2,$N74=3),3,IF(OR($N74=4,$N74=5,$N74=6),4,"")))),IF(OR($N74=9,$N74=10,$N74=11),1,IF(OR($N74=12,$N74=1,$N74=2),2,IF(OR($N74=3,$N74=4,$N74=5),3,IF(OR($N74=6,$N74=7,$N74=8),4,"")))))</f>
        <v/>
      </c>
      <c r="P74" s="445"/>
      <c r="Q74" s="291"/>
      <c r="R74" s="291"/>
      <c r="S74" s="275"/>
      <c r="T74" s="275"/>
      <c r="U74" s="275"/>
      <c r="V74" s="275"/>
      <c r="W74" s="275"/>
      <c r="X74" s="275"/>
      <c r="Y74" s="275"/>
      <c r="Z74" s="275"/>
      <c r="AA74" s="275"/>
      <c r="AB74" s="275"/>
      <c r="AC74" s="275"/>
      <c r="AD74" s="275"/>
      <c r="AE74" s="275"/>
      <c r="AF74" s="275"/>
      <c r="AG74" s="275"/>
      <c r="AH74" s="438"/>
      <c r="AI74" s="439">
        <f t="shared" si="7"/>
        <v>0</v>
      </c>
      <c r="AJ74" s="263"/>
      <c r="AK74" s="263"/>
      <c r="AL74" s="263"/>
      <c r="AM74" s="263"/>
      <c r="AN74" s="263"/>
      <c r="AO74" s="263"/>
      <c r="AP74" s="263"/>
      <c r="AQ74" s="436"/>
      <c r="AR74" s="275"/>
      <c r="AS74" s="275"/>
      <c r="AT74" s="275"/>
      <c r="AU74" s="275"/>
      <c r="AV74" s="275"/>
      <c r="AW74" s="275"/>
      <c r="AX74" s="275"/>
      <c r="AY74" s="437"/>
      <c r="AZ74" s="440">
        <f t="shared" si="8"/>
        <v>0</v>
      </c>
      <c r="BA74" s="275"/>
      <c r="BB74" s="275"/>
      <c r="BC74" s="275"/>
      <c r="BD74" s="275"/>
      <c r="BE74" s="275"/>
      <c r="BF74" s="275"/>
      <c r="BG74" s="275"/>
      <c r="BH74" s="436"/>
      <c r="BI74" s="275"/>
      <c r="BJ74" s="275"/>
      <c r="BK74" s="291"/>
      <c r="BL74" s="291"/>
      <c r="BM74" s="275"/>
      <c r="BN74" s="275"/>
      <c r="BO74" s="438"/>
      <c r="BP74" s="436"/>
      <c r="BQ74" s="275"/>
      <c r="BR74" s="275"/>
      <c r="BS74" s="275"/>
      <c r="BT74" s="275"/>
      <c r="BU74" s="275"/>
      <c r="BV74" s="275"/>
      <c r="BW74" s="275"/>
      <c r="BX74" s="438"/>
      <c r="BY74" s="436"/>
      <c r="BZ74" s="275"/>
      <c r="CA74" s="275"/>
      <c r="CB74" s="275"/>
      <c r="CC74" s="275"/>
      <c r="CD74" s="275"/>
      <c r="CE74" s="275"/>
      <c r="CF74" s="275"/>
      <c r="CG74" s="438"/>
      <c r="CH74" s="436"/>
      <c r="CI74" s="275"/>
      <c r="CJ74" s="275"/>
      <c r="CK74" s="275"/>
      <c r="CL74" s="275"/>
      <c r="CM74" s="275"/>
      <c r="CN74" s="275"/>
      <c r="CO74" s="442"/>
      <c r="CP74" s="443"/>
      <c r="CQ74" s="429">
        <f t="shared" si="9"/>
        <v>0</v>
      </c>
      <c r="CR74" s="430"/>
    </row>
    <row r="75" spans="1:96" ht="25.5" customHeight="1" x14ac:dyDescent="0.2">
      <c r="A75" s="410">
        <f t="shared" si="10"/>
        <v>60</v>
      </c>
      <c r="B75" s="280"/>
      <c r="C75" s="280"/>
      <c r="D75" s="411"/>
      <c r="E75" s="254"/>
      <c r="F75" s="277"/>
      <c r="G75" s="450"/>
      <c r="H75" s="451"/>
      <c r="I75" s="433" t="str">
        <f t="shared" si="4"/>
        <v/>
      </c>
      <c r="J75" s="434">
        <f t="shared" si="5"/>
        <v>0</v>
      </c>
      <c r="K75" s="279"/>
      <c r="L75" s="276"/>
      <c r="M75" s="435"/>
      <c r="N75" s="417" t="str">
        <f t="shared" si="6"/>
        <v/>
      </c>
      <c r="O75" s="418" t="str">
        <f>IF('Data Set up'!$G$40="JUNE",IF(OR($N75=7,$N75=8,$N75=9),1,IF(OR($N75=10,$N75=11,$N75=12),2,IF(OR($N75=1,$N75=2,$N75=3),3,IF(OR($N75=4,$N75=5,$N75=6),4,"")))),IF(OR($N75=9,$N75=10,$N75=11),1,IF(OR($N75=12,$N75=1,$N75=2),2,IF(OR($N75=3,$N75=4,$N75=5),3,IF(OR($N75=6,$N75=7,$N75=8),4,"")))))</f>
        <v/>
      </c>
      <c r="P75" s="445"/>
      <c r="Q75" s="291"/>
      <c r="R75" s="291"/>
      <c r="S75" s="275"/>
      <c r="T75" s="275"/>
      <c r="U75" s="275"/>
      <c r="V75" s="275"/>
      <c r="W75" s="275"/>
      <c r="X75" s="275"/>
      <c r="Y75" s="275"/>
      <c r="Z75" s="275"/>
      <c r="AA75" s="275"/>
      <c r="AB75" s="275"/>
      <c r="AC75" s="275"/>
      <c r="AD75" s="275"/>
      <c r="AE75" s="275"/>
      <c r="AF75" s="275"/>
      <c r="AG75" s="275"/>
      <c r="AH75" s="438"/>
      <c r="AI75" s="439">
        <f t="shared" si="7"/>
        <v>0</v>
      </c>
      <c r="AJ75" s="263"/>
      <c r="AK75" s="263"/>
      <c r="AL75" s="263"/>
      <c r="AM75" s="263"/>
      <c r="AN75" s="263"/>
      <c r="AO75" s="263"/>
      <c r="AP75" s="263"/>
      <c r="AQ75" s="436"/>
      <c r="AR75" s="275"/>
      <c r="AS75" s="275"/>
      <c r="AT75" s="275"/>
      <c r="AU75" s="275"/>
      <c r="AV75" s="275"/>
      <c r="AW75" s="275"/>
      <c r="AX75" s="275"/>
      <c r="AY75" s="437"/>
      <c r="AZ75" s="440">
        <f t="shared" si="8"/>
        <v>0</v>
      </c>
      <c r="BA75" s="275"/>
      <c r="BB75" s="275"/>
      <c r="BC75" s="275"/>
      <c r="BD75" s="275"/>
      <c r="BE75" s="275"/>
      <c r="BF75" s="275"/>
      <c r="BG75" s="275"/>
      <c r="BH75" s="436"/>
      <c r="BI75" s="275"/>
      <c r="BJ75" s="275"/>
      <c r="BK75" s="291"/>
      <c r="BL75" s="291"/>
      <c r="BM75" s="275"/>
      <c r="BN75" s="275"/>
      <c r="BO75" s="438"/>
      <c r="BP75" s="436"/>
      <c r="BQ75" s="275"/>
      <c r="BR75" s="275"/>
      <c r="BS75" s="275"/>
      <c r="BT75" s="275"/>
      <c r="BU75" s="275"/>
      <c r="BV75" s="275"/>
      <c r="BW75" s="275"/>
      <c r="BX75" s="438"/>
      <c r="BY75" s="436"/>
      <c r="BZ75" s="275"/>
      <c r="CA75" s="275"/>
      <c r="CB75" s="275"/>
      <c r="CC75" s="275"/>
      <c r="CD75" s="275"/>
      <c r="CE75" s="275"/>
      <c r="CF75" s="275"/>
      <c r="CG75" s="438"/>
      <c r="CH75" s="436"/>
      <c r="CI75" s="275"/>
      <c r="CJ75" s="275"/>
      <c r="CK75" s="275"/>
      <c r="CL75" s="275"/>
      <c r="CM75" s="275"/>
      <c r="CN75" s="275"/>
      <c r="CO75" s="442"/>
      <c r="CP75" s="443"/>
      <c r="CQ75" s="429">
        <f t="shared" si="9"/>
        <v>0</v>
      </c>
      <c r="CR75" s="430"/>
    </row>
    <row r="76" spans="1:96" ht="25.5" customHeight="1" x14ac:dyDescent="0.2">
      <c r="A76" s="410">
        <f t="shared" si="10"/>
        <v>61</v>
      </c>
      <c r="B76" s="280"/>
      <c r="C76" s="280"/>
      <c r="D76" s="411"/>
      <c r="E76" s="254"/>
      <c r="F76" s="277"/>
      <c r="G76" s="450"/>
      <c r="H76" s="451"/>
      <c r="I76" s="433" t="str">
        <f t="shared" si="4"/>
        <v/>
      </c>
      <c r="J76" s="434">
        <f t="shared" si="5"/>
        <v>0</v>
      </c>
      <c r="K76" s="279"/>
      <c r="L76" s="276"/>
      <c r="M76" s="435"/>
      <c r="N76" s="417" t="str">
        <f t="shared" si="6"/>
        <v/>
      </c>
      <c r="O76" s="418" t="str">
        <f>IF('Data Set up'!$G$40="JUNE",IF(OR($N76=7,$N76=8,$N76=9),1,IF(OR($N76=10,$N76=11,$N76=12),2,IF(OR($N76=1,$N76=2,$N76=3),3,IF(OR($N76=4,$N76=5,$N76=6),4,"")))),IF(OR($N76=9,$N76=10,$N76=11),1,IF(OR($N76=12,$N76=1,$N76=2),2,IF(OR($N76=3,$N76=4,$N76=5),3,IF(OR($N76=6,$N76=7,$N76=8),4,"")))))</f>
        <v/>
      </c>
      <c r="P76" s="445"/>
      <c r="Q76" s="291"/>
      <c r="R76" s="291"/>
      <c r="S76" s="275"/>
      <c r="T76" s="275"/>
      <c r="U76" s="275"/>
      <c r="V76" s="275"/>
      <c r="W76" s="275"/>
      <c r="X76" s="275"/>
      <c r="Y76" s="275"/>
      <c r="Z76" s="275"/>
      <c r="AA76" s="275"/>
      <c r="AB76" s="275"/>
      <c r="AC76" s="275"/>
      <c r="AD76" s="275"/>
      <c r="AE76" s="275"/>
      <c r="AF76" s="275"/>
      <c r="AG76" s="275"/>
      <c r="AH76" s="438"/>
      <c r="AI76" s="439">
        <f t="shared" si="7"/>
        <v>0</v>
      </c>
      <c r="AJ76" s="263"/>
      <c r="AK76" s="263"/>
      <c r="AL76" s="263"/>
      <c r="AM76" s="263"/>
      <c r="AN76" s="263"/>
      <c r="AO76" s="263"/>
      <c r="AP76" s="263"/>
      <c r="AQ76" s="436"/>
      <c r="AR76" s="275"/>
      <c r="AS76" s="275"/>
      <c r="AT76" s="275"/>
      <c r="AU76" s="275"/>
      <c r="AV76" s="275"/>
      <c r="AW76" s="275"/>
      <c r="AX76" s="275"/>
      <c r="AY76" s="437"/>
      <c r="AZ76" s="440">
        <f t="shared" si="8"/>
        <v>0</v>
      </c>
      <c r="BA76" s="275"/>
      <c r="BB76" s="275"/>
      <c r="BC76" s="275"/>
      <c r="BD76" s="275"/>
      <c r="BE76" s="275"/>
      <c r="BF76" s="275"/>
      <c r="BG76" s="275"/>
      <c r="BH76" s="436"/>
      <c r="BI76" s="275"/>
      <c r="BJ76" s="275"/>
      <c r="BK76" s="291"/>
      <c r="BL76" s="291"/>
      <c r="BM76" s="275"/>
      <c r="BN76" s="275"/>
      <c r="BO76" s="438"/>
      <c r="BP76" s="436"/>
      <c r="BQ76" s="275"/>
      <c r="BR76" s="275"/>
      <c r="BS76" s="275"/>
      <c r="BT76" s="275"/>
      <c r="BU76" s="275"/>
      <c r="BV76" s="275"/>
      <c r="BW76" s="275"/>
      <c r="BX76" s="438"/>
      <c r="BY76" s="436"/>
      <c r="BZ76" s="275"/>
      <c r="CA76" s="275"/>
      <c r="CB76" s="275"/>
      <c r="CC76" s="275"/>
      <c r="CD76" s="275"/>
      <c r="CE76" s="275"/>
      <c r="CF76" s="275"/>
      <c r="CG76" s="438"/>
      <c r="CH76" s="436"/>
      <c r="CI76" s="275"/>
      <c r="CJ76" s="275"/>
      <c r="CK76" s="275"/>
      <c r="CL76" s="275"/>
      <c r="CM76" s="275"/>
      <c r="CN76" s="275"/>
      <c r="CO76" s="442"/>
      <c r="CP76" s="443"/>
      <c r="CQ76" s="429">
        <f t="shared" si="9"/>
        <v>0</v>
      </c>
      <c r="CR76" s="430"/>
    </row>
    <row r="77" spans="1:96" ht="25.5" customHeight="1" x14ac:dyDescent="0.2">
      <c r="A77" s="410">
        <f t="shared" si="10"/>
        <v>62</v>
      </c>
      <c r="B77" s="280"/>
      <c r="C77" s="280"/>
      <c r="D77" s="411"/>
      <c r="E77" s="254"/>
      <c r="F77" s="277"/>
      <c r="G77" s="450"/>
      <c r="H77" s="451"/>
      <c r="I77" s="433" t="str">
        <f t="shared" si="4"/>
        <v/>
      </c>
      <c r="J77" s="434">
        <f t="shared" si="5"/>
        <v>0</v>
      </c>
      <c r="K77" s="279"/>
      <c r="L77" s="276"/>
      <c r="M77" s="435"/>
      <c r="N77" s="417" t="str">
        <f t="shared" si="6"/>
        <v/>
      </c>
      <c r="O77" s="418" t="str">
        <f>IF('Data Set up'!$G$40="JUNE",IF(OR($N77=7,$N77=8,$N77=9),1,IF(OR($N77=10,$N77=11,$N77=12),2,IF(OR($N77=1,$N77=2,$N77=3),3,IF(OR($N77=4,$N77=5,$N77=6),4,"")))),IF(OR($N77=9,$N77=10,$N77=11),1,IF(OR($N77=12,$N77=1,$N77=2),2,IF(OR($N77=3,$N77=4,$N77=5),3,IF(OR($N77=6,$N77=7,$N77=8),4,"")))))</f>
        <v/>
      </c>
      <c r="P77" s="445"/>
      <c r="Q77" s="291"/>
      <c r="R77" s="291"/>
      <c r="S77" s="275"/>
      <c r="T77" s="275"/>
      <c r="U77" s="275"/>
      <c r="V77" s="275"/>
      <c r="W77" s="275"/>
      <c r="X77" s="275"/>
      <c r="Y77" s="275"/>
      <c r="Z77" s="275"/>
      <c r="AA77" s="275"/>
      <c r="AB77" s="275"/>
      <c r="AC77" s="275"/>
      <c r="AD77" s="275"/>
      <c r="AE77" s="275"/>
      <c r="AF77" s="275"/>
      <c r="AG77" s="275"/>
      <c r="AH77" s="438"/>
      <c r="AI77" s="439">
        <f t="shared" si="7"/>
        <v>0</v>
      </c>
      <c r="AJ77" s="263"/>
      <c r="AK77" s="263"/>
      <c r="AL77" s="263"/>
      <c r="AM77" s="263"/>
      <c r="AN77" s="263"/>
      <c r="AO77" s="263"/>
      <c r="AP77" s="263"/>
      <c r="AQ77" s="436"/>
      <c r="AR77" s="275"/>
      <c r="AS77" s="275"/>
      <c r="AT77" s="275"/>
      <c r="AU77" s="275"/>
      <c r="AV77" s="275"/>
      <c r="AW77" s="275"/>
      <c r="AX77" s="275"/>
      <c r="AY77" s="437"/>
      <c r="AZ77" s="440">
        <f t="shared" si="8"/>
        <v>0</v>
      </c>
      <c r="BA77" s="275"/>
      <c r="BB77" s="275"/>
      <c r="BC77" s="275"/>
      <c r="BD77" s="275"/>
      <c r="BE77" s="275"/>
      <c r="BF77" s="275"/>
      <c r="BG77" s="275"/>
      <c r="BH77" s="436"/>
      <c r="BI77" s="275"/>
      <c r="BJ77" s="275"/>
      <c r="BK77" s="291"/>
      <c r="BL77" s="291"/>
      <c r="BM77" s="275"/>
      <c r="BN77" s="275"/>
      <c r="BO77" s="438"/>
      <c r="BP77" s="436"/>
      <c r="BQ77" s="275"/>
      <c r="BR77" s="275"/>
      <c r="BS77" s="275"/>
      <c r="BT77" s="275"/>
      <c r="BU77" s="275"/>
      <c r="BV77" s="275"/>
      <c r="BW77" s="275"/>
      <c r="BX77" s="438"/>
      <c r="BY77" s="436"/>
      <c r="BZ77" s="275"/>
      <c r="CA77" s="275"/>
      <c r="CB77" s="275"/>
      <c r="CC77" s="275"/>
      <c r="CD77" s="275"/>
      <c r="CE77" s="275"/>
      <c r="CF77" s="275"/>
      <c r="CG77" s="438"/>
      <c r="CH77" s="436"/>
      <c r="CI77" s="275"/>
      <c r="CJ77" s="275"/>
      <c r="CK77" s="275"/>
      <c r="CL77" s="275"/>
      <c r="CM77" s="275"/>
      <c r="CN77" s="275"/>
      <c r="CO77" s="442"/>
      <c r="CP77" s="443"/>
      <c r="CQ77" s="429">
        <f t="shared" si="9"/>
        <v>0</v>
      </c>
      <c r="CR77" s="430"/>
    </row>
    <row r="78" spans="1:96" ht="25.5" customHeight="1" x14ac:dyDescent="0.2">
      <c r="A78" s="410">
        <f t="shared" si="10"/>
        <v>63</v>
      </c>
      <c r="B78" s="280"/>
      <c r="C78" s="280"/>
      <c r="D78" s="411"/>
      <c r="E78" s="254"/>
      <c r="F78" s="277"/>
      <c r="G78" s="450"/>
      <c r="H78" s="451"/>
      <c r="I78" s="433" t="str">
        <f t="shared" si="4"/>
        <v/>
      </c>
      <c r="J78" s="434">
        <f t="shared" si="5"/>
        <v>0</v>
      </c>
      <c r="K78" s="279"/>
      <c r="L78" s="276"/>
      <c r="M78" s="435"/>
      <c r="N78" s="417" t="str">
        <f t="shared" si="6"/>
        <v/>
      </c>
      <c r="O78" s="418" t="str">
        <f>IF('Data Set up'!$G$40="JUNE",IF(OR($N78=7,$N78=8,$N78=9),1,IF(OR($N78=10,$N78=11,$N78=12),2,IF(OR($N78=1,$N78=2,$N78=3),3,IF(OR($N78=4,$N78=5,$N78=6),4,"")))),IF(OR($N78=9,$N78=10,$N78=11),1,IF(OR($N78=12,$N78=1,$N78=2),2,IF(OR($N78=3,$N78=4,$N78=5),3,IF(OR($N78=6,$N78=7,$N78=8),4,"")))))</f>
        <v/>
      </c>
      <c r="P78" s="445"/>
      <c r="Q78" s="291"/>
      <c r="R78" s="291"/>
      <c r="S78" s="275"/>
      <c r="T78" s="275"/>
      <c r="U78" s="275"/>
      <c r="V78" s="275"/>
      <c r="W78" s="275"/>
      <c r="X78" s="275"/>
      <c r="Y78" s="275"/>
      <c r="Z78" s="275"/>
      <c r="AA78" s="275"/>
      <c r="AB78" s="275"/>
      <c r="AC78" s="275"/>
      <c r="AD78" s="275"/>
      <c r="AE78" s="275"/>
      <c r="AF78" s="275"/>
      <c r="AG78" s="275"/>
      <c r="AH78" s="438"/>
      <c r="AI78" s="439">
        <f t="shared" si="7"/>
        <v>0</v>
      </c>
      <c r="AJ78" s="263"/>
      <c r="AK78" s="263"/>
      <c r="AL78" s="263"/>
      <c r="AM78" s="263"/>
      <c r="AN78" s="263"/>
      <c r="AO78" s="263"/>
      <c r="AP78" s="263"/>
      <c r="AQ78" s="436"/>
      <c r="AR78" s="275"/>
      <c r="AS78" s="275"/>
      <c r="AT78" s="275"/>
      <c r="AU78" s="275"/>
      <c r="AV78" s="275"/>
      <c r="AW78" s="275"/>
      <c r="AX78" s="275"/>
      <c r="AY78" s="437"/>
      <c r="AZ78" s="440">
        <f t="shared" si="8"/>
        <v>0</v>
      </c>
      <c r="BA78" s="275"/>
      <c r="BB78" s="275"/>
      <c r="BC78" s="275"/>
      <c r="BD78" s="275"/>
      <c r="BE78" s="275"/>
      <c r="BF78" s="275"/>
      <c r="BG78" s="275"/>
      <c r="BH78" s="436"/>
      <c r="BI78" s="275"/>
      <c r="BJ78" s="275"/>
      <c r="BK78" s="291"/>
      <c r="BL78" s="291"/>
      <c r="BM78" s="275"/>
      <c r="BN78" s="275"/>
      <c r="BO78" s="438"/>
      <c r="BP78" s="436"/>
      <c r="BQ78" s="275"/>
      <c r="BR78" s="275"/>
      <c r="BS78" s="275"/>
      <c r="BT78" s="275"/>
      <c r="BU78" s="275"/>
      <c r="BV78" s="275"/>
      <c r="BW78" s="275"/>
      <c r="BX78" s="438"/>
      <c r="BY78" s="436"/>
      <c r="BZ78" s="275"/>
      <c r="CA78" s="275"/>
      <c r="CB78" s="275"/>
      <c r="CC78" s="275"/>
      <c r="CD78" s="275"/>
      <c r="CE78" s="275"/>
      <c r="CF78" s="275"/>
      <c r="CG78" s="438"/>
      <c r="CH78" s="436"/>
      <c r="CI78" s="275"/>
      <c r="CJ78" s="275"/>
      <c r="CK78" s="275"/>
      <c r="CL78" s="275"/>
      <c r="CM78" s="275"/>
      <c r="CN78" s="275"/>
      <c r="CO78" s="442"/>
      <c r="CP78" s="443"/>
      <c r="CQ78" s="429">
        <f t="shared" si="9"/>
        <v>0</v>
      </c>
      <c r="CR78" s="430"/>
    </row>
    <row r="79" spans="1:96" ht="25.5" customHeight="1" x14ac:dyDescent="0.2">
      <c r="A79" s="410">
        <f t="shared" si="10"/>
        <v>64</v>
      </c>
      <c r="B79" s="280"/>
      <c r="C79" s="280"/>
      <c r="D79" s="411"/>
      <c r="E79" s="254"/>
      <c r="F79" s="277"/>
      <c r="G79" s="450"/>
      <c r="H79" s="451"/>
      <c r="I79" s="433" t="str">
        <f t="shared" si="4"/>
        <v/>
      </c>
      <c r="J79" s="434">
        <f t="shared" si="5"/>
        <v>0</v>
      </c>
      <c r="K79" s="279"/>
      <c r="L79" s="276"/>
      <c r="M79" s="435"/>
      <c r="N79" s="417" t="str">
        <f t="shared" si="6"/>
        <v/>
      </c>
      <c r="O79" s="418" t="str">
        <f>IF('Data Set up'!$G$40="JUNE",IF(OR($N79=7,$N79=8,$N79=9),1,IF(OR($N79=10,$N79=11,$N79=12),2,IF(OR($N79=1,$N79=2,$N79=3),3,IF(OR($N79=4,$N79=5,$N79=6),4,"")))),IF(OR($N79=9,$N79=10,$N79=11),1,IF(OR($N79=12,$N79=1,$N79=2),2,IF(OR($N79=3,$N79=4,$N79=5),3,IF(OR($N79=6,$N79=7,$N79=8),4,"")))))</f>
        <v/>
      </c>
      <c r="P79" s="436"/>
      <c r="Q79" s="275"/>
      <c r="R79" s="275"/>
      <c r="S79" s="275"/>
      <c r="T79" s="275"/>
      <c r="U79" s="275"/>
      <c r="V79" s="275"/>
      <c r="W79" s="275"/>
      <c r="X79" s="275"/>
      <c r="Y79" s="275"/>
      <c r="Z79" s="275"/>
      <c r="AA79" s="275"/>
      <c r="AB79" s="275"/>
      <c r="AC79" s="275"/>
      <c r="AD79" s="275"/>
      <c r="AE79" s="275"/>
      <c r="AF79" s="275"/>
      <c r="AG79" s="275"/>
      <c r="AH79" s="438"/>
      <c r="AI79" s="439">
        <f t="shared" si="7"/>
        <v>0</v>
      </c>
      <c r="AJ79" s="263"/>
      <c r="AK79" s="263"/>
      <c r="AL79" s="263"/>
      <c r="AM79" s="263"/>
      <c r="AN79" s="263"/>
      <c r="AO79" s="263"/>
      <c r="AP79" s="263"/>
      <c r="AQ79" s="436"/>
      <c r="AR79" s="275"/>
      <c r="AS79" s="275"/>
      <c r="AT79" s="275"/>
      <c r="AU79" s="275"/>
      <c r="AV79" s="275"/>
      <c r="AW79" s="275"/>
      <c r="AX79" s="275"/>
      <c r="AY79" s="437"/>
      <c r="AZ79" s="440">
        <f t="shared" si="8"/>
        <v>0</v>
      </c>
      <c r="BA79" s="275"/>
      <c r="BB79" s="275"/>
      <c r="BC79" s="275"/>
      <c r="BD79" s="275"/>
      <c r="BE79" s="275"/>
      <c r="BF79" s="275"/>
      <c r="BG79" s="275"/>
      <c r="BH79" s="436"/>
      <c r="BI79" s="275"/>
      <c r="BJ79" s="275"/>
      <c r="BK79" s="291"/>
      <c r="BL79" s="291"/>
      <c r="BM79" s="275"/>
      <c r="BN79" s="275"/>
      <c r="BO79" s="438"/>
      <c r="BP79" s="436"/>
      <c r="BQ79" s="275"/>
      <c r="BR79" s="275"/>
      <c r="BS79" s="275"/>
      <c r="BT79" s="275"/>
      <c r="BU79" s="275"/>
      <c r="BV79" s="275"/>
      <c r="BW79" s="275"/>
      <c r="BX79" s="438"/>
      <c r="BY79" s="436"/>
      <c r="BZ79" s="275"/>
      <c r="CA79" s="275"/>
      <c r="CB79" s="275"/>
      <c r="CC79" s="275"/>
      <c r="CD79" s="275"/>
      <c r="CE79" s="275"/>
      <c r="CF79" s="275"/>
      <c r="CG79" s="438"/>
      <c r="CH79" s="436"/>
      <c r="CI79" s="275"/>
      <c r="CJ79" s="275"/>
      <c r="CK79" s="275"/>
      <c r="CL79" s="275"/>
      <c r="CM79" s="275"/>
      <c r="CN79" s="275"/>
      <c r="CO79" s="442"/>
      <c r="CP79" s="443"/>
      <c r="CQ79" s="429">
        <f t="shared" si="9"/>
        <v>0</v>
      </c>
      <c r="CR79" s="430"/>
    </row>
    <row r="80" spans="1:96" ht="25.5" customHeight="1" x14ac:dyDescent="0.2">
      <c r="A80" s="410">
        <f t="shared" si="10"/>
        <v>65</v>
      </c>
      <c r="B80" s="280"/>
      <c r="C80" s="280"/>
      <c r="D80" s="411"/>
      <c r="E80" s="254"/>
      <c r="F80" s="277"/>
      <c r="G80" s="450"/>
      <c r="H80" s="451"/>
      <c r="I80" s="433" t="str">
        <f t="shared" ref="I80:I143" si="11">LEFT(H80,4)</f>
        <v/>
      </c>
      <c r="J80" s="434">
        <f t="shared" ref="J80:J143" si="12">G80-CQ80</f>
        <v>0</v>
      </c>
      <c r="K80" s="279"/>
      <c r="L80" s="276"/>
      <c r="M80" s="435"/>
      <c r="N80" s="417" t="str">
        <f t="shared" ref="N80:N143" si="13">IF($E80="","",MONTH($E80))</f>
        <v/>
      </c>
      <c r="O80" s="418" t="str">
        <f>IF('Data Set up'!$G$40="JUNE",IF(OR($N80=7,$N80=8,$N80=9),1,IF(OR($N80=10,$N80=11,$N80=12),2,IF(OR($N80=1,$N80=2,$N80=3),3,IF(OR($N80=4,$N80=5,$N80=6),4,"")))),IF(OR($N80=9,$N80=10,$N80=11),1,IF(OR($N80=12,$N80=1,$N80=2),2,IF(OR($N80=3,$N80=4,$N80=5),3,IF(OR($N80=6,$N80=7,$N80=8),4,"")))))</f>
        <v/>
      </c>
      <c r="P80" s="436"/>
      <c r="Q80" s="275"/>
      <c r="R80" s="275"/>
      <c r="S80" s="275"/>
      <c r="T80" s="275"/>
      <c r="U80" s="275"/>
      <c r="V80" s="275"/>
      <c r="W80" s="275"/>
      <c r="X80" s="275"/>
      <c r="Y80" s="275"/>
      <c r="Z80" s="275"/>
      <c r="AA80" s="275"/>
      <c r="AB80" s="275"/>
      <c r="AC80" s="275"/>
      <c r="AD80" s="275"/>
      <c r="AE80" s="275"/>
      <c r="AF80" s="275"/>
      <c r="AG80" s="275"/>
      <c r="AH80" s="438"/>
      <c r="AI80" s="439">
        <f t="shared" ref="AI80:AI143" si="14">SUM(AJ80:AP80)</f>
        <v>0</v>
      </c>
      <c r="AJ80" s="263"/>
      <c r="AK80" s="263"/>
      <c r="AL80" s="263"/>
      <c r="AM80" s="263"/>
      <c r="AN80" s="263"/>
      <c r="AO80" s="263"/>
      <c r="AP80" s="263"/>
      <c r="AQ80" s="436"/>
      <c r="AR80" s="275"/>
      <c r="AS80" s="275"/>
      <c r="AT80" s="275"/>
      <c r="AU80" s="275"/>
      <c r="AV80" s="275"/>
      <c r="AW80" s="275"/>
      <c r="AX80" s="275"/>
      <c r="AY80" s="437"/>
      <c r="AZ80" s="440">
        <f t="shared" ref="AZ80:AZ143" si="15">SUM(BA80:BG80)</f>
        <v>0</v>
      </c>
      <c r="BA80" s="275"/>
      <c r="BB80" s="275"/>
      <c r="BC80" s="275"/>
      <c r="BD80" s="275"/>
      <c r="BE80" s="275"/>
      <c r="BF80" s="275"/>
      <c r="BG80" s="275"/>
      <c r="BH80" s="436"/>
      <c r="BI80" s="275"/>
      <c r="BJ80" s="275"/>
      <c r="BK80" s="291"/>
      <c r="BL80" s="291"/>
      <c r="BM80" s="275"/>
      <c r="BN80" s="275"/>
      <c r="BO80" s="438"/>
      <c r="BP80" s="436"/>
      <c r="BQ80" s="275"/>
      <c r="BR80" s="275"/>
      <c r="BS80" s="275"/>
      <c r="BT80" s="275"/>
      <c r="BU80" s="275"/>
      <c r="BV80" s="275"/>
      <c r="BW80" s="275"/>
      <c r="BX80" s="438"/>
      <c r="BY80" s="436"/>
      <c r="BZ80" s="275"/>
      <c r="CA80" s="275"/>
      <c r="CB80" s="275"/>
      <c r="CC80" s="275"/>
      <c r="CD80" s="275"/>
      <c r="CE80" s="275"/>
      <c r="CF80" s="275"/>
      <c r="CG80" s="438"/>
      <c r="CH80" s="436"/>
      <c r="CI80" s="275"/>
      <c r="CJ80" s="275"/>
      <c r="CK80" s="275"/>
      <c r="CL80" s="275"/>
      <c r="CM80" s="275"/>
      <c r="CN80" s="275"/>
      <c r="CO80" s="442"/>
      <c r="CP80" s="443"/>
      <c r="CQ80" s="429">
        <f t="shared" ref="CQ80:CQ143" si="16">SUM(P80:AI80,AQ80:AZ80,BH80:CP80)</f>
        <v>0</v>
      </c>
      <c r="CR80" s="430"/>
    </row>
    <row r="81" spans="1:96" ht="25.5" customHeight="1" x14ac:dyDescent="0.2">
      <c r="A81" s="410">
        <f t="shared" ref="A81:A144" si="17">$A80+1</f>
        <v>66</v>
      </c>
      <c r="B81" s="280"/>
      <c r="C81" s="280"/>
      <c r="D81" s="411"/>
      <c r="E81" s="254"/>
      <c r="F81" s="277"/>
      <c r="G81" s="450"/>
      <c r="H81" s="451"/>
      <c r="I81" s="433" t="str">
        <f t="shared" si="11"/>
        <v/>
      </c>
      <c r="J81" s="434">
        <f t="shared" si="12"/>
        <v>0</v>
      </c>
      <c r="K81" s="279"/>
      <c r="L81" s="276"/>
      <c r="M81" s="435"/>
      <c r="N81" s="417" t="str">
        <f t="shared" si="13"/>
        <v/>
      </c>
      <c r="O81" s="418" t="str">
        <f>IF('Data Set up'!$G$40="JUNE",IF(OR($N81=7,$N81=8,$N81=9),1,IF(OR($N81=10,$N81=11,$N81=12),2,IF(OR($N81=1,$N81=2,$N81=3),3,IF(OR($N81=4,$N81=5,$N81=6),4,"")))),IF(OR($N81=9,$N81=10,$N81=11),1,IF(OR($N81=12,$N81=1,$N81=2),2,IF(OR($N81=3,$N81=4,$N81=5),3,IF(OR($N81=6,$N81=7,$N81=8),4,"")))))</f>
        <v/>
      </c>
      <c r="P81" s="436"/>
      <c r="Q81" s="275"/>
      <c r="R81" s="275"/>
      <c r="S81" s="275"/>
      <c r="T81" s="275"/>
      <c r="U81" s="275"/>
      <c r="V81" s="275"/>
      <c r="W81" s="275"/>
      <c r="X81" s="275"/>
      <c r="Y81" s="275"/>
      <c r="Z81" s="275"/>
      <c r="AA81" s="275"/>
      <c r="AB81" s="275"/>
      <c r="AC81" s="275"/>
      <c r="AD81" s="275"/>
      <c r="AE81" s="275"/>
      <c r="AF81" s="275"/>
      <c r="AG81" s="275"/>
      <c r="AH81" s="438"/>
      <c r="AI81" s="439">
        <f t="shared" si="14"/>
        <v>0</v>
      </c>
      <c r="AJ81" s="263"/>
      <c r="AK81" s="263"/>
      <c r="AL81" s="263"/>
      <c r="AM81" s="263"/>
      <c r="AN81" s="263"/>
      <c r="AO81" s="263"/>
      <c r="AP81" s="263"/>
      <c r="AQ81" s="436"/>
      <c r="AR81" s="275"/>
      <c r="AS81" s="275"/>
      <c r="AT81" s="275"/>
      <c r="AU81" s="275"/>
      <c r="AV81" s="275"/>
      <c r="AW81" s="275"/>
      <c r="AX81" s="275"/>
      <c r="AY81" s="437"/>
      <c r="AZ81" s="440">
        <f t="shared" si="15"/>
        <v>0</v>
      </c>
      <c r="BA81" s="275"/>
      <c r="BB81" s="275"/>
      <c r="BC81" s="275"/>
      <c r="BD81" s="275"/>
      <c r="BE81" s="275"/>
      <c r="BF81" s="275"/>
      <c r="BG81" s="275"/>
      <c r="BH81" s="436"/>
      <c r="BI81" s="275"/>
      <c r="BJ81" s="275"/>
      <c r="BK81" s="291"/>
      <c r="BL81" s="291"/>
      <c r="BM81" s="275"/>
      <c r="BN81" s="275"/>
      <c r="BO81" s="438"/>
      <c r="BP81" s="436"/>
      <c r="BQ81" s="275"/>
      <c r="BR81" s="275"/>
      <c r="BS81" s="275"/>
      <c r="BT81" s="275"/>
      <c r="BU81" s="275"/>
      <c r="BV81" s="275"/>
      <c r="BW81" s="275"/>
      <c r="BX81" s="438"/>
      <c r="BY81" s="436"/>
      <c r="BZ81" s="275"/>
      <c r="CA81" s="275"/>
      <c r="CB81" s="275"/>
      <c r="CC81" s="275"/>
      <c r="CD81" s="275"/>
      <c r="CE81" s="275"/>
      <c r="CF81" s="275"/>
      <c r="CG81" s="438"/>
      <c r="CH81" s="436"/>
      <c r="CI81" s="275"/>
      <c r="CJ81" s="275"/>
      <c r="CK81" s="275"/>
      <c r="CL81" s="275"/>
      <c r="CM81" s="275"/>
      <c r="CN81" s="275"/>
      <c r="CO81" s="442"/>
      <c r="CP81" s="443"/>
      <c r="CQ81" s="429">
        <f t="shared" si="16"/>
        <v>0</v>
      </c>
      <c r="CR81" s="430"/>
    </row>
    <row r="82" spans="1:96" ht="25.5" customHeight="1" x14ac:dyDescent="0.2">
      <c r="A82" s="410">
        <f t="shared" si="17"/>
        <v>67</v>
      </c>
      <c r="B82" s="280"/>
      <c r="C82" s="280"/>
      <c r="D82" s="411"/>
      <c r="E82" s="254"/>
      <c r="F82" s="277"/>
      <c r="G82" s="450"/>
      <c r="H82" s="451"/>
      <c r="I82" s="433" t="str">
        <f t="shared" si="11"/>
        <v/>
      </c>
      <c r="J82" s="434">
        <f t="shared" si="12"/>
        <v>0</v>
      </c>
      <c r="K82" s="279"/>
      <c r="L82" s="276"/>
      <c r="M82" s="435"/>
      <c r="N82" s="417" t="str">
        <f t="shared" si="13"/>
        <v/>
      </c>
      <c r="O82" s="418" t="str">
        <f>IF('Data Set up'!$G$40="JUNE",IF(OR($N82=7,$N82=8,$N82=9),1,IF(OR($N82=10,$N82=11,$N82=12),2,IF(OR($N82=1,$N82=2,$N82=3),3,IF(OR($N82=4,$N82=5,$N82=6),4,"")))),IF(OR($N82=9,$N82=10,$N82=11),1,IF(OR($N82=12,$N82=1,$N82=2),2,IF(OR($N82=3,$N82=4,$N82=5),3,IF(OR($N82=6,$N82=7,$N82=8),4,"")))))</f>
        <v/>
      </c>
      <c r="P82" s="436"/>
      <c r="Q82" s="275"/>
      <c r="R82" s="275"/>
      <c r="S82" s="275"/>
      <c r="T82" s="275"/>
      <c r="U82" s="275"/>
      <c r="V82" s="275"/>
      <c r="W82" s="275"/>
      <c r="X82" s="275"/>
      <c r="Y82" s="275"/>
      <c r="Z82" s="275"/>
      <c r="AA82" s="275"/>
      <c r="AB82" s="275"/>
      <c r="AC82" s="275"/>
      <c r="AD82" s="275"/>
      <c r="AE82" s="275"/>
      <c r="AF82" s="275"/>
      <c r="AG82" s="275"/>
      <c r="AH82" s="438"/>
      <c r="AI82" s="439">
        <f t="shared" si="14"/>
        <v>0</v>
      </c>
      <c r="AJ82" s="263"/>
      <c r="AK82" s="263"/>
      <c r="AL82" s="263"/>
      <c r="AM82" s="263"/>
      <c r="AN82" s="263"/>
      <c r="AO82" s="263"/>
      <c r="AP82" s="263"/>
      <c r="AQ82" s="436"/>
      <c r="AR82" s="275"/>
      <c r="AS82" s="275"/>
      <c r="AT82" s="275"/>
      <c r="AU82" s="275"/>
      <c r="AV82" s="275"/>
      <c r="AW82" s="275"/>
      <c r="AX82" s="275"/>
      <c r="AY82" s="437"/>
      <c r="AZ82" s="440">
        <f t="shared" si="15"/>
        <v>0</v>
      </c>
      <c r="BA82" s="275"/>
      <c r="BB82" s="275"/>
      <c r="BC82" s="275"/>
      <c r="BD82" s="275"/>
      <c r="BE82" s="275"/>
      <c r="BF82" s="275"/>
      <c r="BG82" s="275"/>
      <c r="BH82" s="436"/>
      <c r="BI82" s="275"/>
      <c r="BJ82" s="275"/>
      <c r="BK82" s="291"/>
      <c r="BL82" s="291"/>
      <c r="BM82" s="275"/>
      <c r="BN82" s="275"/>
      <c r="BO82" s="438"/>
      <c r="BP82" s="436"/>
      <c r="BQ82" s="275"/>
      <c r="BR82" s="275"/>
      <c r="BS82" s="275"/>
      <c r="BT82" s="275"/>
      <c r="BU82" s="275"/>
      <c r="BV82" s="275"/>
      <c r="BW82" s="275"/>
      <c r="BX82" s="438"/>
      <c r="BY82" s="436"/>
      <c r="BZ82" s="275"/>
      <c r="CA82" s="275"/>
      <c r="CB82" s="275"/>
      <c r="CC82" s="275"/>
      <c r="CD82" s="275"/>
      <c r="CE82" s="275"/>
      <c r="CF82" s="275"/>
      <c r="CG82" s="438"/>
      <c r="CH82" s="436"/>
      <c r="CI82" s="275"/>
      <c r="CJ82" s="275"/>
      <c r="CK82" s="275"/>
      <c r="CL82" s="275"/>
      <c r="CM82" s="275"/>
      <c r="CN82" s="275"/>
      <c r="CO82" s="442"/>
      <c r="CP82" s="443"/>
      <c r="CQ82" s="429">
        <f t="shared" si="16"/>
        <v>0</v>
      </c>
      <c r="CR82" s="430"/>
    </row>
    <row r="83" spans="1:96" ht="25.5" customHeight="1" x14ac:dyDescent="0.2">
      <c r="A83" s="410">
        <f t="shared" si="17"/>
        <v>68</v>
      </c>
      <c r="B83" s="280"/>
      <c r="C83" s="280"/>
      <c r="D83" s="411"/>
      <c r="E83" s="254"/>
      <c r="F83" s="277"/>
      <c r="G83" s="450"/>
      <c r="H83" s="451"/>
      <c r="I83" s="433" t="str">
        <f t="shared" si="11"/>
        <v/>
      </c>
      <c r="J83" s="434">
        <f t="shared" si="12"/>
        <v>0</v>
      </c>
      <c r="K83" s="279"/>
      <c r="L83" s="276"/>
      <c r="M83" s="435"/>
      <c r="N83" s="417" t="str">
        <f t="shared" si="13"/>
        <v/>
      </c>
      <c r="O83" s="418" t="str">
        <f>IF('Data Set up'!$G$40="JUNE",IF(OR($N83=7,$N83=8,$N83=9),1,IF(OR($N83=10,$N83=11,$N83=12),2,IF(OR($N83=1,$N83=2,$N83=3),3,IF(OR($N83=4,$N83=5,$N83=6),4,"")))),IF(OR($N83=9,$N83=10,$N83=11),1,IF(OR($N83=12,$N83=1,$N83=2),2,IF(OR($N83=3,$N83=4,$N83=5),3,IF(OR($N83=6,$N83=7,$N83=8),4,"")))))</f>
        <v/>
      </c>
      <c r="P83" s="436"/>
      <c r="Q83" s="275"/>
      <c r="R83" s="275"/>
      <c r="S83" s="275"/>
      <c r="T83" s="275"/>
      <c r="U83" s="275"/>
      <c r="V83" s="275"/>
      <c r="W83" s="275"/>
      <c r="X83" s="275"/>
      <c r="Y83" s="275"/>
      <c r="Z83" s="275"/>
      <c r="AA83" s="275"/>
      <c r="AB83" s="275"/>
      <c r="AC83" s="275"/>
      <c r="AD83" s="275"/>
      <c r="AE83" s="275"/>
      <c r="AF83" s="275"/>
      <c r="AG83" s="275"/>
      <c r="AH83" s="438"/>
      <c r="AI83" s="439">
        <f t="shared" si="14"/>
        <v>0</v>
      </c>
      <c r="AJ83" s="263"/>
      <c r="AK83" s="263"/>
      <c r="AL83" s="263"/>
      <c r="AM83" s="263"/>
      <c r="AN83" s="263"/>
      <c r="AO83" s="263"/>
      <c r="AP83" s="263"/>
      <c r="AQ83" s="436"/>
      <c r="AR83" s="275"/>
      <c r="AS83" s="275"/>
      <c r="AT83" s="275"/>
      <c r="AU83" s="275"/>
      <c r="AV83" s="275"/>
      <c r="AW83" s="275"/>
      <c r="AX83" s="275"/>
      <c r="AY83" s="437"/>
      <c r="AZ83" s="440">
        <f t="shared" si="15"/>
        <v>0</v>
      </c>
      <c r="BA83" s="275"/>
      <c r="BB83" s="275"/>
      <c r="BC83" s="275"/>
      <c r="BD83" s="275"/>
      <c r="BE83" s="275"/>
      <c r="BF83" s="275"/>
      <c r="BG83" s="275"/>
      <c r="BH83" s="436"/>
      <c r="BI83" s="275"/>
      <c r="BJ83" s="275"/>
      <c r="BK83" s="291"/>
      <c r="BL83" s="291"/>
      <c r="BM83" s="275"/>
      <c r="BN83" s="275"/>
      <c r="BO83" s="438"/>
      <c r="BP83" s="436"/>
      <c r="BQ83" s="275"/>
      <c r="BR83" s="275"/>
      <c r="BS83" s="275"/>
      <c r="BT83" s="275"/>
      <c r="BU83" s="275"/>
      <c r="BV83" s="275"/>
      <c r="BW83" s="275"/>
      <c r="BX83" s="438"/>
      <c r="BY83" s="436"/>
      <c r="BZ83" s="275"/>
      <c r="CA83" s="275"/>
      <c r="CB83" s="275"/>
      <c r="CC83" s="275"/>
      <c r="CD83" s="275"/>
      <c r="CE83" s="275"/>
      <c r="CF83" s="275"/>
      <c r="CG83" s="438"/>
      <c r="CH83" s="436"/>
      <c r="CI83" s="275"/>
      <c r="CJ83" s="275"/>
      <c r="CK83" s="275"/>
      <c r="CL83" s="275"/>
      <c r="CM83" s="275"/>
      <c r="CN83" s="275"/>
      <c r="CO83" s="442"/>
      <c r="CP83" s="443"/>
      <c r="CQ83" s="429">
        <f t="shared" si="16"/>
        <v>0</v>
      </c>
      <c r="CR83" s="430"/>
    </row>
    <row r="84" spans="1:96" ht="25.5" customHeight="1" x14ac:dyDescent="0.2">
      <c r="A84" s="410">
        <f t="shared" si="17"/>
        <v>69</v>
      </c>
      <c r="B84" s="280"/>
      <c r="C84" s="280"/>
      <c r="D84" s="411"/>
      <c r="E84" s="254"/>
      <c r="F84" s="277"/>
      <c r="G84" s="450"/>
      <c r="H84" s="451"/>
      <c r="I84" s="433" t="str">
        <f t="shared" si="11"/>
        <v/>
      </c>
      <c r="J84" s="434">
        <f t="shared" si="12"/>
        <v>0</v>
      </c>
      <c r="K84" s="279"/>
      <c r="L84" s="276"/>
      <c r="M84" s="435"/>
      <c r="N84" s="417" t="str">
        <f t="shared" si="13"/>
        <v/>
      </c>
      <c r="O84" s="418" t="str">
        <f>IF('Data Set up'!$G$40="JUNE",IF(OR($N84=7,$N84=8,$N84=9),1,IF(OR($N84=10,$N84=11,$N84=12),2,IF(OR($N84=1,$N84=2,$N84=3),3,IF(OR($N84=4,$N84=5,$N84=6),4,"")))),IF(OR($N84=9,$N84=10,$N84=11),1,IF(OR($N84=12,$N84=1,$N84=2),2,IF(OR($N84=3,$N84=4,$N84=5),3,IF(OR($N84=6,$N84=7,$N84=8),4,"")))))</f>
        <v/>
      </c>
      <c r="P84" s="436"/>
      <c r="Q84" s="275"/>
      <c r="R84" s="275"/>
      <c r="S84" s="275"/>
      <c r="T84" s="275"/>
      <c r="U84" s="275"/>
      <c r="V84" s="275"/>
      <c r="W84" s="275"/>
      <c r="X84" s="275"/>
      <c r="Y84" s="275"/>
      <c r="Z84" s="275"/>
      <c r="AA84" s="275"/>
      <c r="AB84" s="275"/>
      <c r="AC84" s="275"/>
      <c r="AD84" s="275"/>
      <c r="AE84" s="275"/>
      <c r="AF84" s="275"/>
      <c r="AG84" s="275"/>
      <c r="AH84" s="438"/>
      <c r="AI84" s="439">
        <f t="shared" si="14"/>
        <v>0</v>
      </c>
      <c r="AJ84" s="263"/>
      <c r="AK84" s="263"/>
      <c r="AL84" s="263"/>
      <c r="AM84" s="263"/>
      <c r="AN84" s="263"/>
      <c r="AO84" s="263"/>
      <c r="AP84" s="263"/>
      <c r="AQ84" s="436"/>
      <c r="AR84" s="275"/>
      <c r="AS84" s="275"/>
      <c r="AT84" s="275"/>
      <c r="AU84" s="275"/>
      <c r="AV84" s="275"/>
      <c r="AW84" s="275"/>
      <c r="AX84" s="275"/>
      <c r="AY84" s="437"/>
      <c r="AZ84" s="440">
        <f t="shared" si="15"/>
        <v>0</v>
      </c>
      <c r="BA84" s="275"/>
      <c r="BB84" s="275"/>
      <c r="BC84" s="275"/>
      <c r="BD84" s="275"/>
      <c r="BE84" s="275"/>
      <c r="BF84" s="275"/>
      <c r="BG84" s="275"/>
      <c r="BH84" s="436"/>
      <c r="BI84" s="275"/>
      <c r="BJ84" s="275"/>
      <c r="BK84" s="291"/>
      <c r="BL84" s="291"/>
      <c r="BM84" s="275"/>
      <c r="BN84" s="275"/>
      <c r="BO84" s="438"/>
      <c r="BP84" s="436"/>
      <c r="BQ84" s="275"/>
      <c r="BR84" s="275"/>
      <c r="BS84" s="275"/>
      <c r="BT84" s="275"/>
      <c r="BU84" s="275"/>
      <c r="BV84" s="275"/>
      <c r="BW84" s="275"/>
      <c r="BX84" s="438"/>
      <c r="BY84" s="436"/>
      <c r="BZ84" s="275"/>
      <c r="CA84" s="275"/>
      <c r="CB84" s="275"/>
      <c r="CC84" s="275"/>
      <c r="CD84" s="275"/>
      <c r="CE84" s="275"/>
      <c r="CF84" s="275"/>
      <c r="CG84" s="438"/>
      <c r="CH84" s="436"/>
      <c r="CI84" s="275"/>
      <c r="CJ84" s="275"/>
      <c r="CK84" s="275"/>
      <c r="CL84" s="275"/>
      <c r="CM84" s="275"/>
      <c r="CN84" s="275"/>
      <c r="CO84" s="442"/>
      <c r="CP84" s="443"/>
      <c r="CQ84" s="429">
        <f t="shared" si="16"/>
        <v>0</v>
      </c>
      <c r="CR84" s="430"/>
    </row>
    <row r="85" spans="1:96" ht="25.5" customHeight="1" x14ac:dyDescent="0.2">
      <c r="A85" s="410">
        <f t="shared" si="17"/>
        <v>70</v>
      </c>
      <c r="B85" s="280"/>
      <c r="C85" s="280"/>
      <c r="D85" s="411"/>
      <c r="E85" s="254"/>
      <c r="F85" s="277"/>
      <c r="G85" s="450"/>
      <c r="H85" s="451"/>
      <c r="I85" s="433" t="str">
        <f t="shared" si="11"/>
        <v/>
      </c>
      <c r="J85" s="434">
        <f t="shared" si="12"/>
        <v>0</v>
      </c>
      <c r="K85" s="279"/>
      <c r="L85" s="276"/>
      <c r="M85" s="435"/>
      <c r="N85" s="417" t="str">
        <f t="shared" si="13"/>
        <v/>
      </c>
      <c r="O85" s="418" t="str">
        <f>IF('Data Set up'!$G$40="JUNE",IF(OR($N85=7,$N85=8,$N85=9),1,IF(OR($N85=10,$N85=11,$N85=12),2,IF(OR($N85=1,$N85=2,$N85=3),3,IF(OR($N85=4,$N85=5,$N85=6),4,"")))),IF(OR($N85=9,$N85=10,$N85=11),1,IF(OR($N85=12,$N85=1,$N85=2),2,IF(OR($N85=3,$N85=4,$N85=5),3,IF(OR($N85=6,$N85=7,$N85=8),4,"")))))</f>
        <v/>
      </c>
      <c r="P85" s="445"/>
      <c r="Q85" s="291"/>
      <c r="R85" s="291"/>
      <c r="S85" s="275"/>
      <c r="T85" s="275"/>
      <c r="U85" s="275"/>
      <c r="V85" s="275"/>
      <c r="W85" s="275"/>
      <c r="X85" s="275"/>
      <c r="Y85" s="275"/>
      <c r="Z85" s="275"/>
      <c r="AA85" s="275"/>
      <c r="AB85" s="275"/>
      <c r="AC85" s="275"/>
      <c r="AD85" s="275"/>
      <c r="AE85" s="275"/>
      <c r="AF85" s="275"/>
      <c r="AG85" s="275"/>
      <c r="AH85" s="438"/>
      <c r="AI85" s="439">
        <f t="shared" si="14"/>
        <v>0</v>
      </c>
      <c r="AJ85" s="263"/>
      <c r="AK85" s="263"/>
      <c r="AL85" s="263"/>
      <c r="AM85" s="263"/>
      <c r="AN85" s="263"/>
      <c r="AO85" s="263"/>
      <c r="AP85" s="263"/>
      <c r="AQ85" s="436"/>
      <c r="AR85" s="275"/>
      <c r="AS85" s="275"/>
      <c r="AT85" s="275"/>
      <c r="AU85" s="275"/>
      <c r="AV85" s="275"/>
      <c r="AW85" s="275"/>
      <c r="AX85" s="275"/>
      <c r="AY85" s="437"/>
      <c r="AZ85" s="440">
        <f t="shared" si="15"/>
        <v>0</v>
      </c>
      <c r="BA85" s="275"/>
      <c r="BB85" s="275"/>
      <c r="BC85" s="275"/>
      <c r="BD85" s="275"/>
      <c r="BE85" s="275"/>
      <c r="BF85" s="275"/>
      <c r="BG85" s="275"/>
      <c r="BH85" s="436"/>
      <c r="BI85" s="275"/>
      <c r="BJ85" s="275"/>
      <c r="BK85" s="291"/>
      <c r="BL85" s="291"/>
      <c r="BM85" s="275"/>
      <c r="BN85" s="275"/>
      <c r="BO85" s="438"/>
      <c r="BP85" s="436"/>
      <c r="BQ85" s="275"/>
      <c r="BR85" s="275"/>
      <c r="BS85" s="275"/>
      <c r="BT85" s="275"/>
      <c r="BU85" s="275"/>
      <c r="BV85" s="275"/>
      <c r="BW85" s="275"/>
      <c r="BX85" s="438"/>
      <c r="BY85" s="436"/>
      <c r="BZ85" s="275"/>
      <c r="CA85" s="275"/>
      <c r="CB85" s="275"/>
      <c r="CC85" s="275"/>
      <c r="CD85" s="275"/>
      <c r="CE85" s="275"/>
      <c r="CF85" s="275"/>
      <c r="CG85" s="438"/>
      <c r="CH85" s="436"/>
      <c r="CI85" s="275"/>
      <c r="CJ85" s="275"/>
      <c r="CK85" s="275"/>
      <c r="CL85" s="275"/>
      <c r="CM85" s="275"/>
      <c r="CN85" s="275"/>
      <c r="CO85" s="442"/>
      <c r="CP85" s="443"/>
      <c r="CQ85" s="429">
        <f t="shared" si="16"/>
        <v>0</v>
      </c>
      <c r="CR85" s="430"/>
    </row>
    <row r="86" spans="1:96" ht="25.5" customHeight="1" x14ac:dyDescent="0.2">
      <c r="A86" s="410">
        <f t="shared" si="17"/>
        <v>71</v>
      </c>
      <c r="B86" s="280"/>
      <c r="C86" s="280"/>
      <c r="D86" s="411"/>
      <c r="E86" s="254"/>
      <c r="F86" s="277"/>
      <c r="G86" s="450"/>
      <c r="H86" s="451"/>
      <c r="I86" s="433" t="str">
        <f t="shared" si="11"/>
        <v/>
      </c>
      <c r="J86" s="434">
        <f t="shared" si="12"/>
        <v>0</v>
      </c>
      <c r="K86" s="279"/>
      <c r="L86" s="276"/>
      <c r="M86" s="435"/>
      <c r="N86" s="417" t="str">
        <f t="shared" si="13"/>
        <v/>
      </c>
      <c r="O86" s="418" t="str">
        <f>IF('Data Set up'!$G$40="JUNE",IF(OR($N86=7,$N86=8,$N86=9),1,IF(OR($N86=10,$N86=11,$N86=12),2,IF(OR($N86=1,$N86=2,$N86=3),3,IF(OR($N86=4,$N86=5,$N86=6),4,"")))),IF(OR($N86=9,$N86=10,$N86=11),1,IF(OR($N86=12,$N86=1,$N86=2),2,IF(OR($N86=3,$N86=4,$N86=5),3,IF(OR($N86=6,$N86=7,$N86=8),4,"")))))</f>
        <v/>
      </c>
      <c r="P86" s="445"/>
      <c r="Q86" s="291"/>
      <c r="R86" s="291"/>
      <c r="S86" s="275"/>
      <c r="T86" s="275"/>
      <c r="U86" s="275"/>
      <c r="V86" s="275"/>
      <c r="W86" s="275"/>
      <c r="X86" s="275"/>
      <c r="Y86" s="275"/>
      <c r="Z86" s="275"/>
      <c r="AA86" s="275"/>
      <c r="AB86" s="275"/>
      <c r="AC86" s="275"/>
      <c r="AD86" s="275"/>
      <c r="AE86" s="275"/>
      <c r="AF86" s="275"/>
      <c r="AG86" s="275"/>
      <c r="AH86" s="438"/>
      <c r="AI86" s="439">
        <f t="shared" si="14"/>
        <v>0</v>
      </c>
      <c r="AJ86" s="263"/>
      <c r="AK86" s="263"/>
      <c r="AL86" s="263"/>
      <c r="AM86" s="263"/>
      <c r="AN86" s="263"/>
      <c r="AO86" s="263"/>
      <c r="AP86" s="263"/>
      <c r="AQ86" s="436"/>
      <c r="AR86" s="275"/>
      <c r="AS86" s="275"/>
      <c r="AT86" s="275"/>
      <c r="AU86" s="275"/>
      <c r="AV86" s="275"/>
      <c r="AW86" s="275"/>
      <c r="AX86" s="275"/>
      <c r="AY86" s="437"/>
      <c r="AZ86" s="440">
        <f t="shared" si="15"/>
        <v>0</v>
      </c>
      <c r="BA86" s="275"/>
      <c r="BB86" s="275"/>
      <c r="BC86" s="275"/>
      <c r="BD86" s="275"/>
      <c r="BE86" s="275"/>
      <c r="BF86" s="275"/>
      <c r="BG86" s="275"/>
      <c r="BH86" s="436"/>
      <c r="BI86" s="275"/>
      <c r="BJ86" s="275"/>
      <c r="BK86" s="291"/>
      <c r="BL86" s="291"/>
      <c r="BM86" s="275"/>
      <c r="BN86" s="275"/>
      <c r="BO86" s="438"/>
      <c r="BP86" s="436"/>
      <c r="BQ86" s="275"/>
      <c r="BR86" s="275"/>
      <c r="BS86" s="275"/>
      <c r="BT86" s="275"/>
      <c r="BU86" s="275"/>
      <c r="BV86" s="275"/>
      <c r="BW86" s="275"/>
      <c r="BX86" s="438"/>
      <c r="BY86" s="436"/>
      <c r="BZ86" s="275"/>
      <c r="CA86" s="275"/>
      <c r="CB86" s="275"/>
      <c r="CC86" s="275"/>
      <c r="CD86" s="275"/>
      <c r="CE86" s="275"/>
      <c r="CF86" s="275"/>
      <c r="CG86" s="438"/>
      <c r="CH86" s="436"/>
      <c r="CI86" s="275"/>
      <c r="CJ86" s="275"/>
      <c r="CK86" s="275"/>
      <c r="CL86" s="275"/>
      <c r="CM86" s="275"/>
      <c r="CN86" s="275"/>
      <c r="CO86" s="442"/>
      <c r="CP86" s="443"/>
      <c r="CQ86" s="429">
        <f t="shared" si="16"/>
        <v>0</v>
      </c>
      <c r="CR86" s="430"/>
    </row>
    <row r="87" spans="1:96" ht="25.5" customHeight="1" x14ac:dyDescent="0.2">
      <c r="A87" s="410">
        <f t="shared" si="17"/>
        <v>72</v>
      </c>
      <c r="B87" s="280"/>
      <c r="C87" s="280"/>
      <c r="D87" s="411"/>
      <c r="E87" s="254"/>
      <c r="F87" s="277"/>
      <c r="G87" s="450"/>
      <c r="H87" s="451"/>
      <c r="I87" s="433" t="str">
        <f t="shared" si="11"/>
        <v/>
      </c>
      <c r="J87" s="434">
        <f t="shared" si="12"/>
        <v>0</v>
      </c>
      <c r="K87" s="279"/>
      <c r="L87" s="276"/>
      <c r="M87" s="435"/>
      <c r="N87" s="417" t="str">
        <f t="shared" si="13"/>
        <v/>
      </c>
      <c r="O87" s="418" t="str">
        <f>IF('Data Set up'!$G$40="JUNE",IF(OR($N87=7,$N87=8,$N87=9),1,IF(OR($N87=10,$N87=11,$N87=12),2,IF(OR($N87=1,$N87=2,$N87=3),3,IF(OR($N87=4,$N87=5,$N87=6),4,"")))),IF(OR($N87=9,$N87=10,$N87=11),1,IF(OR($N87=12,$N87=1,$N87=2),2,IF(OR($N87=3,$N87=4,$N87=5),3,IF(OR($N87=6,$N87=7,$N87=8),4,"")))))</f>
        <v/>
      </c>
      <c r="P87" s="445"/>
      <c r="Q87" s="291"/>
      <c r="R87" s="291"/>
      <c r="S87" s="275"/>
      <c r="T87" s="275"/>
      <c r="U87" s="275"/>
      <c r="V87" s="275"/>
      <c r="W87" s="275"/>
      <c r="X87" s="275"/>
      <c r="Y87" s="275"/>
      <c r="Z87" s="275"/>
      <c r="AA87" s="275"/>
      <c r="AB87" s="275"/>
      <c r="AC87" s="275"/>
      <c r="AD87" s="275"/>
      <c r="AE87" s="275"/>
      <c r="AF87" s="275"/>
      <c r="AG87" s="275"/>
      <c r="AH87" s="438"/>
      <c r="AI87" s="439">
        <f t="shared" si="14"/>
        <v>0</v>
      </c>
      <c r="AJ87" s="263"/>
      <c r="AK87" s="263"/>
      <c r="AL87" s="263"/>
      <c r="AM87" s="263"/>
      <c r="AN87" s="263"/>
      <c r="AO87" s="263"/>
      <c r="AP87" s="263"/>
      <c r="AQ87" s="436"/>
      <c r="AR87" s="275"/>
      <c r="AS87" s="275"/>
      <c r="AT87" s="275"/>
      <c r="AU87" s="275"/>
      <c r="AV87" s="275"/>
      <c r="AW87" s="275"/>
      <c r="AX87" s="275"/>
      <c r="AY87" s="437"/>
      <c r="AZ87" s="440">
        <f t="shared" si="15"/>
        <v>0</v>
      </c>
      <c r="BA87" s="275"/>
      <c r="BB87" s="275"/>
      <c r="BC87" s="275"/>
      <c r="BD87" s="275"/>
      <c r="BE87" s="275"/>
      <c r="BF87" s="275"/>
      <c r="BG87" s="275"/>
      <c r="BH87" s="436"/>
      <c r="BI87" s="275"/>
      <c r="BJ87" s="275"/>
      <c r="BK87" s="291"/>
      <c r="BL87" s="291"/>
      <c r="BM87" s="275"/>
      <c r="BN87" s="275"/>
      <c r="BO87" s="438"/>
      <c r="BP87" s="436"/>
      <c r="BQ87" s="275"/>
      <c r="BR87" s="275"/>
      <c r="BS87" s="275"/>
      <c r="BT87" s="275"/>
      <c r="BU87" s="275"/>
      <c r="BV87" s="275"/>
      <c r="BW87" s="275"/>
      <c r="BX87" s="438"/>
      <c r="BY87" s="436"/>
      <c r="BZ87" s="275"/>
      <c r="CA87" s="275"/>
      <c r="CB87" s="275"/>
      <c r="CC87" s="275"/>
      <c r="CD87" s="275"/>
      <c r="CE87" s="275"/>
      <c r="CF87" s="275"/>
      <c r="CG87" s="438"/>
      <c r="CH87" s="436"/>
      <c r="CI87" s="275"/>
      <c r="CJ87" s="275"/>
      <c r="CK87" s="275"/>
      <c r="CL87" s="275"/>
      <c r="CM87" s="275"/>
      <c r="CN87" s="275"/>
      <c r="CO87" s="442"/>
      <c r="CP87" s="443"/>
      <c r="CQ87" s="429">
        <f t="shared" si="16"/>
        <v>0</v>
      </c>
      <c r="CR87" s="430"/>
    </row>
    <row r="88" spans="1:96" ht="25.5" customHeight="1" x14ac:dyDescent="0.2">
      <c r="A88" s="410">
        <f t="shared" si="17"/>
        <v>73</v>
      </c>
      <c r="B88" s="280"/>
      <c r="C88" s="280"/>
      <c r="D88" s="411"/>
      <c r="E88" s="254"/>
      <c r="F88" s="277"/>
      <c r="G88" s="450"/>
      <c r="H88" s="451"/>
      <c r="I88" s="433" t="str">
        <f t="shared" si="11"/>
        <v/>
      </c>
      <c r="J88" s="434">
        <f t="shared" si="12"/>
        <v>0</v>
      </c>
      <c r="K88" s="279"/>
      <c r="L88" s="276"/>
      <c r="M88" s="435"/>
      <c r="N88" s="417" t="str">
        <f t="shared" si="13"/>
        <v/>
      </c>
      <c r="O88" s="418" t="str">
        <f>IF('Data Set up'!$G$40="JUNE",IF(OR($N88=7,$N88=8,$N88=9),1,IF(OR($N88=10,$N88=11,$N88=12),2,IF(OR($N88=1,$N88=2,$N88=3),3,IF(OR($N88=4,$N88=5,$N88=6),4,"")))),IF(OR($N88=9,$N88=10,$N88=11),1,IF(OR($N88=12,$N88=1,$N88=2),2,IF(OR($N88=3,$N88=4,$N88=5),3,IF(OR($N88=6,$N88=7,$N88=8),4,"")))))</f>
        <v/>
      </c>
      <c r="P88" s="445"/>
      <c r="Q88" s="291"/>
      <c r="R88" s="291"/>
      <c r="S88" s="275"/>
      <c r="T88" s="275"/>
      <c r="U88" s="275"/>
      <c r="V88" s="275"/>
      <c r="W88" s="275"/>
      <c r="X88" s="275"/>
      <c r="Y88" s="275"/>
      <c r="Z88" s="275"/>
      <c r="AA88" s="275"/>
      <c r="AB88" s="275"/>
      <c r="AC88" s="275"/>
      <c r="AD88" s="275"/>
      <c r="AE88" s="275"/>
      <c r="AF88" s="275"/>
      <c r="AG88" s="275"/>
      <c r="AH88" s="438"/>
      <c r="AI88" s="439">
        <f t="shared" si="14"/>
        <v>0</v>
      </c>
      <c r="AJ88" s="263"/>
      <c r="AK88" s="263"/>
      <c r="AL88" s="263"/>
      <c r="AM88" s="263"/>
      <c r="AN88" s="263"/>
      <c r="AO88" s="263"/>
      <c r="AP88" s="263"/>
      <c r="AQ88" s="436"/>
      <c r="AR88" s="275"/>
      <c r="AS88" s="275"/>
      <c r="AT88" s="275"/>
      <c r="AU88" s="275"/>
      <c r="AV88" s="275"/>
      <c r="AW88" s="275"/>
      <c r="AX88" s="275"/>
      <c r="AY88" s="437"/>
      <c r="AZ88" s="440">
        <f t="shared" si="15"/>
        <v>0</v>
      </c>
      <c r="BA88" s="275"/>
      <c r="BB88" s="275"/>
      <c r="BC88" s="275"/>
      <c r="BD88" s="275"/>
      <c r="BE88" s="275"/>
      <c r="BF88" s="275"/>
      <c r="BG88" s="275"/>
      <c r="BH88" s="436"/>
      <c r="BI88" s="275"/>
      <c r="BJ88" s="275"/>
      <c r="BK88" s="291"/>
      <c r="BL88" s="291"/>
      <c r="BM88" s="275"/>
      <c r="BN88" s="275"/>
      <c r="BO88" s="438"/>
      <c r="BP88" s="436"/>
      <c r="BQ88" s="275"/>
      <c r="BR88" s="275"/>
      <c r="BS88" s="275"/>
      <c r="BT88" s="275"/>
      <c r="BU88" s="275"/>
      <c r="BV88" s="275"/>
      <c r="BW88" s="275"/>
      <c r="BX88" s="438"/>
      <c r="BY88" s="436"/>
      <c r="BZ88" s="275"/>
      <c r="CA88" s="275"/>
      <c r="CB88" s="275"/>
      <c r="CC88" s="275"/>
      <c r="CD88" s="275"/>
      <c r="CE88" s="275"/>
      <c r="CF88" s="275"/>
      <c r="CG88" s="438"/>
      <c r="CH88" s="436"/>
      <c r="CI88" s="275"/>
      <c r="CJ88" s="275"/>
      <c r="CK88" s="275"/>
      <c r="CL88" s="275"/>
      <c r="CM88" s="275"/>
      <c r="CN88" s="275"/>
      <c r="CO88" s="442"/>
      <c r="CP88" s="443"/>
      <c r="CQ88" s="429">
        <f t="shared" si="16"/>
        <v>0</v>
      </c>
      <c r="CR88" s="430"/>
    </row>
    <row r="89" spans="1:96" ht="25.5" customHeight="1" x14ac:dyDescent="0.2">
      <c r="A89" s="410">
        <f t="shared" si="17"/>
        <v>74</v>
      </c>
      <c r="B89" s="280"/>
      <c r="C89" s="280"/>
      <c r="D89" s="411"/>
      <c r="E89" s="254"/>
      <c r="F89" s="277"/>
      <c r="G89" s="450"/>
      <c r="H89" s="451"/>
      <c r="I89" s="433" t="str">
        <f t="shared" si="11"/>
        <v/>
      </c>
      <c r="J89" s="434">
        <f t="shared" si="12"/>
        <v>0</v>
      </c>
      <c r="K89" s="279"/>
      <c r="L89" s="276"/>
      <c r="M89" s="435"/>
      <c r="N89" s="417" t="str">
        <f t="shared" si="13"/>
        <v/>
      </c>
      <c r="O89" s="418" t="str">
        <f>IF('Data Set up'!$G$40="JUNE",IF(OR($N89=7,$N89=8,$N89=9),1,IF(OR($N89=10,$N89=11,$N89=12),2,IF(OR($N89=1,$N89=2,$N89=3),3,IF(OR($N89=4,$N89=5,$N89=6),4,"")))),IF(OR($N89=9,$N89=10,$N89=11),1,IF(OR($N89=12,$N89=1,$N89=2),2,IF(OR($N89=3,$N89=4,$N89=5),3,IF(OR($N89=6,$N89=7,$N89=8),4,"")))))</f>
        <v/>
      </c>
      <c r="P89" s="445"/>
      <c r="Q89" s="291"/>
      <c r="R89" s="291"/>
      <c r="S89" s="275"/>
      <c r="T89" s="275"/>
      <c r="U89" s="275"/>
      <c r="V89" s="275"/>
      <c r="W89" s="275"/>
      <c r="X89" s="275"/>
      <c r="Y89" s="275"/>
      <c r="Z89" s="275"/>
      <c r="AA89" s="275"/>
      <c r="AB89" s="275"/>
      <c r="AC89" s="275"/>
      <c r="AD89" s="275"/>
      <c r="AE89" s="275"/>
      <c r="AF89" s="275"/>
      <c r="AG89" s="275"/>
      <c r="AH89" s="438"/>
      <c r="AI89" s="439">
        <f t="shared" si="14"/>
        <v>0</v>
      </c>
      <c r="AJ89" s="263"/>
      <c r="AK89" s="263"/>
      <c r="AL89" s="263"/>
      <c r="AM89" s="263"/>
      <c r="AN89" s="263"/>
      <c r="AO89" s="263"/>
      <c r="AP89" s="263"/>
      <c r="AQ89" s="436"/>
      <c r="AR89" s="275"/>
      <c r="AS89" s="275"/>
      <c r="AT89" s="275"/>
      <c r="AU89" s="275"/>
      <c r="AV89" s="275"/>
      <c r="AW89" s="275"/>
      <c r="AX89" s="275"/>
      <c r="AY89" s="437"/>
      <c r="AZ89" s="440">
        <f t="shared" si="15"/>
        <v>0</v>
      </c>
      <c r="BA89" s="275"/>
      <c r="BB89" s="275"/>
      <c r="BC89" s="275"/>
      <c r="BD89" s="275"/>
      <c r="BE89" s="275"/>
      <c r="BF89" s="275"/>
      <c r="BG89" s="275"/>
      <c r="BH89" s="436"/>
      <c r="BI89" s="275"/>
      <c r="BJ89" s="275"/>
      <c r="BK89" s="291"/>
      <c r="BL89" s="291"/>
      <c r="BM89" s="275"/>
      <c r="BN89" s="275"/>
      <c r="BO89" s="438"/>
      <c r="BP89" s="436"/>
      <c r="BQ89" s="275"/>
      <c r="BR89" s="275"/>
      <c r="BS89" s="275"/>
      <c r="BT89" s="275"/>
      <c r="BU89" s="275"/>
      <c r="BV89" s="275"/>
      <c r="BW89" s="275"/>
      <c r="BX89" s="438"/>
      <c r="BY89" s="436"/>
      <c r="BZ89" s="275"/>
      <c r="CA89" s="275"/>
      <c r="CB89" s="275"/>
      <c r="CC89" s="275"/>
      <c r="CD89" s="275"/>
      <c r="CE89" s="275"/>
      <c r="CF89" s="275"/>
      <c r="CG89" s="438"/>
      <c r="CH89" s="436"/>
      <c r="CI89" s="275"/>
      <c r="CJ89" s="275"/>
      <c r="CK89" s="275"/>
      <c r="CL89" s="275"/>
      <c r="CM89" s="275"/>
      <c r="CN89" s="275"/>
      <c r="CO89" s="442"/>
      <c r="CP89" s="443"/>
      <c r="CQ89" s="429">
        <f t="shared" si="16"/>
        <v>0</v>
      </c>
      <c r="CR89" s="430"/>
    </row>
    <row r="90" spans="1:96" ht="25.5" customHeight="1" x14ac:dyDescent="0.2">
      <c r="A90" s="410">
        <f t="shared" si="17"/>
        <v>75</v>
      </c>
      <c r="B90" s="280"/>
      <c r="C90" s="280"/>
      <c r="D90" s="411"/>
      <c r="E90" s="254"/>
      <c r="F90" s="277"/>
      <c r="G90" s="450"/>
      <c r="H90" s="451"/>
      <c r="I90" s="433" t="str">
        <f t="shared" si="11"/>
        <v/>
      </c>
      <c r="J90" s="434">
        <f t="shared" si="12"/>
        <v>0</v>
      </c>
      <c r="K90" s="279"/>
      <c r="L90" s="276"/>
      <c r="M90" s="435"/>
      <c r="N90" s="417" t="str">
        <f t="shared" si="13"/>
        <v/>
      </c>
      <c r="O90" s="418" t="str">
        <f>IF('Data Set up'!$G$40="JUNE",IF(OR($N90=7,$N90=8,$N90=9),1,IF(OR($N90=10,$N90=11,$N90=12),2,IF(OR($N90=1,$N90=2,$N90=3),3,IF(OR($N90=4,$N90=5,$N90=6),4,"")))),IF(OR($N90=9,$N90=10,$N90=11),1,IF(OR($N90=12,$N90=1,$N90=2),2,IF(OR($N90=3,$N90=4,$N90=5),3,IF(OR($N90=6,$N90=7,$N90=8),4,"")))))</f>
        <v/>
      </c>
      <c r="P90" s="445"/>
      <c r="Q90" s="291"/>
      <c r="R90" s="291"/>
      <c r="S90" s="275"/>
      <c r="T90" s="275"/>
      <c r="U90" s="275"/>
      <c r="V90" s="275"/>
      <c r="W90" s="275"/>
      <c r="X90" s="275"/>
      <c r="Y90" s="275"/>
      <c r="Z90" s="275"/>
      <c r="AA90" s="275"/>
      <c r="AB90" s="275"/>
      <c r="AC90" s="275"/>
      <c r="AD90" s="275"/>
      <c r="AE90" s="275"/>
      <c r="AF90" s="275"/>
      <c r="AG90" s="275"/>
      <c r="AH90" s="438"/>
      <c r="AI90" s="439">
        <f t="shared" si="14"/>
        <v>0</v>
      </c>
      <c r="AJ90" s="263"/>
      <c r="AK90" s="263"/>
      <c r="AL90" s="263"/>
      <c r="AM90" s="263"/>
      <c r="AN90" s="263"/>
      <c r="AO90" s="263"/>
      <c r="AP90" s="263"/>
      <c r="AQ90" s="436"/>
      <c r="AR90" s="275"/>
      <c r="AS90" s="275"/>
      <c r="AT90" s="275"/>
      <c r="AU90" s="275"/>
      <c r="AV90" s="275"/>
      <c r="AW90" s="275"/>
      <c r="AX90" s="275"/>
      <c r="AY90" s="437"/>
      <c r="AZ90" s="440">
        <f t="shared" si="15"/>
        <v>0</v>
      </c>
      <c r="BA90" s="275"/>
      <c r="BB90" s="275"/>
      <c r="BC90" s="275"/>
      <c r="BD90" s="275"/>
      <c r="BE90" s="275"/>
      <c r="BF90" s="275"/>
      <c r="BG90" s="275"/>
      <c r="BH90" s="436"/>
      <c r="BI90" s="275"/>
      <c r="BJ90" s="275"/>
      <c r="BK90" s="291"/>
      <c r="BL90" s="291"/>
      <c r="BM90" s="275"/>
      <c r="BN90" s="275"/>
      <c r="BO90" s="438"/>
      <c r="BP90" s="436"/>
      <c r="BQ90" s="275"/>
      <c r="BR90" s="275"/>
      <c r="BS90" s="275"/>
      <c r="BT90" s="275"/>
      <c r="BU90" s="275"/>
      <c r="BV90" s="275"/>
      <c r="BW90" s="275"/>
      <c r="BX90" s="438"/>
      <c r="BY90" s="436"/>
      <c r="BZ90" s="275"/>
      <c r="CA90" s="275"/>
      <c r="CB90" s="275"/>
      <c r="CC90" s="275"/>
      <c r="CD90" s="275"/>
      <c r="CE90" s="275"/>
      <c r="CF90" s="275"/>
      <c r="CG90" s="438"/>
      <c r="CH90" s="436"/>
      <c r="CI90" s="275"/>
      <c r="CJ90" s="275"/>
      <c r="CK90" s="275"/>
      <c r="CL90" s="275"/>
      <c r="CM90" s="275"/>
      <c r="CN90" s="275"/>
      <c r="CO90" s="442"/>
      <c r="CP90" s="443"/>
      <c r="CQ90" s="429">
        <f t="shared" si="16"/>
        <v>0</v>
      </c>
      <c r="CR90" s="430"/>
    </row>
    <row r="91" spans="1:96" ht="25.5" customHeight="1" x14ac:dyDescent="0.2">
      <c r="A91" s="410">
        <f t="shared" si="17"/>
        <v>76</v>
      </c>
      <c r="B91" s="280"/>
      <c r="C91" s="280"/>
      <c r="D91" s="411"/>
      <c r="E91" s="254"/>
      <c r="F91" s="277"/>
      <c r="G91" s="450"/>
      <c r="H91" s="451"/>
      <c r="I91" s="433" t="str">
        <f t="shared" si="11"/>
        <v/>
      </c>
      <c r="J91" s="434">
        <f t="shared" si="12"/>
        <v>0</v>
      </c>
      <c r="K91" s="279"/>
      <c r="L91" s="276"/>
      <c r="M91" s="435"/>
      <c r="N91" s="417" t="str">
        <f t="shared" si="13"/>
        <v/>
      </c>
      <c r="O91" s="418" t="str">
        <f>IF('Data Set up'!$G$40="JUNE",IF(OR($N91=7,$N91=8,$N91=9),1,IF(OR($N91=10,$N91=11,$N91=12),2,IF(OR($N91=1,$N91=2,$N91=3),3,IF(OR($N91=4,$N91=5,$N91=6),4,"")))),IF(OR($N91=9,$N91=10,$N91=11),1,IF(OR($N91=12,$N91=1,$N91=2),2,IF(OR($N91=3,$N91=4,$N91=5),3,IF(OR($N91=6,$N91=7,$N91=8),4,"")))))</f>
        <v/>
      </c>
      <c r="P91" s="445"/>
      <c r="Q91" s="291"/>
      <c r="R91" s="291"/>
      <c r="S91" s="275"/>
      <c r="T91" s="275"/>
      <c r="U91" s="275"/>
      <c r="V91" s="275"/>
      <c r="W91" s="275"/>
      <c r="X91" s="275"/>
      <c r="Y91" s="275"/>
      <c r="Z91" s="275"/>
      <c r="AA91" s="275"/>
      <c r="AB91" s="275"/>
      <c r="AC91" s="275"/>
      <c r="AD91" s="275"/>
      <c r="AE91" s="275"/>
      <c r="AF91" s="275"/>
      <c r="AG91" s="275"/>
      <c r="AH91" s="438"/>
      <c r="AI91" s="439">
        <f t="shared" si="14"/>
        <v>0</v>
      </c>
      <c r="AJ91" s="263"/>
      <c r="AK91" s="263"/>
      <c r="AL91" s="263"/>
      <c r="AM91" s="263"/>
      <c r="AN91" s="263"/>
      <c r="AO91" s="263"/>
      <c r="AP91" s="263"/>
      <c r="AQ91" s="436"/>
      <c r="AR91" s="275"/>
      <c r="AS91" s="275"/>
      <c r="AT91" s="275"/>
      <c r="AU91" s="275"/>
      <c r="AV91" s="275"/>
      <c r="AW91" s="275"/>
      <c r="AX91" s="275"/>
      <c r="AY91" s="437"/>
      <c r="AZ91" s="440">
        <f t="shared" si="15"/>
        <v>0</v>
      </c>
      <c r="BA91" s="275"/>
      <c r="BB91" s="275"/>
      <c r="BC91" s="275"/>
      <c r="BD91" s="275"/>
      <c r="BE91" s="275"/>
      <c r="BF91" s="275"/>
      <c r="BG91" s="275"/>
      <c r="BH91" s="436"/>
      <c r="BI91" s="275"/>
      <c r="BJ91" s="275"/>
      <c r="BK91" s="291"/>
      <c r="BL91" s="291"/>
      <c r="BM91" s="275"/>
      <c r="BN91" s="275"/>
      <c r="BO91" s="438"/>
      <c r="BP91" s="436"/>
      <c r="BQ91" s="275"/>
      <c r="BR91" s="275"/>
      <c r="BS91" s="275"/>
      <c r="BT91" s="275"/>
      <c r="BU91" s="275"/>
      <c r="BV91" s="275"/>
      <c r="BW91" s="275"/>
      <c r="BX91" s="438"/>
      <c r="BY91" s="436"/>
      <c r="BZ91" s="275"/>
      <c r="CA91" s="275"/>
      <c r="CB91" s="275"/>
      <c r="CC91" s="275"/>
      <c r="CD91" s="275"/>
      <c r="CE91" s="275"/>
      <c r="CF91" s="275"/>
      <c r="CG91" s="438"/>
      <c r="CH91" s="436"/>
      <c r="CI91" s="275"/>
      <c r="CJ91" s="275"/>
      <c r="CK91" s="275"/>
      <c r="CL91" s="275"/>
      <c r="CM91" s="275"/>
      <c r="CN91" s="275"/>
      <c r="CO91" s="442"/>
      <c r="CP91" s="443"/>
      <c r="CQ91" s="429">
        <f t="shared" si="16"/>
        <v>0</v>
      </c>
      <c r="CR91" s="430"/>
    </row>
    <row r="92" spans="1:96" ht="25.5" customHeight="1" x14ac:dyDescent="0.2">
      <c r="A92" s="410">
        <f t="shared" si="17"/>
        <v>77</v>
      </c>
      <c r="B92" s="280"/>
      <c r="C92" s="280"/>
      <c r="D92" s="411"/>
      <c r="E92" s="254"/>
      <c r="F92" s="277"/>
      <c r="G92" s="450"/>
      <c r="H92" s="451"/>
      <c r="I92" s="433" t="str">
        <f t="shared" si="11"/>
        <v/>
      </c>
      <c r="J92" s="434">
        <f t="shared" si="12"/>
        <v>0</v>
      </c>
      <c r="K92" s="279"/>
      <c r="L92" s="276"/>
      <c r="M92" s="435"/>
      <c r="N92" s="417" t="str">
        <f t="shared" si="13"/>
        <v/>
      </c>
      <c r="O92" s="418" t="str">
        <f>IF('Data Set up'!$G$40="JUNE",IF(OR($N92=7,$N92=8,$N92=9),1,IF(OR($N92=10,$N92=11,$N92=12),2,IF(OR($N92=1,$N92=2,$N92=3),3,IF(OR($N92=4,$N92=5,$N92=6),4,"")))),IF(OR($N92=9,$N92=10,$N92=11),1,IF(OR($N92=12,$N92=1,$N92=2),2,IF(OR($N92=3,$N92=4,$N92=5),3,IF(OR($N92=6,$N92=7,$N92=8),4,"")))))</f>
        <v/>
      </c>
      <c r="P92" s="445"/>
      <c r="Q92" s="291"/>
      <c r="R92" s="291"/>
      <c r="S92" s="275"/>
      <c r="T92" s="275"/>
      <c r="U92" s="275"/>
      <c r="V92" s="275"/>
      <c r="W92" s="275"/>
      <c r="X92" s="275"/>
      <c r="Y92" s="275"/>
      <c r="Z92" s="275"/>
      <c r="AA92" s="275"/>
      <c r="AB92" s="275"/>
      <c r="AC92" s="275"/>
      <c r="AD92" s="275"/>
      <c r="AE92" s="275"/>
      <c r="AF92" s="275"/>
      <c r="AG92" s="275"/>
      <c r="AH92" s="438"/>
      <c r="AI92" s="439">
        <f t="shared" si="14"/>
        <v>0</v>
      </c>
      <c r="AJ92" s="263"/>
      <c r="AK92" s="263"/>
      <c r="AL92" s="263"/>
      <c r="AM92" s="263"/>
      <c r="AN92" s="263"/>
      <c r="AO92" s="263"/>
      <c r="AP92" s="263"/>
      <c r="AQ92" s="436"/>
      <c r="AR92" s="275"/>
      <c r="AS92" s="275"/>
      <c r="AT92" s="275"/>
      <c r="AU92" s="275"/>
      <c r="AV92" s="275"/>
      <c r="AW92" s="275"/>
      <c r="AX92" s="275"/>
      <c r="AY92" s="437"/>
      <c r="AZ92" s="440">
        <f t="shared" si="15"/>
        <v>0</v>
      </c>
      <c r="BA92" s="275"/>
      <c r="BB92" s="275"/>
      <c r="BC92" s="275"/>
      <c r="BD92" s="275"/>
      <c r="BE92" s="275"/>
      <c r="BF92" s="275"/>
      <c r="BG92" s="275"/>
      <c r="BH92" s="436"/>
      <c r="BI92" s="275"/>
      <c r="BJ92" s="275"/>
      <c r="BK92" s="291"/>
      <c r="BL92" s="291"/>
      <c r="BM92" s="275"/>
      <c r="BN92" s="275"/>
      <c r="BO92" s="438"/>
      <c r="BP92" s="436"/>
      <c r="BQ92" s="275"/>
      <c r="BR92" s="275"/>
      <c r="BS92" s="275"/>
      <c r="BT92" s="275"/>
      <c r="BU92" s="275"/>
      <c r="BV92" s="275"/>
      <c r="BW92" s="275"/>
      <c r="BX92" s="438"/>
      <c r="BY92" s="436"/>
      <c r="BZ92" s="275"/>
      <c r="CA92" s="275"/>
      <c r="CB92" s="275"/>
      <c r="CC92" s="275"/>
      <c r="CD92" s="275"/>
      <c r="CE92" s="275"/>
      <c r="CF92" s="275"/>
      <c r="CG92" s="438"/>
      <c r="CH92" s="436"/>
      <c r="CI92" s="275"/>
      <c r="CJ92" s="275"/>
      <c r="CK92" s="275"/>
      <c r="CL92" s="275"/>
      <c r="CM92" s="275"/>
      <c r="CN92" s="275"/>
      <c r="CO92" s="442"/>
      <c r="CP92" s="443"/>
      <c r="CQ92" s="429">
        <f t="shared" si="16"/>
        <v>0</v>
      </c>
      <c r="CR92" s="430"/>
    </row>
    <row r="93" spans="1:96" ht="25.5" customHeight="1" x14ac:dyDescent="0.2">
      <c r="A93" s="410">
        <f t="shared" si="17"/>
        <v>78</v>
      </c>
      <c r="B93" s="280"/>
      <c r="C93" s="280"/>
      <c r="D93" s="411"/>
      <c r="E93" s="254"/>
      <c r="F93" s="277"/>
      <c r="G93" s="450"/>
      <c r="H93" s="451"/>
      <c r="I93" s="433" t="str">
        <f t="shared" si="11"/>
        <v/>
      </c>
      <c r="J93" s="434">
        <f t="shared" si="12"/>
        <v>0</v>
      </c>
      <c r="K93" s="279"/>
      <c r="L93" s="276"/>
      <c r="M93" s="435"/>
      <c r="N93" s="417" t="str">
        <f t="shared" si="13"/>
        <v/>
      </c>
      <c r="O93" s="418" t="str">
        <f>IF('Data Set up'!$G$40="JUNE",IF(OR($N93=7,$N93=8,$N93=9),1,IF(OR($N93=10,$N93=11,$N93=12),2,IF(OR($N93=1,$N93=2,$N93=3),3,IF(OR($N93=4,$N93=5,$N93=6),4,"")))),IF(OR($N93=9,$N93=10,$N93=11),1,IF(OR($N93=12,$N93=1,$N93=2),2,IF(OR($N93=3,$N93=4,$N93=5),3,IF(OR($N93=6,$N93=7,$N93=8),4,"")))))</f>
        <v/>
      </c>
      <c r="P93" s="445"/>
      <c r="Q93" s="291"/>
      <c r="R93" s="291"/>
      <c r="S93" s="275"/>
      <c r="T93" s="275"/>
      <c r="U93" s="275"/>
      <c r="V93" s="275"/>
      <c r="W93" s="275"/>
      <c r="X93" s="275"/>
      <c r="Y93" s="275"/>
      <c r="Z93" s="275"/>
      <c r="AA93" s="275"/>
      <c r="AB93" s="275"/>
      <c r="AC93" s="275"/>
      <c r="AD93" s="275"/>
      <c r="AE93" s="275"/>
      <c r="AF93" s="275"/>
      <c r="AG93" s="275"/>
      <c r="AH93" s="438"/>
      <c r="AI93" s="439">
        <f t="shared" si="14"/>
        <v>0</v>
      </c>
      <c r="AJ93" s="263"/>
      <c r="AK93" s="263"/>
      <c r="AL93" s="263"/>
      <c r="AM93" s="263"/>
      <c r="AN93" s="263"/>
      <c r="AO93" s="263"/>
      <c r="AP93" s="263"/>
      <c r="AQ93" s="436"/>
      <c r="AR93" s="275"/>
      <c r="AS93" s="275"/>
      <c r="AT93" s="275"/>
      <c r="AU93" s="275"/>
      <c r="AV93" s="275"/>
      <c r="AW93" s="275"/>
      <c r="AX93" s="275"/>
      <c r="AY93" s="437"/>
      <c r="AZ93" s="440">
        <f t="shared" si="15"/>
        <v>0</v>
      </c>
      <c r="BA93" s="275"/>
      <c r="BB93" s="275"/>
      <c r="BC93" s="275"/>
      <c r="BD93" s="275"/>
      <c r="BE93" s="275"/>
      <c r="BF93" s="275"/>
      <c r="BG93" s="275"/>
      <c r="BH93" s="436"/>
      <c r="BI93" s="275"/>
      <c r="BJ93" s="275"/>
      <c r="BK93" s="291"/>
      <c r="BL93" s="291"/>
      <c r="BM93" s="275"/>
      <c r="BN93" s="275"/>
      <c r="BO93" s="438"/>
      <c r="BP93" s="436"/>
      <c r="BQ93" s="275"/>
      <c r="BR93" s="275"/>
      <c r="BS93" s="275"/>
      <c r="BT93" s="275"/>
      <c r="BU93" s="275"/>
      <c r="BV93" s="275"/>
      <c r="BW93" s="275"/>
      <c r="BX93" s="438"/>
      <c r="BY93" s="436"/>
      <c r="BZ93" s="275"/>
      <c r="CA93" s="275"/>
      <c r="CB93" s="275"/>
      <c r="CC93" s="275"/>
      <c r="CD93" s="275"/>
      <c r="CE93" s="275"/>
      <c r="CF93" s="275"/>
      <c r="CG93" s="438"/>
      <c r="CH93" s="436"/>
      <c r="CI93" s="275"/>
      <c r="CJ93" s="275"/>
      <c r="CK93" s="275"/>
      <c r="CL93" s="275"/>
      <c r="CM93" s="275"/>
      <c r="CN93" s="275"/>
      <c r="CO93" s="442"/>
      <c r="CP93" s="443"/>
      <c r="CQ93" s="429">
        <f t="shared" si="16"/>
        <v>0</v>
      </c>
      <c r="CR93" s="430"/>
    </row>
    <row r="94" spans="1:96" ht="25.5" customHeight="1" x14ac:dyDescent="0.2">
      <c r="A94" s="410">
        <f t="shared" si="17"/>
        <v>79</v>
      </c>
      <c r="B94" s="280"/>
      <c r="C94" s="280"/>
      <c r="D94" s="411"/>
      <c r="E94" s="254"/>
      <c r="F94" s="277"/>
      <c r="G94" s="450"/>
      <c r="H94" s="451"/>
      <c r="I94" s="433" t="str">
        <f t="shared" si="11"/>
        <v/>
      </c>
      <c r="J94" s="434">
        <f t="shared" si="12"/>
        <v>0</v>
      </c>
      <c r="K94" s="279"/>
      <c r="L94" s="276"/>
      <c r="M94" s="435"/>
      <c r="N94" s="417" t="str">
        <f t="shared" si="13"/>
        <v/>
      </c>
      <c r="O94" s="418" t="str">
        <f>IF('Data Set up'!$G$40="JUNE",IF(OR($N94=7,$N94=8,$N94=9),1,IF(OR($N94=10,$N94=11,$N94=12),2,IF(OR($N94=1,$N94=2,$N94=3),3,IF(OR($N94=4,$N94=5,$N94=6),4,"")))),IF(OR($N94=9,$N94=10,$N94=11),1,IF(OR($N94=12,$N94=1,$N94=2),2,IF(OR($N94=3,$N94=4,$N94=5),3,IF(OR($N94=6,$N94=7,$N94=8),4,"")))))</f>
        <v/>
      </c>
      <c r="P94" s="445"/>
      <c r="Q94" s="291"/>
      <c r="R94" s="291"/>
      <c r="S94" s="275"/>
      <c r="T94" s="275"/>
      <c r="U94" s="275"/>
      <c r="V94" s="275"/>
      <c r="W94" s="275"/>
      <c r="X94" s="275"/>
      <c r="Y94" s="275"/>
      <c r="Z94" s="275"/>
      <c r="AA94" s="275"/>
      <c r="AB94" s="275"/>
      <c r="AC94" s="275"/>
      <c r="AD94" s="275"/>
      <c r="AE94" s="275"/>
      <c r="AF94" s="275"/>
      <c r="AG94" s="275"/>
      <c r="AH94" s="438"/>
      <c r="AI94" s="439">
        <f t="shared" si="14"/>
        <v>0</v>
      </c>
      <c r="AJ94" s="263"/>
      <c r="AK94" s="263"/>
      <c r="AL94" s="263"/>
      <c r="AM94" s="263"/>
      <c r="AN94" s="263"/>
      <c r="AO94" s="263"/>
      <c r="AP94" s="263"/>
      <c r="AQ94" s="436"/>
      <c r="AR94" s="275"/>
      <c r="AS94" s="275"/>
      <c r="AT94" s="275"/>
      <c r="AU94" s="275"/>
      <c r="AV94" s="275"/>
      <c r="AW94" s="275"/>
      <c r="AX94" s="275"/>
      <c r="AY94" s="437"/>
      <c r="AZ94" s="440">
        <f t="shared" si="15"/>
        <v>0</v>
      </c>
      <c r="BA94" s="275"/>
      <c r="BB94" s="275"/>
      <c r="BC94" s="275"/>
      <c r="BD94" s="275"/>
      <c r="BE94" s="275"/>
      <c r="BF94" s="275"/>
      <c r="BG94" s="275"/>
      <c r="BH94" s="436"/>
      <c r="BI94" s="275"/>
      <c r="BJ94" s="275"/>
      <c r="BK94" s="291"/>
      <c r="BL94" s="291"/>
      <c r="BM94" s="275"/>
      <c r="BN94" s="275"/>
      <c r="BO94" s="438"/>
      <c r="BP94" s="436"/>
      <c r="BQ94" s="275"/>
      <c r="BR94" s="275"/>
      <c r="BS94" s="275"/>
      <c r="BT94" s="275"/>
      <c r="BU94" s="275"/>
      <c r="BV94" s="275"/>
      <c r="BW94" s="275"/>
      <c r="BX94" s="438"/>
      <c r="BY94" s="436"/>
      <c r="BZ94" s="275"/>
      <c r="CA94" s="275"/>
      <c r="CB94" s="275"/>
      <c r="CC94" s="275"/>
      <c r="CD94" s="275"/>
      <c r="CE94" s="275"/>
      <c r="CF94" s="275"/>
      <c r="CG94" s="438"/>
      <c r="CH94" s="436"/>
      <c r="CI94" s="275"/>
      <c r="CJ94" s="275"/>
      <c r="CK94" s="275"/>
      <c r="CL94" s="275"/>
      <c r="CM94" s="275"/>
      <c r="CN94" s="275"/>
      <c r="CO94" s="442"/>
      <c r="CP94" s="443"/>
      <c r="CQ94" s="429">
        <f t="shared" si="16"/>
        <v>0</v>
      </c>
      <c r="CR94" s="430"/>
    </row>
    <row r="95" spans="1:96" ht="25.5" customHeight="1" x14ac:dyDescent="0.2">
      <c r="A95" s="410">
        <f t="shared" si="17"/>
        <v>80</v>
      </c>
      <c r="B95" s="280"/>
      <c r="C95" s="280"/>
      <c r="D95" s="411"/>
      <c r="E95" s="254"/>
      <c r="F95" s="277"/>
      <c r="G95" s="450"/>
      <c r="H95" s="451"/>
      <c r="I95" s="433" t="str">
        <f t="shared" si="11"/>
        <v/>
      </c>
      <c r="J95" s="434">
        <f t="shared" si="12"/>
        <v>0</v>
      </c>
      <c r="K95" s="279"/>
      <c r="L95" s="276"/>
      <c r="M95" s="435"/>
      <c r="N95" s="417" t="str">
        <f t="shared" si="13"/>
        <v/>
      </c>
      <c r="O95" s="418" t="str">
        <f>IF('Data Set up'!$G$40="JUNE",IF(OR($N95=7,$N95=8,$N95=9),1,IF(OR($N95=10,$N95=11,$N95=12),2,IF(OR($N95=1,$N95=2,$N95=3),3,IF(OR($N95=4,$N95=5,$N95=6),4,"")))),IF(OR($N95=9,$N95=10,$N95=11),1,IF(OR($N95=12,$N95=1,$N95=2),2,IF(OR($N95=3,$N95=4,$N95=5),3,IF(OR($N95=6,$N95=7,$N95=8),4,"")))))</f>
        <v/>
      </c>
      <c r="P95" s="445"/>
      <c r="Q95" s="291"/>
      <c r="R95" s="291"/>
      <c r="S95" s="275"/>
      <c r="T95" s="275"/>
      <c r="U95" s="275"/>
      <c r="V95" s="275"/>
      <c r="W95" s="275"/>
      <c r="X95" s="275"/>
      <c r="Y95" s="275"/>
      <c r="Z95" s="275"/>
      <c r="AA95" s="275"/>
      <c r="AB95" s="275"/>
      <c r="AC95" s="275"/>
      <c r="AD95" s="275"/>
      <c r="AE95" s="275"/>
      <c r="AF95" s="275"/>
      <c r="AG95" s="275"/>
      <c r="AH95" s="438"/>
      <c r="AI95" s="439">
        <f t="shared" si="14"/>
        <v>0</v>
      </c>
      <c r="AJ95" s="263"/>
      <c r="AK95" s="263"/>
      <c r="AL95" s="263"/>
      <c r="AM95" s="263"/>
      <c r="AN95" s="263"/>
      <c r="AO95" s="263"/>
      <c r="AP95" s="263"/>
      <c r="AQ95" s="436"/>
      <c r="AR95" s="275"/>
      <c r="AS95" s="275"/>
      <c r="AT95" s="275"/>
      <c r="AU95" s="275"/>
      <c r="AV95" s="275"/>
      <c r="AW95" s="275"/>
      <c r="AX95" s="275"/>
      <c r="AY95" s="437"/>
      <c r="AZ95" s="440">
        <f t="shared" si="15"/>
        <v>0</v>
      </c>
      <c r="BA95" s="275"/>
      <c r="BB95" s="275"/>
      <c r="BC95" s="275"/>
      <c r="BD95" s="275"/>
      <c r="BE95" s="275"/>
      <c r="BF95" s="275"/>
      <c r="BG95" s="275"/>
      <c r="BH95" s="436"/>
      <c r="BI95" s="275"/>
      <c r="BJ95" s="275"/>
      <c r="BK95" s="291"/>
      <c r="BL95" s="291"/>
      <c r="BM95" s="275"/>
      <c r="BN95" s="275"/>
      <c r="BO95" s="438"/>
      <c r="BP95" s="436"/>
      <c r="BQ95" s="275"/>
      <c r="BR95" s="275"/>
      <c r="BS95" s="275"/>
      <c r="BT95" s="275"/>
      <c r="BU95" s="275"/>
      <c r="BV95" s="275"/>
      <c r="BW95" s="275"/>
      <c r="BX95" s="438"/>
      <c r="BY95" s="436"/>
      <c r="BZ95" s="275"/>
      <c r="CA95" s="275"/>
      <c r="CB95" s="275"/>
      <c r="CC95" s="275"/>
      <c r="CD95" s="275"/>
      <c r="CE95" s="275"/>
      <c r="CF95" s="275"/>
      <c r="CG95" s="438"/>
      <c r="CH95" s="436"/>
      <c r="CI95" s="275"/>
      <c r="CJ95" s="275"/>
      <c r="CK95" s="275"/>
      <c r="CL95" s="275"/>
      <c r="CM95" s="275"/>
      <c r="CN95" s="275"/>
      <c r="CO95" s="442"/>
      <c r="CP95" s="443"/>
      <c r="CQ95" s="429">
        <f t="shared" si="16"/>
        <v>0</v>
      </c>
      <c r="CR95" s="430"/>
    </row>
    <row r="96" spans="1:96" ht="25.5" customHeight="1" x14ac:dyDescent="0.2">
      <c r="A96" s="410">
        <f t="shared" si="17"/>
        <v>81</v>
      </c>
      <c r="B96" s="280"/>
      <c r="C96" s="280"/>
      <c r="D96" s="411"/>
      <c r="E96" s="254"/>
      <c r="F96" s="277"/>
      <c r="G96" s="450"/>
      <c r="H96" s="451"/>
      <c r="I96" s="433" t="str">
        <f t="shared" si="11"/>
        <v/>
      </c>
      <c r="J96" s="434">
        <f t="shared" si="12"/>
        <v>0</v>
      </c>
      <c r="K96" s="279"/>
      <c r="L96" s="276"/>
      <c r="M96" s="435"/>
      <c r="N96" s="417" t="str">
        <f t="shared" si="13"/>
        <v/>
      </c>
      <c r="O96" s="418" t="str">
        <f>IF('Data Set up'!$G$40="JUNE",IF(OR($N96=7,$N96=8,$N96=9),1,IF(OR($N96=10,$N96=11,$N96=12),2,IF(OR($N96=1,$N96=2,$N96=3),3,IF(OR($N96=4,$N96=5,$N96=6),4,"")))),IF(OR($N96=9,$N96=10,$N96=11),1,IF(OR($N96=12,$N96=1,$N96=2),2,IF(OR($N96=3,$N96=4,$N96=5),3,IF(OR($N96=6,$N96=7,$N96=8),4,"")))))</f>
        <v/>
      </c>
      <c r="P96" s="445"/>
      <c r="Q96" s="291"/>
      <c r="R96" s="291"/>
      <c r="S96" s="275"/>
      <c r="T96" s="275"/>
      <c r="U96" s="275"/>
      <c r="V96" s="275"/>
      <c r="W96" s="275"/>
      <c r="X96" s="275"/>
      <c r="Y96" s="275"/>
      <c r="Z96" s="275"/>
      <c r="AA96" s="275"/>
      <c r="AB96" s="275"/>
      <c r="AC96" s="275"/>
      <c r="AD96" s="275"/>
      <c r="AE96" s="275"/>
      <c r="AF96" s="275"/>
      <c r="AG96" s="275"/>
      <c r="AH96" s="438"/>
      <c r="AI96" s="439">
        <f t="shared" si="14"/>
        <v>0</v>
      </c>
      <c r="AJ96" s="263"/>
      <c r="AK96" s="263"/>
      <c r="AL96" s="263"/>
      <c r="AM96" s="263"/>
      <c r="AN96" s="263"/>
      <c r="AO96" s="263"/>
      <c r="AP96" s="263"/>
      <c r="AQ96" s="436"/>
      <c r="AR96" s="275"/>
      <c r="AS96" s="275"/>
      <c r="AT96" s="275"/>
      <c r="AU96" s="275"/>
      <c r="AV96" s="275"/>
      <c r="AW96" s="275"/>
      <c r="AX96" s="275"/>
      <c r="AY96" s="437"/>
      <c r="AZ96" s="440">
        <f t="shared" si="15"/>
        <v>0</v>
      </c>
      <c r="BA96" s="275"/>
      <c r="BB96" s="275"/>
      <c r="BC96" s="275"/>
      <c r="BD96" s="275"/>
      <c r="BE96" s="275"/>
      <c r="BF96" s="275"/>
      <c r="BG96" s="275"/>
      <c r="BH96" s="436"/>
      <c r="BI96" s="275"/>
      <c r="BJ96" s="275"/>
      <c r="BK96" s="291"/>
      <c r="BL96" s="291"/>
      <c r="BM96" s="275"/>
      <c r="BN96" s="275"/>
      <c r="BO96" s="438"/>
      <c r="BP96" s="436"/>
      <c r="BQ96" s="275"/>
      <c r="BR96" s="275"/>
      <c r="BS96" s="275"/>
      <c r="BT96" s="275"/>
      <c r="BU96" s="275"/>
      <c r="BV96" s="275"/>
      <c r="BW96" s="275"/>
      <c r="BX96" s="438"/>
      <c r="BY96" s="436"/>
      <c r="BZ96" s="275"/>
      <c r="CA96" s="275"/>
      <c r="CB96" s="275"/>
      <c r="CC96" s="275"/>
      <c r="CD96" s="275"/>
      <c r="CE96" s="275"/>
      <c r="CF96" s="275"/>
      <c r="CG96" s="438"/>
      <c r="CH96" s="436"/>
      <c r="CI96" s="275"/>
      <c r="CJ96" s="275"/>
      <c r="CK96" s="275"/>
      <c r="CL96" s="275"/>
      <c r="CM96" s="275"/>
      <c r="CN96" s="275"/>
      <c r="CO96" s="442"/>
      <c r="CP96" s="443"/>
      <c r="CQ96" s="429">
        <f t="shared" si="16"/>
        <v>0</v>
      </c>
      <c r="CR96" s="430"/>
    </row>
    <row r="97" spans="1:96" ht="25.5" customHeight="1" x14ac:dyDescent="0.2">
      <c r="A97" s="410">
        <f t="shared" si="17"/>
        <v>82</v>
      </c>
      <c r="B97" s="280"/>
      <c r="C97" s="280"/>
      <c r="D97" s="411"/>
      <c r="E97" s="254"/>
      <c r="F97" s="277"/>
      <c r="G97" s="450"/>
      <c r="H97" s="451"/>
      <c r="I97" s="433" t="str">
        <f t="shared" si="11"/>
        <v/>
      </c>
      <c r="J97" s="434">
        <f t="shared" si="12"/>
        <v>0</v>
      </c>
      <c r="K97" s="279"/>
      <c r="L97" s="276"/>
      <c r="M97" s="435"/>
      <c r="N97" s="417" t="str">
        <f t="shared" si="13"/>
        <v/>
      </c>
      <c r="O97" s="418" t="str">
        <f>IF('Data Set up'!$G$40="JUNE",IF(OR($N97=7,$N97=8,$N97=9),1,IF(OR($N97=10,$N97=11,$N97=12),2,IF(OR($N97=1,$N97=2,$N97=3),3,IF(OR($N97=4,$N97=5,$N97=6),4,"")))),IF(OR($N97=9,$N97=10,$N97=11),1,IF(OR($N97=12,$N97=1,$N97=2),2,IF(OR($N97=3,$N97=4,$N97=5),3,IF(OR($N97=6,$N97=7,$N97=8),4,"")))))</f>
        <v/>
      </c>
      <c r="P97" s="445"/>
      <c r="Q97" s="291"/>
      <c r="R97" s="291"/>
      <c r="S97" s="275"/>
      <c r="T97" s="275"/>
      <c r="U97" s="275"/>
      <c r="V97" s="275"/>
      <c r="W97" s="275"/>
      <c r="X97" s="275"/>
      <c r="Y97" s="275"/>
      <c r="Z97" s="275"/>
      <c r="AA97" s="275"/>
      <c r="AB97" s="275"/>
      <c r="AC97" s="275"/>
      <c r="AD97" s="275"/>
      <c r="AE97" s="275"/>
      <c r="AF97" s="275"/>
      <c r="AG97" s="275"/>
      <c r="AH97" s="438"/>
      <c r="AI97" s="439">
        <f t="shared" si="14"/>
        <v>0</v>
      </c>
      <c r="AJ97" s="263"/>
      <c r="AK97" s="263"/>
      <c r="AL97" s="263"/>
      <c r="AM97" s="263"/>
      <c r="AN97" s="263"/>
      <c r="AO97" s="263"/>
      <c r="AP97" s="263"/>
      <c r="AQ97" s="436"/>
      <c r="AR97" s="275"/>
      <c r="AS97" s="275"/>
      <c r="AT97" s="275"/>
      <c r="AU97" s="275"/>
      <c r="AV97" s="275"/>
      <c r="AW97" s="275"/>
      <c r="AX97" s="275"/>
      <c r="AY97" s="437"/>
      <c r="AZ97" s="440">
        <f t="shared" si="15"/>
        <v>0</v>
      </c>
      <c r="BA97" s="275"/>
      <c r="BB97" s="275"/>
      <c r="BC97" s="275"/>
      <c r="BD97" s="275"/>
      <c r="BE97" s="275"/>
      <c r="BF97" s="275"/>
      <c r="BG97" s="275"/>
      <c r="BH97" s="436"/>
      <c r="BI97" s="275"/>
      <c r="BJ97" s="275"/>
      <c r="BK97" s="291"/>
      <c r="BL97" s="291"/>
      <c r="BM97" s="275"/>
      <c r="BN97" s="275"/>
      <c r="BO97" s="438"/>
      <c r="BP97" s="436"/>
      <c r="BQ97" s="275"/>
      <c r="BR97" s="275"/>
      <c r="BS97" s="275"/>
      <c r="BT97" s="275"/>
      <c r="BU97" s="275"/>
      <c r="BV97" s="275"/>
      <c r="BW97" s="275"/>
      <c r="BX97" s="438"/>
      <c r="BY97" s="436"/>
      <c r="BZ97" s="275"/>
      <c r="CA97" s="275"/>
      <c r="CB97" s="275"/>
      <c r="CC97" s="275"/>
      <c r="CD97" s="275"/>
      <c r="CE97" s="275"/>
      <c r="CF97" s="275"/>
      <c r="CG97" s="438"/>
      <c r="CH97" s="436"/>
      <c r="CI97" s="275"/>
      <c r="CJ97" s="275"/>
      <c r="CK97" s="275"/>
      <c r="CL97" s="275"/>
      <c r="CM97" s="275"/>
      <c r="CN97" s="275"/>
      <c r="CO97" s="442"/>
      <c r="CP97" s="443"/>
      <c r="CQ97" s="429">
        <f t="shared" si="16"/>
        <v>0</v>
      </c>
      <c r="CR97" s="430"/>
    </row>
    <row r="98" spans="1:96" ht="25.5" customHeight="1" x14ac:dyDescent="0.2">
      <c r="A98" s="410">
        <f t="shared" si="17"/>
        <v>83</v>
      </c>
      <c r="B98" s="280"/>
      <c r="C98" s="280"/>
      <c r="D98" s="411"/>
      <c r="E98" s="254"/>
      <c r="F98" s="277"/>
      <c r="G98" s="450"/>
      <c r="H98" s="451"/>
      <c r="I98" s="433" t="str">
        <f t="shared" si="11"/>
        <v/>
      </c>
      <c r="J98" s="434">
        <f t="shared" si="12"/>
        <v>0</v>
      </c>
      <c r="K98" s="279"/>
      <c r="L98" s="276"/>
      <c r="M98" s="435"/>
      <c r="N98" s="417" t="str">
        <f t="shared" si="13"/>
        <v/>
      </c>
      <c r="O98" s="418" t="str">
        <f>IF('Data Set up'!$G$40="JUNE",IF(OR($N98=7,$N98=8,$N98=9),1,IF(OR($N98=10,$N98=11,$N98=12),2,IF(OR($N98=1,$N98=2,$N98=3),3,IF(OR($N98=4,$N98=5,$N98=6),4,"")))),IF(OR($N98=9,$N98=10,$N98=11),1,IF(OR($N98=12,$N98=1,$N98=2),2,IF(OR($N98=3,$N98=4,$N98=5),3,IF(OR($N98=6,$N98=7,$N98=8),4,"")))))</f>
        <v/>
      </c>
      <c r="P98" s="445"/>
      <c r="Q98" s="291"/>
      <c r="R98" s="291"/>
      <c r="S98" s="275"/>
      <c r="T98" s="275"/>
      <c r="U98" s="275"/>
      <c r="V98" s="275"/>
      <c r="W98" s="275"/>
      <c r="X98" s="275"/>
      <c r="Y98" s="275"/>
      <c r="Z98" s="275"/>
      <c r="AA98" s="275"/>
      <c r="AB98" s="275"/>
      <c r="AC98" s="275"/>
      <c r="AD98" s="275"/>
      <c r="AE98" s="275"/>
      <c r="AF98" s="275"/>
      <c r="AG98" s="275"/>
      <c r="AH98" s="438"/>
      <c r="AI98" s="439">
        <f t="shared" si="14"/>
        <v>0</v>
      </c>
      <c r="AJ98" s="263"/>
      <c r="AK98" s="263"/>
      <c r="AL98" s="263"/>
      <c r="AM98" s="263"/>
      <c r="AN98" s="263"/>
      <c r="AO98" s="263"/>
      <c r="AP98" s="263"/>
      <c r="AQ98" s="436"/>
      <c r="AR98" s="275"/>
      <c r="AS98" s="275"/>
      <c r="AT98" s="275"/>
      <c r="AU98" s="275"/>
      <c r="AV98" s="275"/>
      <c r="AW98" s="275"/>
      <c r="AX98" s="275"/>
      <c r="AY98" s="437"/>
      <c r="AZ98" s="440">
        <f t="shared" si="15"/>
        <v>0</v>
      </c>
      <c r="BA98" s="275"/>
      <c r="BB98" s="275"/>
      <c r="BC98" s="275"/>
      <c r="BD98" s="275"/>
      <c r="BE98" s="275"/>
      <c r="BF98" s="275"/>
      <c r="BG98" s="275"/>
      <c r="BH98" s="436"/>
      <c r="BI98" s="275"/>
      <c r="BJ98" s="275"/>
      <c r="BK98" s="291"/>
      <c r="BL98" s="291"/>
      <c r="BM98" s="275"/>
      <c r="BN98" s="275"/>
      <c r="BO98" s="438"/>
      <c r="BP98" s="436"/>
      <c r="BQ98" s="275"/>
      <c r="BR98" s="275"/>
      <c r="BS98" s="275"/>
      <c r="BT98" s="275"/>
      <c r="BU98" s="275"/>
      <c r="BV98" s="275"/>
      <c r="BW98" s="275"/>
      <c r="BX98" s="438"/>
      <c r="BY98" s="436"/>
      <c r="BZ98" s="275"/>
      <c r="CA98" s="275"/>
      <c r="CB98" s="275"/>
      <c r="CC98" s="275"/>
      <c r="CD98" s="275"/>
      <c r="CE98" s="275"/>
      <c r="CF98" s="275"/>
      <c r="CG98" s="438"/>
      <c r="CH98" s="436"/>
      <c r="CI98" s="275"/>
      <c r="CJ98" s="275"/>
      <c r="CK98" s="275"/>
      <c r="CL98" s="275"/>
      <c r="CM98" s="275"/>
      <c r="CN98" s="275"/>
      <c r="CO98" s="442"/>
      <c r="CP98" s="443"/>
      <c r="CQ98" s="429">
        <f t="shared" si="16"/>
        <v>0</v>
      </c>
      <c r="CR98" s="430"/>
    </row>
    <row r="99" spans="1:96" ht="25.5" customHeight="1" x14ac:dyDescent="0.2">
      <c r="A99" s="410">
        <f t="shared" si="17"/>
        <v>84</v>
      </c>
      <c r="B99" s="280"/>
      <c r="C99" s="280"/>
      <c r="D99" s="411"/>
      <c r="E99" s="254"/>
      <c r="F99" s="277"/>
      <c r="G99" s="450"/>
      <c r="H99" s="451"/>
      <c r="I99" s="433" t="str">
        <f t="shared" si="11"/>
        <v/>
      </c>
      <c r="J99" s="434">
        <f t="shared" si="12"/>
        <v>0</v>
      </c>
      <c r="K99" s="279"/>
      <c r="L99" s="276"/>
      <c r="M99" s="435"/>
      <c r="N99" s="417" t="str">
        <f t="shared" si="13"/>
        <v/>
      </c>
      <c r="O99" s="418" t="str">
        <f>IF('Data Set up'!$G$40="JUNE",IF(OR($N99=7,$N99=8,$N99=9),1,IF(OR($N99=10,$N99=11,$N99=12),2,IF(OR($N99=1,$N99=2,$N99=3),3,IF(OR($N99=4,$N99=5,$N99=6),4,"")))),IF(OR($N99=9,$N99=10,$N99=11),1,IF(OR($N99=12,$N99=1,$N99=2),2,IF(OR($N99=3,$N99=4,$N99=5),3,IF(OR($N99=6,$N99=7,$N99=8),4,"")))))</f>
        <v/>
      </c>
      <c r="P99" s="445"/>
      <c r="Q99" s="291"/>
      <c r="R99" s="291"/>
      <c r="S99" s="275"/>
      <c r="T99" s="275"/>
      <c r="U99" s="275"/>
      <c r="V99" s="275"/>
      <c r="W99" s="275"/>
      <c r="X99" s="275"/>
      <c r="Y99" s="275"/>
      <c r="Z99" s="275"/>
      <c r="AA99" s="275"/>
      <c r="AB99" s="275"/>
      <c r="AC99" s="275"/>
      <c r="AD99" s="275"/>
      <c r="AE99" s="275"/>
      <c r="AF99" s="275"/>
      <c r="AG99" s="275"/>
      <c r="AH99" s="438"/>
      <c r="AI99" s="439">
        <f t="shared" si="14"/>
        <v>0</v>
      </c>
      <c r="AJ99" s="263"/>
      <c r="AK99" s="263"/>
      <c r="AL99" s="263"/>
      <c r="AM99" s="263"/>
      <c r="AN99" s="263"/>
      <c r="AO99" s="263"/>
      <c r="AP99" s="263"/>
      <c r="AQ99" s="436"/>
      <c r="AR99" s="275"/>
      <c r="AS99" s="275"/>
      <c r="AT99" s="275"/>
      <c r="AU99" s="275"/>
      <c r="AV99" s="275"/>
      <c r="AW99" s="275"/>
      <c r="AX99" s="275"/>
      <c r="AY99" s="437"/>
      <c r="AZ99" s="440">
        <f t="shared" si="15"/>
        <v>0</v>
      </c>
      <c r="BA99" s="275"/>
      <c r="BB99" s="275"/>
      <c r="BC99" s="275"/>
      <c r="BD99" s="275"/>
      <c r="BE99" s="275"/>
      <c r="BF99" s="275"/>
      <c r="BG99" s="275"/>
      <c r="BH99" s="436"/>
      <c r="BI99" s="275"/>
      <c r="BJ99" s="275"/>
      <c r="BK99" s="291"/>
      <c r="BL99" s="291"/>
      <c r="BM99" s="275"/>
      <c r="BN99" s="275"/>
      <c r="BO99" s="438"/>
      <c r="BP99" s="436"/>
      <c r="BQ99" s="275"/>
      <c r="BR99" s="275"/>
      <c r="BS99" s="275"/>
      <c r="BT99" s="275"/>
      <c r="BU99" s="275"/>
      <c r="BV99" s="275"/>
      <c r="BW99" s="275"/>
      <c r="BX99" s="438"/>
      <c r="BY99" s="436"/>
      <c r="BZ99" s="275"/>
      <c r="CA99" s="275"/>
      <c r="CB99" s="275"/>
      <c r="CC99" s="275"/>
      <c r="CD99" s="275"/>
      <c r="CE99" s="275"/>
      <c r="CF99" s="275"/>
      <c r="CG99" s="438"/>
      <c r="CH99" s="436"/>
      <c r="CI99" s="275"/>
      <c r="CJ99" s="275"/>
      <c r="CK99" s="275"/>
      <c r="CL99" s="275"/>
      <c r="CM99" s="275"/>
      <c r="CN99" s="275"/>
      <c r="CO99" s="442"/>
      <c r="CP99" s="443"/>
      <c r="CQ99" s="429">
        <f t="shared" si="16"/>
        <v>0</v>
      </c>
      <c r="CR99" s="430"/>
    </row>
    <row r="100" spans="1:96" ht="25.5" customHeight="1" x14ac:dyDescent="0.2">
      <c r="A100" s="410">
        <f t="shared" si="17"/>
        <v>85</v>
      </c>
      <c r="B100" s="280"/>
      <c r="C100" s="280"/>
      <c r="D100" s="411"/>
      <c r="E100" s="254"/>
      <c r="F100" s="277"/>
      <c r="G100" s="450"/>
      <c r="H100" s="451"/>
      <c r="I100" s="433" t="str">
        <f t="shared" si="11"/>
        <v/>
      </c>
      <c r="J100" s="434">
        <f t="shared" si="12"/>
        <v>0</v>
      </c>
      <c r="K100" s="279"/>
      <c r="L100" s="276"/>
      <c r="M100" s="435"/>
      <c r="N100" s="417" t="str">
        <f t="shared" si="13"/>
        <v/>
      </c>
      <c r="O100" s="418" t="str">
        <f>IF('Data Set up'!$G$40="JUNE",IF(OR($N100=7,$N100=8,$N100=9),1,IF(OR($N100=10,$N100=11,$N100=12),2,IF(OR($N100=1,$N100=2,$N100=3),3,IF(OR($N100=4,$N100=5,$N100=6),4,"")))),IF(OR($N100=9,$N100=10,$N100=11),1,IF(OR($N100=12,$N100=1,$N100=2),2,IF(OR($N100=3,$N100=4,$N100=5),3,IF(OR($N100=6,$N100=7,$N100=8),4,"")))))</f>
        <v/>
      </c>
      <c r="P100" s="445"/>
      <c r="Q100" s="291"/>
      <c r="R100" s="291"/>
      <c r="S100" s="275"/>
      <c r="T100" s="275"/>
      <c r="U100" s="275"/>
      <c r="V100" s="275"/>
      <c r="W100" s="275"/>
      <c r="X100" s="275"/>
      <c r="Y100" s="275"/>
      <c r="Z100" s="275"/>
      <c r="AA100" s="275"/>
      <c r="AB100" s="275"/>
      <c r="AC100" s="275"/>
      <c r="AD100" s="275"/>
      <c r="AE100" s="275"/>
      <c r="AF100" s="275"/>
      <c r="AG100" s="275"/>
      <c r="AH100" s="438"/>
      <c r="AI100" s="439">
        <f t="shared" si="14"/>
        <v>0</v>
      </c>
      <c r="AJ100" s="263"/>
      <c r="AK100" s="263"/>
      <c r="AL100" s="263"/>
      <c r="AM100" s="263"/>
      <c r="AN100" s="263"/>
      <c r="AO100" s="263"/>
      <c r="AP100" s="263"/>
      <c r="AQ100" s="436"/>
      <c r="AR100" s="275"/>
      <c r="AS100" s="275"/>
      <c r="AT100" s="275"/>
      <c r="AU100" s="275"/>
      <c r="AV100" s="275"/>
      <c r="AW100" s="275"/>
      <c r="AX100" s="275"/>
      <c r="AY100" s="437"/>
      <c r="AZ100" s="440">
        <f t="shared" si="15"/>
        <v>0</v>
      </c>
      <c r="BA100" s="275"/>
      <c r="BB100" s="275"/>
      <c r="BC100" s="275"/>
      <c r="BD100" s="275"/>
      <c r="BE100" s="275"/>
      <c r="BF100" s="275"/>
      <c r="BG100" s="275"/>
      <c r="BH100" s="436"/>
      <c r="BI100" s="275"/>
      <c r="BJ100" s="275"/>
      <c r="BK100" s="291"/>
      <c r="BL100" s="291"/>
      <c r="BM100" s="275"/>
      <c r="BN100" s="275"/>
      <c r="BO100" s="438"/>
      <c r="BP100" s="436"/>
      <c r="BQ100" s="275"/>
      <c r="BR100" s="275"/>
      <c r="BS100" s="275"/>
      <c r="BT100" s="275"/>
      <c r="BU100" s="275"/>
      <c r="BV100" s="275"/>
      <c r="BW100" s="275"/>
      <c r="BX100" s="438"/>
      <c r="BY100" s="436"/>
      <c r="BZ100" s="275"/>
      <c r="CA100" s="275"/>
      <c r="CB100" s="275"/>
      <c r="CC100" s="275"/>
      <c r="CD100" s="275"/>
      <c r="CE100" s="275"/>
      <c r="CF100" s="275"/>
      <c r="CG100" s="438"/>
      <c r="CH100" s="436"/>
      <c r="CI100" s="275"/>
      <c r="CJ100" s="275"/>
      <c r="CK100" s="275"/>
      <c r="CL100" s="275"/>
      <c r="CM100" s="275"/>
      <c r="CN100" s="275"/>
      <c r="CO100" s="442"/>
      <c r="CP100" s="443"/>
      <c r="CQ100" s="429">
        <f t="shared" si="16"/>
        <v>0</v>
      </c>
      <c r="CR100" s="430"/>
    </row>
    <row r="101" spans="1:96" ht="25.5" customHeight="1" x14ac:dyDescent="0.2">
      <c r="A101" s="410">
        <f t="shared" si="17"/>
        <v>86</v>
      </c>
      <c r="B101" s="280"/>
      <c r="C101" s="280"/>
      <c r="D101" s="411"/>
      <c r="E101" s="254"/>
      <c r="F101" s="277"/>
      <c r="G101" s="450"/>
      <c r="H101" s="451"/>
      <c r="I101" s="433" t="str">
        <f t="shared" si="11"/>
        <v/>
      </c>
      <c r="J101" s="434">
        <f t="shared" si="12"/>
        <v>0</v>
      </c>
      <c r="K101" s="279"/>
      <c r="L101" s="276"/>
      <c r="M101" s="435"/>
      <c r="N101" s="417" t="str">
        <f t="shared" si="13"/>
        <v/>
      </c>
      <c r="O101" s="418" t="str">
        <f>IF('Data Set up'!$G$40="JUNE",IF(OR($N101=7,$N101=8,$N101=9),1,IF(OR($N101=10,$N101=11,$N101=12),2,IF(OR($N101=1,$N101=2,$N101=3),3,IF(OR($N101=4,$N101=5,$N101=6),4,"")))),IF(OR($N101=9,$N101=10,$N101=11),1,IF(OR($N101=12,$N101=1,$N101=2),2,IF(OR($N101=3,$N101=4,$N101=5),3,IF(OR($N101=6,$N101=7,$N101=8),4,"")))))</f>
        <v/>
      </c>
      <c r="P101" s="445"/>
      <c r="Q101" s="291"/>
      <c r="R101" s="291"/>
      <c r="S101" s="275"/>
      <c r="T101" s="275"/>
      <c r="U101" s="275"/>
      <c r="V101" s="275"/>
      <c r="W101" s="275"/>
      <c r="X101" s="275"/>
      <c r="Y101" s="275"/>
      <c r="Z101" s="275"/>
      <c r="AA101" s="275"/>
      <c r="AB101" s="275"/>
      <c r="AC101" s="275"/>
      <c r="AD101" s="275"/>
      <c r="AE101" s="275"/>
      <c r="AF101" s="275"/>
      <c r="AG101" s="275"/>
      <c r="AH101" s="438"/>
      <c r="AI101" s="439">
        <f t="shared" si="14"/>
        <v>0</v>
      </c>
      <c r="AJ101" s="263"/>
      <c r="AK101" s="263"/>
      <c r="AL101" s="263"/>
      <c r="AM101" s="263"/>
      <c r="AN101" s="263"/>
      <c r="AO101" s="263"/>
      <c r="AP101" s="263"/>
      <c r="AQ101" s="436"/>
      <c r="AR101" s="275"/>
      <c r="AS101" s="275"/>
      <c r="AT101" s="275"/>
      <c r="AU101" s="275"/>
      <c r="AV101" s="275"/>
      <c r="AW101" s="275"/>
      <c r="AX101" s="275"/>
      <c r="AY101" s="437"/>
      <c r="AZ101" s="440">
        <f t="shared" si="15"/>
        <v>0</v>
      </c>
      <c r="BA101" s="275"/>
      <c r="BB101" s="275"/>
      <c r="BC101" s="275"/>
      <c r="BD101" s="275"/>
      <c r="BE101" s="275"/>
      <c r="BF101" s="275"/>
      <c r="BG101" s="275"/>
      <c r="BH101" s="436"/>
      <c r="BI101" s="275"/>
      <c r="BJ101" s="275"/>
      <c r="BK101" s="291"/>
      <c r="BL101" s="291"/>
      <c r="BM101" s="275"/>
      <c r="BN101" s="275"/>
      <c r="BO101" s="438"/>
      <c r="BP101" s="436"/>
      <c r="BQ101" s="275"/>
      <c r="BR101" s="275"/>
      <c r="BS101" s="275"/>
      <c r="BT101" s="275"/>
      <c r="BU101" s="275"/>
      <c r="BV101" s="275"/>
      <c r="BW101" s="275"/>
      <c r="BX101" s="438"/>
      <c r="BY101" s="436"/>
      <c r="BZ101" s="275"/>
      <c r="CA101" s="275"/>
      <c r="CB101" s="275"/>
      <c r="CC101" s="275"/>
      <c r="CD101" s="275"/>
      <c r="CE101" s="275"/>
      <c r="CF101" s="275"/>
      <c r="CG101" s="438"/>
      <c r="CH101" s="436"/>
      <c r="CI101" s="275"/>
      <c r="CJ101" s="275"/>
      <c r="CK101" s="275"/>
      <c r="CL101" s="275"/>
      <c r="CM101" s="275"/>
      <c r="CN101" s="275"/>
      <c r="CO101" s="442"/>
      <c r="CP101" s="443"/>
      <c r="CQ101" s="429">
        <f t="shared" si="16"/>
        <v>0</v>
      </c>
      <c r="CR101" s="430"/>
    </row>
    <row r="102" spans="1:96" ht="25.5" customHeight="1" x14ac:dyDescent="0.2">
      <c r="A102" s="410">
        <f t="shared" si="17"/>
        <v>87</v>
      </c>
      <c r="B102" s="280"/>
      <c r="C102" s="280"/>
      <c r="D102" s="411"/>
      <c r="E102" s="254"/>
      <c r="F102" s="277"/>
      <c r="G102" s="450"/>
      <c r="H102" s="451"/>
      <c r="I102" s="433" t="str">
        <f t="shared" si="11"/>
        <v/>
      </c>
      <c r="J102" s="434">
        <f t="shared" si="12"/>
        <v>0</v>
      </c>
      <c r="K102" s="279"/>
      <c r="L102" s="276"/>
      <c r="M102" s="435"/>
      <c r="N102" s="417" t="str">
        <f t="shared" si="13"/>
        <v/>
      </c>
      <c r="O102" s="418" t="str">
        <f>IF('Data Set up'!$G$40="JUNE",IF(OR($N102=7,$N102=8,$N102=9),1,IF(OR($N102=10,$N102=11,$N102=12),2,IF(OR($N102=1,$N102=2,$N102=3),3,IF(OR($N102=4,$N102=5,$N102=6),4,"")))),IF(OR($N102=9,$N102=10,$N102=11),1,IF(OR($N102=12,$N102=1,$N102=2),2,IF(OR($N102=3,$N102=4,$N102=5),3,IF(OR($N102=6,$N102=7,$N102=8),4,"")))))</f>
        <v/>
      </c>
      <c r="P102" s="445"/>
      <c r="Q102" s="291"/>
      <c r="R102" s="291"/>
      <c r="S102" s="275"/>
      <c r="T102" s="275"/>
      <c r="U102" s="275"/>
      <c r="V102" s="275"/>
      <c r="W102" s="275"/>
      <c r="X102" s="275"/>
      <c r="Y102" s="275"/>
      <c r="Z102" s="275"/>
      <c r="AA102" s="275"/>
      <c r="AB102" s="275"/>
      <c r="AC102" s="275"/>
      <c r="AD102" s="275"/>
      <c r="AE102" s="275"/>
      <c r="AF102" s="275"/>
      <c r="AG102" s="275"/>
      <c r="AH102" s="438"/>
      <c r="AI102" s="439">
        <f t="shared" si="14"/>
        <v>0</v>
      </c>
      <c r="AJ102" s="263"/>
      <c r="AK102" s="263"/>
      <c r="AL102" s="263"/>
      <c r="AM102" s="263"/>
      <c r="AN102" s="263"/>
      <c r="AO102" s="263"/>
      <c r="AP102" s="263"/>
      <c r="AQ102" s="436"/>
      <c r="AR102" s="275"/>
      <c r="AS102" s="275"/>
      <c r="AT102" s="275"/>
      <c r="AU102" s="275"/>
      <c r="AV102" s="275"/>
      <c r="AW102" s="275"/>
      <c r="AX102" s="275"/>
      <c r="AY102" s="437"/>
      <c r="AZ102" s="440">
        <f t="shared" si="15"/>
        <v>0</v>
      </c>
      <c r="BA102" s="275"/>
      <c r="BB102" s="275"/>
      <c r="BC102" s="275"/>
      <c r="BD102" s="275"/>
      <c r="BE102" s="275"/>
      <c r="BF102" s="275"/>
      <c r="BG102" s="275"/>
      <c r="BH102" s="436"/>
      <c r="BI102" s="275"/>
      <c r="BJ102" s="275"/>
      <c r="BK102" s="291"/>
      <c r="BL102" s="291"/>
      <c r="BM102" s="275"/>
      <c r="BN102" s="275"/>
      <c r="BO102" s="438"/>
      <c r="BP102" s="436"/>
      <c r="BQ102" s="275"/>
      <c r="BR102" s="275"/>
      <c r="BS102" s="275"/>
      <c r="BT102" s="275"/>
      <c r="BU102" s="275"/>
      <c r="BV102" s="275"/>
      <c r="BW102" s="275"/>
      <c r="BX102" s="438"/>
      <c r="BY102" s="436"/>
      <c r="BZ102" s="275"/>
      <c r="CA102" s="275"/>
      <c r="CB102" s="275"/>
      <c r="CC102" s="275"/>
      <c r="CD102" s="275"/>
      <c r="CE102" s="275"/>
      <c r="CF102" s="275"/>
      <c r="CG102" s="438"/>
      <c r="CH102" s="436"/>
      <c r="CI102" s="275"/>
      <c r="CJ102" s="275"/>
      <c r="CK102" s="275"/>
      <c r="CL102" s="275"/>
      <c r="CM102" s="275"/>
      <c r="CN102" s="275"/>
      <c r="CO102" s="442"/>
      <c r="CP102" s="443"/>
      <c r="CQ102" s="429">
        <f t="shared" si="16"/>
        <v>0</v>
      </c>
      <c r="CR102" s="430"/>
    </row>
    <row r="103" spans="1:96" ht="25.5" customHeight="1" x14ac:dyDescent="0.2">
      <c r="A103" s="410">
        <f t="shared" si="17"/>
        <v>88</v>
      </c>
      <c r="B103" s="280"/>
      <c r="C103" s="280"/>
      <c r="D103" s="411"/>
      <c r="E103" s="254"/>
      <c r="F103" s="277"/>
      <c r="G103" s="450"/>
      <c r="H103" s="451"/>
      <c r="I103" s="433" t="str">
        <f t="shared" si="11"/>
        <v/>
      </c>
      <c r="J103" s="434">
        <f t="shared" si="12"/>
        <v>0</v>
      </c>
      <c r="K103" s="279"/>
      <c r="L103" s="276"/>
      <c r="M103" s="435"/>
      <c r="N103" s="417" t="str">
        <f t="shared" si="13"/>
        <v/>
      </c>
      <c r="O103" s="418" t="str">
        <f>IF('Data Set up'!$G$40="JUNE",IF(OR($N103=7,$N103=8,$N103=9),1,IF(OR($N103=10,$N103=11,$N103=12),2,IF(OR($N103=1,$N103=2,$N103=3),3,IF(OR($N103=4,$N103=5,$N103=6),4,"")))),IF(OR($N103=9,$N103=10,$N103=11),1,IF(OR($N103=12,$N103=1,$N103=2),2,IF(OR($N103=3,$N103=4,$N103=5),3,IF(OR($N103=6,$N103=7,$N103=8),4,"")))))</f>
        <v/>
      </c>
      <c r="P103" s="445"/>
      <c r="Q103" s="291"/>
      <c r="R103" s="291"/>
      <c r="S103" s="275"/>
      <c r="T103" s="275"/>
      <c r="U103" s="275"/>
      <c r="V103" s="275"/>
      <c r="W103" s="275"/>
      <c r="X103" s="275"/>
      <c r="Y103" s="275"/>
      <c r="Z103" s="275"/>
      <c r="AA103" s="275"/>
      <c r="AB103" s="275"/>
      <c r="AC103" s="275"/>
      <c r="AD103" s="275"/>
      <c r="AE103" s="275"/>
      <c r="AF103" s="275"/>
      <c r="AG103" s="275"/>
      <c r="AH103" s="438"/>
      <c r="AI103" s="439">
        <f t="shared" si="14"/>
        <v>0</v>
      </c>
      <c r="AJ103" s="263"/>
      <c r="AK103" s="263"/>
      <c r="AL103" s="263"/>
      <c r="AM103" s="263"/>
      <c r="AN103" s="263"/>
      <c r="AO103" s="263"/>
      <c r="AP103" s="263"/>
      <c r="AQ103" s="436"/>
      <c r="AR103" s="275"/>
      <c r="AS103" s="275"/>
      <c r="AT103" s="275"/>
      <c r="AU103" s="275"/>
      <c r="AV103" s="275"/>
      <c r="AW103" s="275"/>
      <c r="AX103" s="275"/>
      <c r="AY103" s="437"/>
      <c r="AZ103" s="440">
        <f t="shared" si="15"/>
        <v>0</v>
      </c>
      <c r="BA103" s="275"/>
      <c r="BB103" s="275"/>
      <c r="BC103" s="275"/>
      <c r="BD103" s="275"/>
      <c r="BE103" s="275"/>
      <c r="BF103" s="275"/>
      <c r="BG103" s="275"/>
      <c r="BH103" s="436"/>
      <c r="BI103" s="275"/>
      <c r="BJ103" s="275"/>
      <c r="BK103" s="291"/>
      <c r="BL103" s="291"/>
      <c r="BM103" s="275"/>
      <c r="BN103" s="275"/>
      <c r="BO103" s="438"/>
      <c r="BP103" s="436"/>
      <c r="BQ103" s="275"/>
      <c r="BR103" s="275"/>
      <c r="BS103" s="275"/>
      <c r="BT103" s="275"/>
      <c r="BU103" s="275"/>
      <c r="BV103" s="275"/>
      <c r="BW103" s="275"/>
      <c r="BX103" s="438"/>
      <c r="BY103" s="436"/>
      <c r="BZ103" s="275"/>
      <c r="CA103" s="275"/>
      <c r="CB103" s="275"/>
      <c r="CC103" s="275"/>
      <c r="CD103" s="275"/>
      <c r="CE103" s="275"/>
      <c r="CF103" s="275"/>
      <c r="CG103" s="438"/>
      <c r="CH103" s="436"/>
      <c r="CI103" s="275"/>
      <c r="CJ103" s="275"/>
      <c r="CK103" s="275"/>
      <c r="CL103" s="275"/>
      <c r="CM103" s="275"/>
      <c r="CN103" s="275"/>
      <c r="CO103" s="442"/>
      <c r="CP103" s="443"/>
      <c r="CQ103" s="429">
        <f t="shared" si="16"/>
        <v>0</v>
      </c>
      <c r="CR103" s="430"/>
    </row>
    <row r="104" spans="1:96" ht="25.5" customHeight="1" x14ac:dyDescent="0.2">
      <c r="A104" s="410">
        <f t="shared" si="17"/>
        <v>89</v>
      </c>
      <c r="B104" s="280"/>
      <c r="C104" s="280"/>
      <c r="D104" s="411"/>
      <c r="E104" s="254"/>
      <c r="F104" s="277"/>
      <c r="G104" s="450"/>
      <c r="H104" s="451"/>
      <c r="I104" s="433" t="str">
        <f t="shared" si="11"/>
        <v/>
      </c>
      <c r="J104" s="434">
        <f t="shared" si="12"/>
        <v>0</v>
      </c>
      <c r="K104" s="279"/>
      <c r="L104" s="276"/>
      <c r="M104" s="435"/>
      <c r="N104" s="417" t="str">
        <f t="shared" si="13"/>
        <v/>
      </c>
      <c r="O104" s="418" t="str">
        <f>IF('Data Set up'!$G$40="JUNE",IF(OR($N104=7,$N104=8,$N104=9),1,IF(OR($N104=10,$N104=11,$N104=12),2,IF(OR($N104=1,$N104=2,$N104=3),3,IF(OR($N104=4,$N104=5,$N104=6),4,"")))),IF(OR($N104=9,$N104=10,$N104=11),1,IF(OR($N104=12,$N104=1,$N104=2),2,IF(OR($N104=3,$N104=4,$N104=5),3,IF(OR($N104=6,$N104=7,$N104=8),4,"")))))</f>
        <v/>
      </c>
      <c r="P104" s="445"/>
      <c r="Q104" s="291"/>
      <c r="R104" s="291"/>
      <c r="S104" s="275"/>
      <c r="T104" s="275"/>
      <c r="U104" s="275"/>
      <c r="V104" s="275"/>
      <c r="W104" s="275"/>
      <c r="X104" s="275"/>
      <c r="Y104" s="275"/>
      <c r="Z104" s="275"/>
      <c r="AA104" s="275"/>
      <c r="AB104" s="275"/>
      <c r="AC104" s="275"/>
      <c r="AD104" s="275"/>
      <c r="AE104" s="275"/>
      <c r="AF104" s="275"/>
      <c r="AG104" s="275"/>
      <c r="AH104" s="438"/>
      <c r="AI104" s="439">
        <f t="shared" si="14"/>
        <v>0</v>
      </c>
      <c r="AJ104" s="263"/>
      <c r="AK104" s="263"/>
      <c r="AL104" s="263"/>
      <c r="AM104" s="263"/>
      <c r="AN104" s="263"/>
      <c r="AO104" s="263"/>
      <c r="AP104" s="263"/>
      <c r="AQ104" s="436"/>
      <c r="AR104" s="275"/>
      <c r="AS104" s="275"/>
      <c r="AT104" s="275"/>
      <c r="AU104" s="275"/>
      <c r="AV104" s="275"/>
      <c r="AW104" s="275"/>
      <c r="AX104" s="275"/>
      <c r="AY104" s="437"/>
      <c r="AZ104" s="440">
        <f t="shared" si="15"/>
        <v>0</v>
      </c>
      <c r="BA104" s="275"/>
      <c r="BB104" s="275"/>
      <c r="BC104" s="275"/>
      <c r="BD104" s="275"/>
      <c r="BE104" s="275"/>
      <c r="BF104" s="275"/>
      <c r="BG104" s="275"/>
      <c r="BH104" s="436"/>
      <c r="BI104" s="275"/>
      <c r="BJ104" s="275"/>
      <c r="BK104" s="291"/>
      <c r="BL104" s="291"/>
      <c r="BM104" s="275"/>
      <c r="BN104" s="275"/>
      <c r="BO104" s="438"/>
      <c r="BP104" s="436"/>
      <c r="BQ104" s="275"/>
      <c r="BR104" s="275"/>
      <c r="BS104" s="275"/>
      <c r="BT104" s="275"/>
      <c r="BU104" s="275"/>
      <c r="BV104" s="275"/>
      <c r="BW104" s="275"/>
      <c r="BX104" s="438"/>
      <c r="BY104" s="436"/>
      <c r="BZ104" s="275"/>
      <c r="CA104" s="275"/>
      <c r="CB104" s="275"/>
      <c r="CC104" s="275"/>
      <c r="CD104" s="275"/>
      <c r="CE104" s="275"/>
      <c r="CF104" s="275"/>
      <c r="CG104" s="438"/>
      <c r="CH104" s="436"/>
      <c r="CI104" s="275"/>
      <c r="CJ104" s="275"/>
      <c r="CK104" s="275"/>
      <c r="CL104" s="275"/>
      <c r="CM104" s="275"/>
      <c r="CN104" s="275"/>
      <c r="CO104" s="442"/>
      <c r="CP104" s="443"/>
      <c r="CQ104" s="429">
        <f t="shared" si="16"/>
        <v>0</v>
      </c>
      <c r="CR104" s="430"/>
    </row>
    <row r="105" spans="1:96" ht="25.5" customHeight="1" x14ac:dyDescent="0.2">
      <c r="A105" s="410">
        <f t="shared" si="17"/>
        <v>90</v>
      </c>
      <c r="B105" s="280"/>
      <c r="C105" s="280"/>
      <c r="D105" s="411"/>
      <c r="E105" s="254"/>
      <c r="F105" s="277"/>
      <c r="G105" s="450"/>
      <c r="H105" s="451"/>
      <c r="I105" s="433" t="str">
        <f t="shared" si="11"/>
        <v/>
      </c>
      <c r="J105" s="434">
        <f t="shared" si="12"/>
        <v>0</v>
      </c>
      <c r="K105" s="279"/>
      <c r="L105" s="276"/>
      <c r="M105" s="435"/>
      <c r="N105" s="417" t="str">
        <f t="shared" si="13"/>
        <v/>
      </c>
      <c r="O105" s="418" t="str">
        <f>IF('Data Set up'!$G$40="JUNE",IF(OR($N105=7,$N105=8,$N105=9),1,IF(OR($N105=10,$N105=11,$N105=12),2,IF(OR($N105=1,$N105=2,$N105=3),3,IF(OR($N105=4,$N105=5,$N105=6),4,"")))),IF(OR($N105=9,$N105=10,$N105=11),1,IF(OR($N105=12,$N105=1,$N105=2),2,IF(OR($N105=3,$N105=4,$N105=5),3,IF(OR($N105=6,$N105=7,$N105=8),4,"")))))</f>
        <v/>
      </c>
      <c r="P105" s="445"/>
      <c r="Q105" s="291"/>
      <c r="R105" s="291"/>
      <c r="S105" s="275"/>
      <c r="T105" s="275"/>
      <c r="U105" s="275"/>
      <c r="V105" s="275"/>
      <c r="W105" s="275"/>
      <c r="X105" s="275"/>
      <c r="Y105" s="275"/>
      <c r="Z105" s="275"/>
      <c r="AA105" s="275"/>
      <c r="AB105" s="275"/>
      <c r="AC105" s="275"/>
      <c r="AD105" s="275"/>
      <c r="AE105" s="275"/>
      <c r="AF105" s="275"/>
      <c r="AG105" s="275"/>
      <c r="AH105" s="438"/>
      <c r="AI105" s="439">
        <f t="shared" si="14"/>
        <v>0</v>
      </c>
      <c r="AJ105" s="263"/>
      <c r="AK105" s="263"/>
      <c r="AL105" s="263"/>
      <c r="AM105" s="263"/>
      <c r="AN105" s="263"/>
      <c r="AO105" s="263"/>
      <c r="AP105" s="263"/>
      <c r="AQ105" s="436"/>
      <c r="AR105" s="275"/>
      <c r="AS105" s="275"/>
      <c r="AT105" s="275"/>
      <c r="AU105" s="275"/>
      <c r="AV105" s="275"/>
      <c r="AW105" s="275"/>
      <c r="AX105" s="275"/>
      <c r="AY105" s="437"/>
      <c r="AZ105" s="440">
        <f t="shared" si="15"/>
        <v>0</v>
      </c>
      <c r="BA105" s="275"/>
      <c r="BB105" s="275"/>
      <c r="BC105" s="275"/>
      <c r="BD105" s="275"/>
      <c r="BE105" s="275"/>
      <c r="BF105" s="275"/>
      <c r="BG105" s="275"/>
      <c r="BH105" s="436"/>
      <c r="BI105" s="275"/>
      <c r="BJ105" s="275"/>
      <c r="BK105" s="291"/>
      <c r="BL105" s="291"/>
      <c r="BM105" s="275"/>
      <c r="BN105" s="275"/>
      <c r="BO105" s="438"/>
      <c r="BP105" s="436"/>
      <c r="BQ105" s="275"/>
      <c r="BR105" s="275"/>
      <c r="BS105" s="275"/>
      <c r="BT105" s="275"/>
      <c r="BU105" s="275"/>
      <c r="BV105" s="275"/>
      <c r="BW105" s="275"/>
      <c r="BX105" s="438"/>
      <c r="BY105" s="436"/>
      <c r="BZ105" s="275"/>
      <c r="CA105" s="275"/>
      <c r="CB105" s="275"/>
      <c r="CC105" s="275"/>
      <c r="CD105" s="275"/>
      <c r="CE105" s="275"/>
      <c r="CF105" s="275"/>
      <c r="CG105" s="438"/>
      <c r="CH105" s="436"/>
      <c r="CI105" s="275"/>
      <c r="CJ105" s="275"/>
      <c r="CK105" s="275"/>
      <c r="CL105" s="275"/>
      <c r="CM105" s="275"/>
      <c r="CN105" s="275"/>
      <c r="CO105" s="442"/>
      <c r="CP105" s="443"/>
      <c r="CQ105" s="429">
        <f t="shared" si="16"/>
        <v>0</v>
      </c>
      <c r="CR105" s="430"/>
    </row>
    <row r="106" spans="1:96" ht="25.5" customHeight="1" x14ac:dyDescent="0.2">
      <c r="A106" s="410">
        <f t="shared" si="17"/>
        <v>91</v>
      </c>
      <c r="B106" s="280"/>
      <c r="C106" s="280"/>
      <c r="D106" s="411"/>
      <c r="E106" s="254"/>
      <c r="F106" s="277"/>
      <c r="G106" s="450"/>
      <c r="H106" s="451"/>
      <c r="I106" s="433" t="str">
        <f t="shared" si="11"/>
        <v/>
      </c>
      <c r="J106" s="434">
        <f t="shared" si="12"/>
        <v>0</v>
      </c>
      <c r="K106" s="279"/>
      <c r="L106" s="276"/>
      <c r="M106" s="435"/>
      <c r="N106" s="417" t="str">
        <f t="shared" si="13"/>
        <v/>
      </c>
      <c r="O106" s="418" t="str">
        <f>IF('Data Set up'!$G$40="JUNE",IF(OR($N106=7,$N106=8,$N106=9),1,IF(OR($N106=10,$N106=11,$N106=12),2,IF(OR($N106=1,$N106=2,$N106=3),3,IF(OR($N106=4,$N106=5,$N106=6),4,"")))),IF(OR($N106=9,$N106=10,$N106=11),1,IF(OR($N106=12,$N106=1,$N106=2),2,IF(OR($N106=3,$N106=4,$N106=5),3,IF(OR($N106=6,$N106=7,$N106=8),4,"")))))</f>
        <v/>
      </c>
      <c r="P106" s="445"/>
      <c r="Q106" s="291"/>
      <c r="R106" s="291"/>
      <c r="S106" s="275"/>
      <c r="T106" s="275"/>
      <c r="U106" s="275"/>
      <c r="V106" s="275"/>
      <c r="W106" s="275"/>
      <c r="X106" s="275"/>
      <c r="Y106" s="275"/>
      <c r="Z106" s="275"/>
      <c r="AA106" s="275"/>
      <c r="AB106" s="275"/>
      <c r="AC106" s="275"/>
      <c r="AD106" s="275"/>
      <c r="AE106" s="275"/>
      <c r="AF106" s="275"/>
      <c r="AG106" s="275"/>
      <c r="AH106" s="438"/>
      <c r="AI106" s="439">
        <f t="shared" si="14"/>
        <v>0</v>
      </c>
      <c r="AJ106" s="263"/>
      <c r="AK106" s="263"/>
      <c r="AL106" s="263"/>
      <c r="AM106" s="263"/>
      <c r="AN106" s="263"/>
      <c r="AO106" s="263"/>
      <c r="AP106" s="263"/>
      <c r="AQ106" s="436"/>
      <c r="AR106" s="275"/>
      <c r="AS106" s="275"/>
      <c r="AT106" s="275"/>
      <c r="AU106" s="275"/>
      <c r="AV106" s="275"/>
      <c r="AW106" s="275"/>
      <c r="AX106" s="275"/>
      <c r="AY106" s="437"/>
      <c r="AZ106" s="440">
        <f t="shared" si="15"/>
        <v>0</v>
      </c>
      <c r="BA106" s="275"/>
      <c r="BB106" s="275"/>
      <c r="BC106" s="275"/>
      <c r="BD106" s="275"/>
      <c r="BE106" s="275"/>
      <c r="BF106" s="275"/>
      <c r="BG106" s="275"/>
      <c r="BH106" s="436"/>
      <c r="BI106" s="275"/>
      <c r="BJ106" s="275"/>
      <c r="BK106" s="291"/>
      <c r="BL106" s="291"/>
      <c r="BM106" s="275"/>
      <c r="BN106" s="275"/>
      <c r="BO106" s="438"/>
      <c r="BP106" s="436"/>
      <c r="BQ106" s="275"/>
      <c r="BR106" s="275"/>
      <c r="BS106" s="275"/>
      <c r="BT106" s="275"/>
      <c r="BU106" s="275"/>
      <c r="BV106" s="275"/>
      <c r="BW106" s="275"/>
      <c r="BX106" s="438"/>
      <c r="BY106" s="436"/>
      <c r="BZ106" s="275"/>
      <c r="CA106" s="275"/>
      <c r="CB106" s="275"/>
      <c r="CC106" s="275"/>
      <c r="CD106" s="275"/>
      <c r="CE106" s="275"/>
      <c r="CF106" s="275"/>
      <c r="CG106" s="438"/>
      <c r="CH106" s="436"/>
      <c r="CI106" s="275"/>
      <c r="CJ106" s="275"/>
      <c r="CK106" s="275"/>
      <c r="CL106" s="275"/>
      <c r="CM106" s="275"/>
      <c r="CN106" s="275"/>
      <c r="CO106" s="442"/>
      <c r="CP106" s="443"/>
      <c r="CQ106" s="429">
        <f t="shared" si="16"/>
        <v>0</v>
      </c>
      <c r="CR106" s="430"/>
    </row>
    <row r="107" spans="1:96" ht="25.5" customHeight="1" x14ac:dyDescent="0.2">
      <c r="A107" s="410">
        <f t="shared" si="17"/>
        <v>92</v>
      </c>
      <c r="B107" s="280"/>
      <c r="C107" s="280"/>
      <c r="D107" s="411"/>
      <c r="E107" s="254"/>
      <c r="F107" s="277"/>
      <c r="G107" s="450"/>
      <c r="H107" s="451"/>
      <c r="I107" s="433" t="str">
        <f t="shared" si="11"/>
        <v/>
      </c>
      <c r="J107" s="434">
        <f t="shared" si="12"/>
        <v>0</v>
      </c>
      <c r="K107" s="279"/>
      <c r="L107" s="276"/>
      <c r="M107" s="435"/>
      <c r="N107" s="417" t="str">
        <f t="shared" si="13"/>
        <v/>
      </c>
      <c r="O107" s="418" t="str">
        <f>IF('Data Set up'!$G$40="JUNE",IF(OR($N107=7,$N107=8,$N107=9),1,IF(OR($N107=10,$N107=11,$N107=12),2,IF(OR($N107=1,$N107=2,$N107=3),3,IF(OR($N107=4,$N107=5,$N107=6),4,"")))),IF(OR($N107=9,$N107=10,$N107=11),1,IF(OR($N107=12,$N107=1,$N107=2),2,IF(OR($N107=3,$N107=4,$N107=5),3,IF(OR($N107=6,$N107=7,$N107=8),4,"")))))</f>
        <v/>
      </c>
      <c r="P107" s="445"/>
      <c r="Q107" s="291"/>
      <c r="R107" s="291"/>
      <c r="S107" s="275"/>
      <c r="T107" s="275"/>
      <c r="U107" s="275"/>
      <c r="V107" s="275"/>
      <c r="W107" s="275"/>
      <c r="X107" s="275"/>
      <c r="Y107" s="275"/>
      <c r="Z107" s="275"/>
      <c r="AA107" s="275"/>
      <c r="AB107" s="275"/>
      <c r="AC107" s="275"/>
      <c r="AD107" s="275"/>
      <c r="AE107" s="275"/>
      <c r="AF107" s="275"/>
      <c r="AG107" s="275"/>
      <c r="AH107" s="438"/>
      <c r="AI107" s="439">
        <f t="shared" si="14"/>
        <v>0</v>
      </c>
      <c r="AJ107" s="263"/>
      <c r="AK107" s="263"/>
      <c r="AL107" s="263"/>
      <c r="AM107" s="263"/>
      <c r="AN107" s="263"/>
      <c r="AO107" s="263"/>
      <c r="AP107" s="263"/>
      <c r="AQ107" s="436"/>
      <c r="AR107" s="275"/>
      <c r="AS107" s="275"/>
      <c r="AT107" s="275"/>
      <c r="AU107" s="275"/>
      <c r="AV107" s="275"/>
      <c r="AW107" s="275"/>
      <c r="AX107" s="275"/>
      <c r="AY107" s="437"/>
      <c r="AZ107" s="440">
        <f t="shared" si="15"/>
        <v>0</v>
      </c>
      <c r="BA107" s="275"/>
      <c r="BB107" s="275"/>
      <c r="BC107" s="275"/>
      <c r="BD107" s="275"/>
      <c r="BE107" s="275"/>
      <c r="BF107" s="275"/>
      <c r="BG107" s="275"/>
      <c r="BH107" s="436"/>
      <c r="BI107" s="275"/>
      <c r="BJ107" s="275"/>
      <c r="BK107" s="291"/>
      <c r="BL107" s="291"/>
      <c r="BM107" s="275"/>
      <c r="BN107" s="275"/>
      <c r="BO107" s="438"/>
      <c r="BP107" s="436"/>
      <c r="BQ107" s="275"/>
      <c r="BR107" s="275"/>
      <c r="BS107" s="275"/>
      <c r="BT107" s="275"/>
      <c r="BU107" s="275"/>
      <c r="BV107" s="275"/>
      <c r="BW107" s="275"/>
      <c r="BX107" s="438"/>
      <c r="BY107" s="436"/>
      <c r="BZ107" s="275"/>
      <c r="CA107" s="275"/>
      <c r="CB107" s="275"/>
      <c r="CC107" s="275"/>
      <c r="CD107" s="275"/>
      <c r="CE107" s="275"/>
      <c r="CF107" s="275"/>
      <c r="CG107" s="438"/>
      <c r="CH107" s="436"/>
      <c r="CI107" s="275"/>
      <c r="CJ107" s="275"/>
      <c r="CK107" s="275"/>
      <c r="CL107" s="275"/>
      <c r="CM107" s="275"/>
      <c r="CN107" s="275"/>
      <c r="CO107" s="442"/>
      <c r="CP107" s="443"/>
      <c r="CQ107" s="429">
        <f t="shared" si="16"/>
        <v>0</v>
      </c>
      <c r="CR107" s="430"/>
    </row>
    <row r="108" spans="1:96" ht="25.5" customHeight="1" x14ac:dyDescent="0.2">
      <c r="A108" s="410">
        <f t="shared" si="17"/>
        <v>93</v>
      </c>
      <c r="B108" s="280"/>
      <c r="C108" s="280"/>
      <c r="D108" s="411"/>
      <c r="E108" s="254"/>
      <c r="F108" s="277"/>
      <c r="G108" s="450"/>
      <c r="H108" s="451"/>
      <c r="I108" s="433" t="str">
        <f t="shared" si="11"/>
        <v/>
      </c>
      <c r="J108" s="434">
        <f t="shared" si="12"/>
        <v>0</v>
      </c>
      <c r="K108" s="279"/>
      <c r="L108" s="276"/>
      <c r="M108" s="435"/>
      <c r="N108" s="417" t="str">
        <f t="shared" si="13"/>
        <v/>
      </c>
      <c r="O108" s="418" t="str">
        <f>IF('Data Set up'!$G$40="JUNE",IF(OR($N108=7,$N108=8,$N108=9),1,IF(OR($N108=10,$N108=11,$N108=12),2,IF(OR($N108=1,$N108=2,$N108=3),3,IF(OR($N108=4,$N108=5,$N108=6),4,"")))),IF(OR($N108=9,$N108=10,$N108=11),1,IF(OR($N108=12,$N108=1,$N108=2),2,IF(OR($N108=3,$N108=4,$N108=5),3,IF(OR($N108=6,$N108=7,$N108=8),4,"")))))</f>
        <v/>
      </c>
      <c r="P108" s="445"/>
      <c r="Q108" s="291"/>
      <c r="R108" s="291"/>
      <c r="S108" s="275"/>
      <c r="T108" s="275"/>
      <c r="U108" s="275"/>
      <c r="V108" s="275"/>
      <c r="W108" s="275"/>
      <c r="X108" s="275"/>
      <c r="Y108" s="275"/>
      <c r="Z108" s="275"/>
      <c r="AA108" s="275"/>
      <c r="AB108" s="275"/>
      <c r="AC108" s="275"/>
      <c r="AD108" s="275"/>
      <c r="AE108" s="275"/>
      <c r="AF108" s="275"/>
      <c r="AG108" s="275"/>
      <c r="AH108" s="438"/>
      <c r="AI108" s="439">
        <f t="shared" si="14"/>
        <v>0</v>
      </c>
      <c r="AJ108" s="263"/>
      <c r="AK108" s="263"/>
      <c r="AL108" s="263"/>
      <c r="AM108" s="263"/>
      <c r="AN108" s="263"/>
      <c r="AO108" s="263"/>
      <c r="AP108" s="263"/>
      <c r="AQ108" s="436"/>
      <c r="AR108" s="275"/>
      <c r="AS108" s="275"/>
      <c r="AT108" s="275"/>
      <c r="AU108" s="275"/>
      <c r="AV108" s="275"/>
      <c r="AW108" s="275"/>
      <c r="AX108" s="275"/>
      <c r="AY108" s="437"/>
      <c r="AZ108" s="440">
        <f t="shared" si="15"/>
        <v>0</v>
      </c>
      <c r="BA108" s="275"/>
      <c r="BB108" s="275"/>
      <c r="BC108" s="275"/>
      <c r="BD108" s="275"/>
      <c r="BE108" s="275"/>
      <c r="BF108" s="275"/>
      <c r="BG108" s="275"/>
      <c r="BH108" s="436"/>
      <c r="BI108" s="275"/>
      <c r="BJ108" s="275"/>
      <c r="BK108" s="291"/>
      <c r="BL108" s="291"/>
      <c r="BM108" s="275"/>
      <c r="BN108" s="275"/>
      <c r="BO108" s="438"/>
      <c r="BP108" s="436"/>
      <c r="BQ108" s="275"/>
      <c r="BR108" s="275"/>
      <c r="BS108" s="275"/>
      <c r="BT108" s="275"/>
      <c r="BU108" s="275"/>
      <c r="BV108" s="275"/>
      <c r="BW108" s="275"/>
      <c r="BX108" s="438"/>
      <c r="BY108" s="436"/>
      <c r="BZ108" s="275"/>
      <c r="CA108" s="275"/>
      <c r="CB108" s="275"/>
      <c r="CC108" s="275"/>
      <c r="CD108" s="275"/>
      <c r="CE108" s="275"/>
      <c r="CF108" s="275"/>
      <c r="CG108" s="438"/>
      <c r="CH108" s="436"/>
      <c r="CI108" s="275"/>
      <c r="CJ108" s="275"/>
      <c r="CK108" s="275"/>
      <c r="CL108" s="275"/>
      <c r="CM108" s="275"/>
      <c r="CN108" s="275"/>
      <c r="CO108" s="442"/>
      <c r="CP108" s="443"/>
      <c r="CQ108" s="429">
        <f t="shared" si="16"/>
        <v>0</v>
      </c>
      <c r="CR108" s="430"/>
    </row>
    <row r="109" spans="1:96" ht="25.5" customHeight="1" x14ac:dyDescent="0.2">
      <c r="A109" s="410">
        <f t="shared" si="17"/>
        <v>94</v>
      </c>
      <c r="B109" s="280"/>
      <c r="C109" s="280"/>
      <c r="D109" s="411"/>
      <c r="E109" s="254"/>
      <c r="F109" s="277"/>
      <c r="G109" s="450"/>
      <c r="H109" s="451"/>
      <c r="I109" s="433" t="str">
        <f t="shared" si="11"/>
        <v/>
      </c>
      <c r="J109" s="434">
        <f t="shared" si="12"/>
        <v>0</v>
      </c>
      <c r="K109" s="279"/>
      <c r="L109" s="276"/>
      <c r="M109" s="435"/>
      <c r="N109" s="417" t="str">
        <f t="shared" si="13"/>
        <v/>
      </c>
      <c r="O109" s="418" t="str">
        <f>IF('Data Set up'!$G$40="JUNE",IF(OR($N109=7,$N109=8,$N109=9),1,IF(OR($N109=10,$N109=11,$N109=12),2,IF(OR($N109=1,$N109=2,$N109=3),3,IF(OR($N109=4,$N109=5,$N109=6),4,"")))),IF(OR($N109=9,$N109=10,$N109=11),1,IF(OR($N109=12,$N109=1,$N109=2),2,IF(OR($N109=3,$N109=4,$N109=5),3,IF(OR($N109=6,$N109=7,$N109=8),4,"")))))</f>
        <v/>
      </c>
      <c r="P109" s="445"/>
      <c r="Q109" s="291"/>
      <c r="R109" s="291"/>
      <c r="S109" s="275"/>
      <c r="T109" s="275"/>
      <c r="U109" s="275"/>
      <c r="V109" s="275"/>
      <c r="W109" s="275"/>
      <c r="X109" s="275"/>
      <c r="Y109" s="275"/>
      <c r="Z109" s="275"/>
      <c r="AA109" s="275"/>
      <c r="AB109" s="275"/>
      <c r="AC109" s="275"/>
      <c r="AD109" s="275"/>
      <c r="AE109" s="275"/>
      <c r="AF109" s="275"/>
      <c r="AG109" s="275"/>
      <c r="AH109" s="438"/>
      <c r="AI109" s="439">
        <f t="shared" si="14"/>
        <v>0</v>
      </c>
      <c r="AJ109" s="263"/>
      <c r="AK109" s="263"/>
      <c r="AL109" s="263"/>
      <c r="AM109" s="263"/>
      <c r="AN109" s="263"/>
      <c r="AO109" s="263"/>
      <c r="AP109" s="263"/>
      <c r="AQ109" s="436"/>
      <c r="AR109" s="275"/>
      <c r="AS109" s="275"/>
      <c r="AT109" s="275"/>
      <c r="AU109" s="275"/>
      <c r="AV109" s="275"/>
      <c r="AW109" s="275"/>
      <c r="AX109" s="275"/>
      <c r="AY109" s="437"/>
      <c r="AZ109" s="440">
        <f t="shared" si="15"/>
        <v>0</v>
      </c>
      <c r="BA109" s="275"/>
      <c r="BB109" s="275"/>
      <c r="BC109" s="275"/>
      <c r="BD109" s="275"/>
      <c r="BE109" s="275"/>
      <c r="BF109" s="275"/>
      <c r="BG109" s="275"/>
      <c r="BH109" s="436"/>
      <c r="BI109" s="275"/>
      <c r="BJ109" s="275"/>
      <c r="BK109" s="291"/>
      <c r="BL109" s="291"/>
      <c r="BM109" s="275"/>
      <c r="BN109" s="275"/>
      <c r="BO109" s="438"/>
      <c r="BP109" s="436"/>
      <c r="BQ109" s="275"/>
      <c r="BR109" s="275"/>
      <c r="BS109" s="275"/>
      <c r="BT109" s="275"/>
      <c r="BU109" s="275"/>
      <c r="BV109" s="275"/>
      <c r="BW109" s="275"/>
      <c r="BX109" s="438"/>
      <c r="BY109" s="436"/>
      <c r="BZ109" s="275"/>
      <c r="CA109" s="275"/>
      <c r="CB109" s="275"/>
      <c r="CC109" s="275"/>
      <c r="CD109" s="275"/>
      <c r="CE109" s="275"/>
      <c r="CF109" s="275"/>
      <c r="CG109" s="438"/>
      <c r="CH109" s="436"/>
      <c r="CI109" s="275"/>
      <c r="CJ109" s="275"/>
      <c r="CK109" s="275"/>
      <c r="CL109" s="275"/>
      <c r="CM109" s="275"/>
      <c r="CN109" s="275"/>
      <c r="CO109" s="442"/>
      <c r="CP109" s="443"/>
      <c r="CQ109" s="429">
        <f t="shared" si="16"/>
        <v>0</v>
      </c>
      <c r="CR109" s="430"/>
    </row>
    <row r="110" spans="1:96" ht="25.5" customHeight="1" x14ac:dyDescent="0.2">
      <c r="A110" s="410">
        <f t="shared" si="17"/>
        <v>95</v>
      </c>
      <c r="B110" s="280"/>
      <c r="C110" s="280"/>
      <c r="D110" s="411"/>
      <c r="E110" s="254"/>
      <c r="F110" s="277"/>
      <c r="G110" s="450"/>
      <c r="H110" s="451"/>
      <c r="I110" s="433" t="str">
        <f t="shared" si="11"/>
        <v/>
      </c>
      <c r="J110" s="434">
        <f t="shared" si="12"/>
        <v>0</v>
      </c>
      <c r="K110" s="279"/>
      <c r="L110" s="276"/>
      <c r="M110" s="435"/>
      <c r="N110" s="417" t="str">
        <f t="shared" si="13"/>
        <v/>
      </c>
      <c r="O110" s="418" t="str">
        <f>IF('Data Set up'!$G$40="JUNE",IF(OR($N110=7,$N110=8,$N110=9),1,IF(OR($N110=10,$N110=11,$N110=12),2,IF(OR($N110=1,$N110=2,$N110=3),3,IF(OR($N110=4,$N110=5,$N110=6),4,"")))),IF(OR($N110=9,$N110=10,$N110=11),1,IF(OR($N110=12,$N110=1,$N110=2),2,IF(OR($N110=3,$N110=4,$N110=5),3,IF(OR($N110=6,$N110=7,$N110=8),4,"")))))</f>
        <v/>
      </c>
      <c r="P110" s="445"/>
      <c r="Q110" s="291"/>
      <c r="R110" s="291"/>
      <c r="S110" s="275"/>
      <c r="T110" s="275"/>
      <c r="U110" s="275"/>
      <c r="V110" s="275"/>
      <c r="W110" s="275"/>
      <c r="X110" s="275"/>
      <c r="Y110" s="275"/>
      <c r="Z110" s="275"/>
      <c r="AA110" s="275"/>
      <c r="AB110" s="275"/>
      <c r="AC110" s="275"/>
      <c r="AD110" s="275"/>
      <c r="AE110" s="275"/>
      <c r="AF110" s="275"/>
      <c r="AG110" s="275"/>
      <c r="AH110" s="438"/>
      <c r="AI110" s="439">
        <f t="shared" si="14"/>
        <v>0</v>
      </c>
      <c r="AJ110" s="263"/>
      <c r="AK110" s="263"/>
      <c r="AL110" s="263"/>
      <c r="AM110" s="263"/>
      <c r="AN110" s="263"/>
      <c r="AO110" s="263"/>
      <c r="AP110" s="263"/>
      <c r="AQ110" s="436"/>
      <c r="AR110" s="275"/>
      <c r="AS110" s="275"/>
      <c r="AT110" s="275"/>
      <c r="AU110" s="275"/>
      <c r="AV110" s="275"/>
      <c r="AW110" s="275"/>
      <c r="AX110" s="275"/>
      <c r="AY110" s="437"/>
      <c r="AZ110" s="440">
        <f t="shared" si="15"/>
        <v>0</v>
      </c>
      <c r="BA110" s="275"/>
      <c r="BB110" s="275"/>
      <c r="BC110" s="275"/>
      <c r="BD110" s="275"/>
      <c r="BE110" s="275"/>
      <c r="BF110" s="275"/>
      <c r="BG110" s="275"/>
      <c r="BH110" s="436"/>
      <c r="BI110" s="275"/>
      <c r="BJ110" s="275"/>
      <c r="BK110" s="291"/>
      <c r="BL110" s="291"/>
      <c r="BM110" s="275"/>
      <c r="BN110" s="275"/>
      <c r="BO110" s="438"/>
      <c r="BP110" s="436"/>
      <c r="BQ110" s="275"/>
      <c r="BR110" s="275"/>
      <c r="BS110" s="275"/>
      <c r="BT110" s="275"/>
      <c r="BU110" s="275"/>
      <c r="BV110" s="275"/>
      <c r="BW110" s="275"/>
      <c r="BX110" s="438"/>
      <c r="BY110" s="436"/>
      <c r="BZ110" s="275"/>
      <c r="CA110" s="275"/>
      <c r="CB110" s="275"/>
      <c r="CC110" s="275"/>
      <c r="CD110" s="275"/>
      <c r="CE110" s="275"/>
      <c r="CF110" s="275"/>
      <c r="CG110" s="438"/>
      <c r="CH110" s="436"/>
      <c r="CI110" s="275"/>
      <c r="CJ110" s="275"/>
      <c r="CK110" s="275"/>
      <c r="CL110" s="275"/>
      <c r="CM110" s="275"/>
      <c r="CN110" s="275"/>
      <c r="CO110" s="442"/>
      <c r="CP110" s="443"/>
      <c r="CQ110" s="429">
        <f t="shared" si="16"/>
        <v>0</v>
      </c>
      <c r="CR110" s="430"/>
    </row>
    <row r="111" spans="1:96" ht="25.5" customHeight="1" x14ac:dyDescent="0.2">
      <c r="A111" s="410">
        <f t="shared" si="17"/>
        <v>96</v>
      </c>
      <c r="B111" s="280"/>
      <c r="C111" s="280"/>
      <c r="D111" s="411"/>
      <c r="E111" s="254"/>
      <c r="F111" s="277"/>
      <c r="G111" s="450"/>
      <c r="H111" s="451"/>
      <c r="I111" s="433" t="str">
        <f t="shared" si="11"/>
        <v/>
      </c>
      <c r="J111" s="434">
        <f t="shared" si="12"/>
        <v>0</v>
      </c>
      <c r="K111" s="279"/>
      <c r="L111" s="276"/>
      <c r="M111" s="435"/>
      <c r="N111" s="417" t="str">
        <f t="shared" si="13"/>
        <v/>
      </c>
      <c r="O111" s="418" t="str">
        <f>IF('Data Set up'!$G$40="JUNE",IF(OR($N111=7,$N111=8,$N111=9),1,IF(OR($N111=10,$N111=11,$N111=12),2,IF(OR($N111=1,$N111=2,$N111=3),3,IF(OR($N111=4,$N111=5,$N111=6),4,"")))),IF(OR($N111=9,$N111=10,$N111=11),1,IF(OR($N111=12,$N111=1,$N111=2),2,IF(OR($N111=3,$N111=4,$N111=5),3,IF(OR($N111=6,$N111=7,$N111=8),4,"")))))</f>
        <v/>
      </c>
      <c r="P111" s="445"/>
      <c r="Q111" s="291"/>
      <c r="R111" s="291"/>
      <c r="S111" s="275"/>
      <c r="T111" s="275"/>
      <c r="U111" s="275"/>
      <c r="V111" s="275"/>
      <c r="W111" s="275"/>
      <c r="X111" s="275"/>
      <c r="Y111" s="275"/>
      <c r="Z111" s="275"/>
      <c r="AA111" s="275"/>
      <c r="AB111" s="275"/>
      <c r="AC111" s="275"/>
      <c r="AD111" s="275"/>
      <c r="AE111" s="275"/>
      <c r="AF111" s="275"/>
      <c r="AG111" s="275"/>
      <c r="AH111" s="438"/>
      <c r="AI111" s="439">
        <f t="shared" si="14"/>
        <v>0</v>
      </c>
      <c r="AJ111" s="263"/>
      <c r="AK111" s="263"/>
      <c r="AL111" s="263"/>
      <c r="AM111" s="263"/>
      <c r="AN111" s="263"/>
      <c r="AO111" s="263"/>
      <c r="AP111" s="263"/>
      <c r="AQ111" s="436"/>
      <c r="AR111" s="275"/>
      <c r="AS111" s="275"/>
      <c r="AT111" s="275"/>
      <c r="AU111" s="275"/>
      <c r="AV111" s="275"/>
      <c r="AW111" s="275"/>
      <c r="AX111" s="275"/>
      <c r="AY111" s="437"/>
      <c r="AZ111" s="440">
        <f t="shared" si="15"/>
        <v>0</v>
      </c>
      <c r="BA111" s="275"/>
      <c r="BB111" s="275"/>
      <c r="BC111" s="275"/>
      <c r="BD111" s="275"/>
      <c r="BE111" s="275"/>
      <c r="BF111" s="275"/>
      <c r="BG111" s="275"/>
      <c r="BH111" s="436"/>
      <c r="BI111" s="275"/>
      <c r="BJ111" s="275"/>
      <c r="BK111" s="291"/>
      <c r="BL111" s="291"/>
      <c r="BM111" s="275"/>
      <c r="BN111" s="275"/>
      <c r="BO111" s="438"/>
      <c r="BP111" s="436"/>
      <c r="BQ111" s="275"/>
      <c r="BR111" s="275"/>
      <c r="BS111" s="275"/>
      <c r="BT111" s="275"/>
      <c r="BU111" s="275"/>
      <c r="BV111" s="275"/>
      <c r="BW111" s="275"/>
      <c r="BX111" s="438"/>
      <c r="BY111" s="436"/>
      <c r="BZ111" s="275"/>
      <c r="CA111" s="275"/>
      <c r="CB111" s="275"/>
      <c r="CC111" s="275"/>
      <c r="CD111" s="275"/>
      <c r="CE111" s="275"/>
      <c r="CF111" s="275"/>
      <c r="CG111" s="438"/>
      <c r="CH111" s="436"/>
      <c r="CI111" s="275"/>
      <c r="CJ111" s="275"/>
      <c r="CK111" s="275"/>
      <c r="CL111" s="275"/>
      <c r="CM111" s="275"/>
      <c r="CN111" s="275"/>
      <c r="CO111" s="442"/>
      <c r="CP111" s="443"/>
      <c r="CQ111" s="429">
        <f t="shared" si="16"/>
        <v>0</v>
      </c>
      <c r="CR111" s="430"/>
    </row>
    <row r="112" spans="1:96" ht="25.5" customHeight="1" x14ac:dyDescent="0.2">
      <c r="A112" s="410">
        <f t="shared" si="17"/>
        <v>97</v>
      </c>
      <c r="B112" s="280"/>
      <c r="C112" s="280"/>
      <c r="D112" s="411"/>
      <c r="E112" s="254"/>
      <c r="F112" s="277"/>
      <c r="G112" s="450"/>
      <c r="H112" s="451"/>
      <c r="I112" s="433" t="str">
        <f t="shared" si="11"/>
        <v/>
      </c>
      <c r="J112" s="434">
        <f t="shared" si="12"/>
        <v>0</v>
      </c>
      <c r="K112" s="279"/>
      <c r="L112" s="276"/>
      <c r="M112" s="435"/>
      <c r="N112" s="417" t="str">
        <f t="shared" si="13"/>
        <v/>
      </c>
      <c r="O112" s="418" t="str">
        <f>IF('Data Set up'!$G$40="JUNE",IF(OR($N112=7,$N112=8,$N112=9),1,IF(OR($N112=10,$N112=11,$N112=12),2,IF(OR($N112=1,$N112=2,$N112=3),3,IF(OR($N112=4,$N112=5,$N112=6),4,"")))),IF(OR($N112=9,$N112=10,$N112=11),1,IF(OR($N112=12,$N112=1,$N112=2),2,IF(OR($N112=3,$N112=4,$N112=5),3,IF(OR($N112=6,$N112=7,$N112=8),4,"")))))</f>
        <v/>
      </c>
      <c r="P112" s="445"/>
      <c r="Q112" s="291"/>
      <c r="R112" s="291"/>
      <c r="S112" s="275"/>
      <c r="T112" s="275"/>
      <c r="U112" s="275"/>
      <c r="V112" s="275"/>
      <c r="W112" s="275"/>
      <c r="X112" s="275"/>
      <c r="Y112" s="275"/>
      <c r="Z112" s="275"/>
      <c r="AA112" s="275"/>
      <c r="AB112" s="275"/>
      <c r="AC112" s="275"/>
      <c r="AD112" s="275"/>
      <c r="AE112" s="275"/>
      <c r="AF112" s="275"/>
      <c r="AG112" s="275"/>
      <c r="AH112" s="438"/>
      <c r="AI112" s="439">
        <f t="shared" si="14"/>
        <v>0</v>
      </c>
      <c r="AJ112" s="263"/>
      <c r="AK112" s="263"/>
      <c r="AL112" s="263"/>
      <c r="AM112" s="263"/>
      <c r="AN112" s="263"/>
      <c r="AO112" s="263"/>
      <c r="AP112" s="263"/>
      <c r="AQ112" s="436"/>
      <c r="AR112" s="275"/>
      <c r="AS112" s="275"/>
      <c r="AT112" s="275"/>
      <c r="AU112" s="275"/>
      <c r="AV112" s="275"/>
      <c r="AW112" s="275"/>
      <c r="AX112" s="275"/>
      <c r="AY112" s="437"/>
      <c r="AZ112" s="440">
        <f t="shared" si="15"/>
        <v>0</v>
      </c>
      <c r="BA112" s="275"/>
      <c r="BB112" s="275"/>
      <c r="BC112" s="275"/>
      <c r="BD112" s="275"/>
      <c r="BE112" s="275"/>
      <c r="BF112" s="275"/>
      <c r="BG112" s="275"/>
      <c r="BH112" s="436"/>
      <c r="BI112" s="275"/>
      <c r="BJ112" s="275"/>
      <c r="BK112" s="291"/>
      <c r="BL112" s="291"/>
      <c r="BM112" s="275"/>
      <c r="BN112" s="275"/>
      <c r="BO112" s="438"/>
      <c r="BP112" s="436"/>
      <c r="BQ112" s="275"/>
      <c r="BR112" s="275"/>
      <c r="BS112" s="275"/>
      <c r="BT112" s="275"/>
      <c r="BU112" s="275"/>
      <c r="BV112" s="275"/>
      <c r="BW112" s="275"/>
      <c r="BX112" s="438"/>
      <c r="BY112" s="436"/>
      <c r="BZ112" s="275"/>
      <c r="CA112" s="275"/>
      <c r="CB112" s="275"/>
      <c r="CC112" s="275"/>
      <c r="CD112" s="275"/>
      <c r="CE112" s="275"/>
      <c r="CF112" s="275"/>
      <c r="CG112" s="438"/>
      <c r="CH112" s="436"/>
      <c r="CI112" s="275"/>
      <c r="CJ112" s="275"/>
      <c r="CK112" s="275"/>
      <c r="CL112" s="275"/>
      <c r="CM112" s="275"/>
      <c r="CN112" s="275"/>
      <c r="CO112" s="442"/>
      <c r="CP112" s="443"/>
      <c r="CQ112" s="429">
        <f t="shared" si="16"/>
        <v>0</v>
      </c>
      <c r="CR112" s="430"/>
    </row>
    <row r="113" spans="1:96" ht="25.5" customHeight="1" x14ac:dyDescent="0.2">
      <c r="A113" s="410">
        <f t="shared" si="17"/>
        <v>98</v>
      </c>
      <c r="B113" s="280"/>
      <c r="C113" s="280"/>
      <c r="D113" s="411"/>
      <c r="E113" s="254"/>
      <c r="F113" s="277"/>
      <c r="G113" s="450"/>
      <c r="H113" s="451"/>
      <c r="I113" s="433" t="str">
        <f t="shared" si="11"/>
        <v/>
      </c>
      <c r="J113" s="434">
        <f t="shared" si="12"/>
        <v>0</v>
      </c>
      <c r="K113" s="279"/>
      <c r="L113" s="276"/>
      <c r="M113" s="435"/>
      <c r="N113" s="417" t="str">
        <f t="shared" si="13"/>
        <v/>
      </c>
      <c r="O113" s="418" t="str">
        <f>IF('Data Set up'!$G$40="JUNE",IF(OR($N113=7,$N113=8,$N113=9),1,IF(OR($N113=10,$N113=11,$N113=12),2,IF(OR($N113=1,$N113=2,$N113=3),3,IF(OR($N113=4,$N113=5,$N113=6),4,"")))),IF(OR($N113=9,$N113=10,$N113=11),1,IF(OR($N113=12,$N113=1,$N113=2),2,IF(OR($N113=3,$N113=4,$N113=5),3,IF(OR($N113=6,$N113=7,$N113=8),4,"")))))</f>
        <v/>
      </c>
      <c r="P113" s="445"/>
      <c r="Q113" s="291"/>
      <c r="R113" s="291"/>
      <c r="S113" s="275"/>
      <c r="T113" s="275"/>
      <c r="U113" s="275"/>
      <c r="V113" s="275"/>
      <c r="W113" s="275"/>
      <c r="X113" s="275"/>
      <c r="Y113" s="275"/>
      <c r="Z113" s="275"/>
      <c r="AA113" s="275"/>
      <c r="AB113" s="275"/>
      <c r="AC113" s="275"/>
      <c r="AD113" s="275"/>
      <c r="AE113" s="275"/>
      <c r="AF113" s="275"/>
      <c r="AG113" s="275"/>
      <c r="AH113" s="438"/>
      <c r="AI113" s="439">
        <f t="shared" si="14"/>
        <v>0</v>
      </c>
      <c r="AJ113" s="263"/>
      <c r="AK113" s="263"/>
      <c r="AL113" s="263"/>
      <c r="AM113" s="263"/>
      <c r="AN113" s="263"/>
      <c r="AO113" s="263"/>
      <c r="AP113" s="263"/>
      <c r="AQ113" s="436"/>
      <c r="AR113" s="275"/>
      <c r="AS113" s="275"/>
      <c r="AT113" s="275"/>
      <c r="AU113" s="275"/>
      <c r="AV113" s="275"/>
      <c r="AW113" s="275"/>
      <c r="AX113" s="275"/>
      <c r="AY113" s="437"/>
      <c r="AZ113" s="440">
        <f t="shared" si="15"/>
        <v>0</v>
      </c>
      <c r="BA113" s="275"/>
      <c r="BB113" s="275"/>
      <c r="BC113" s="275"/>
      <c r="BD113" s="275"/>
      <c r="BE113" s="275"/>
      <c r="BF113" s="275"/>
      <c r="BG113" s="275"/>
      <c r="BH113" s="436"/>
      <c r="BI113" s="275"/>
      <c r="BJ113" s="275"/>
      <c r="BK113" s="291"/>
      <c r="BL113" s="291"/>
      <c r="BM113" s="275"/>
      <c r="BN113" s="275"/>
      <c r="BO113" s="438"/>
      <c r="BP113" s="436"/>
      <c r="BQ113" s="275"/>
      <c r="BR113" s="275"/>
      <c r="BS113" s="275"/>
      <c r="BT113" s="275"/>
      <c r="BU113" s="275"/>
      <c r="BV113" s="275"/>
      <c r="BW113" s="275"/>
      <c r="BX113" s="438"/>
      <c r="BY113" s="436"/>
      <c r="BZ113" s="275"/>
      <c r="CA113" s="275"/>
      <c r="CB113" s="275"/>
      <c r="CC113" s="275"/>
      <c r="CD113" s="275"/>
      <c r="CE113" s="275"/>
      <c r="CF113" s="275"/>
      <c r="CG113" s="438"/>
      <c r="CH113" s="436"/>
      <c r="CI113" s="275"/>
      <c r="CJ113" s="275"/>
      <c r="CK113" s="275"/>
      <c r="CL113" s="275"/>
      <c r="CM113" s="275"/>
      <c r="CN113" s="275"/>
      <c r="CO113" s="442"/>
      <c r="CP113" s="443"/>
      <c r="CQ113" s="429">
        <f t="shared" si="16"/>
        <v>0</v>
      </c>
      <c r="CR113" s="430"/>
    </row>
    <row r="114" spans="1:96" ht="25.5" customHeight="1" x14ac:dyDescent="0.2">
      <c r="A114" s="410">
        <f t="shared" si="17"/>
        <v>99</v>
      </c>
      <c r="B114" s="280"/>
      <c r="C114" s="280"/>
      <c r="D114" s="411"/>
      <c r="E114" s="254"/>
      <c r="F114" s="277"/>
      <c r="G114" s="450"/>
      <c r="H114" s="451"/>
      <c r="I114" s="433" t="str">
        <f t="shared" si="11"/>
        <v/>
      </c>
      <c r="J114" s="434">
        <f t="shared" si="12"/>
        <v>0</v>
      </c>
      <c r="K114" s="279"/>
      <c r="L114" s="276"/>
      <c r="M114" s="435"/>
      <c r="N114" s="417" t="str">
        <f t="shared" si="13"/>
        <v/>
      </c>
      <c r="O114" s="418" t="str">
        <f>IF('Data Set up'!$G$40="JUNE",IF(OR($N114=7,$N114=8,$N114=9),1,IF(OR($N114=10,$N114=11,$N114=12),2,IF(OR($N114=1,$N114=2,$N114=3),3,IF(OR($N114=4,$N114=5,$N114=6),4,"")))),IF(OR($N114=9,$N114=10,$N114=11),1,IF(OR($N114=12,$N114=1,$N114=2),2,IF(OR($N114=3,$N114=4,$N114=5),3,IF(OR($N114=6,$N114=7,$N114=8),4,"")))))</f>
        <v/>
      </c>
      <c r="P114" s="445"/>
      <c r="Q114" s="291"/>
      <c r="R114" s="291"/>
      <c r="S114" s="275"/>
      <c r="T114" s="275"/>
      <c r="U114" s="275"/>
      <c r="V114" s="275"/>
      <c r="W114" s="275"/>
      <c r="X114" s="275"/>
      <c r="Y114" s="275"/>
      <c r="Z114" s="275"/>
      <c r="AA114" s="275"/>
      <c r="AB114" s="275"/>
      <c r="AC114" s="275"/>
      <c r="AD114" s="275"/>
      <c r="AE114" s="275"/>
      <c r="AF114" s="275"/>
      <c r="AG114" s="275"/>
      <c r="AH114" s="438"/>
      <c r="AI114" s="439">
        <f t="shared" si="14"/>
        <v>0</v>
      </c>
      <c r="AJ114" s="263"/>
      <c r="AK114" s="263"/>
      <c r="AL114" s="263"/>
      <c r="AM114" s="263"/>
      <c r="AN114" s="263"/>
      <c r="AO114" s="263"/>
      <c r="AP114" s="263"/>
      <c r="AQ114" s="436"/>
      <c r="AR114" s="275"/>
      <c r="AS114" s="275"/>
      <c r="AT114" s="275"/>
      <c r="AU114" s="275"/>
      <c r="AV114" s="275"/>
      <c r="AW114" s="275"/>
      <c r="AX114" s="275"/>
      <c r="AY114" s="437"/>
      <c r="AZ114" s="440">
        <f t="shared" si="15"/>
        <v>0</v>
      </c>
      <c r="BA114" s="275"/>
      <c r="BB114" s="275"/>
      <c r="BC114" s="275"/>
      <c r="BD114" s="275"/>
      <c r="BE114" s="275"/>
      <c r="BF114" s="275"/>
      <c r="BG114" s="275"/>
      <c r="BH114" s="436"/>
      <c r="BI114" s="275"/>
      <c r="BJ114" s="275"/>
      <c r="BK114" s="291"/>
      <c r="BL114" s="291"/>
      <c r="BM114" s="275"/>
      <c r="BN114" s="275"/>
      <c r="BO114" s="438"/>
      <c r="BP114" s="436"/>
      <c r="BQ114" s="275"/>
      <c r="BR114" s="275"/>
      <c r="BS114" s="275"/>
      <c r="BT114" s="275"/>
      <c r="BU114" s="275"/>
      <c r="BV114" s="275"/>
      <c r="BW114" s="275"/>
      <c r="BX114" s="438"/>
      <c r="BY114" s="436"/>
      <c r="BZ114" s="275"/>
      <c r="CA114" s="275"/>
      <c r="CB114" s="275"/>
      <c r="CC114" s="275"/>
      <c r="CD114" s="275"/>
      <c r="CE114" s="275"/>
      <c r="CF114" s="275"/>
      <c r="CG114" s="438"/>
      <c r="CH114" s="436"/>
      <c r="CI114" s="275"/>
      <c r="CJ114" s="275"/>
      <c r="CK114" s="275"/>
      <c r="CL114" s="275"/>
      <c r="CM114" s="275"/>
      <c r="CN114" s="275"/>
      <c r="CO114" s="442"/>
      <c r="CP114" s="443"/>
      <c r="CQ114" s="429">
        <f t="shared" si="16"/>
        <v>0</v>
      </c>
      <c r="CR114" s="430"/>
    </row>
    <row r="115" spans="1:96" ht="25.5" customHeight="1" x14ac:dyDescent="0.2">
      <c r="A115" s="410">
        <f t="shared" si="17"/>
        <v>100</v>
      </c>
      <c r="B115" s="280"/>
      <c r="C115" s="280"/>
      <c r="D115" s="411"/>
      <c r="E115" s="254"/>
      <c r="F115" s="277"/>
      <c r="G115" s="450"/>
      <c r="H115" s="451"/>
      <c r="I115" s="433" t="str">
        <f t="shared" si="11"/>
        <v/>
      </c>
      <c r="J115" s="434">
        <f t="shared" si="12"/>
        <v>0</v>
      </c>
      <c r="K115" s="279"/>
      <c r="L115" s="276"/>
      <c r="M115" s="435"/>
      <c r="N115" s="417" t="str">
        <f t="shared" si="13"/>
        <v/>
      </c>
      <c r="O115" s="418" t="str">
        <f>IF('Data Set up'!$G$40="JUNE",IF(OR($N115=7,$N115=8,$N115=9),1,IF(OR($N115=10,$N115=11,$N115=12),2,IF(OR($N115=1,$N115=2,$N115=3),3,IF(OR($N115=4,$N115=5,$N115=6),4,"")))),IF(OR($N115=9,$N115=10,$N115=11),1,IF(OR($N115=12,$N115=1,$N115=2),2,IF(OR($N115=3,$N115=4,$N115=5),3,IF(OR($N115=6,$N115=7,$N115=8),4,"")))))</f>
        <v/>
      </c>
      <c r="P115" s="445"/>
      <c r="Q115" s="291"/>
      <c r="R115" s="291"/>
      <c r="S115" s="275"/>
      <c r="T115" s="275"/>
      <c r="U115" s="275"/>
      <c r="V115" s="275"/>
      <c r="W115" s="275"/>
      <c r="X115" s="275"/>
      <c r="Y115" s="275"/>
      <c r="Z115" s="275"/>
      <c r="AA115" s="275"/>
      <c r="AB115" s="275"/>
      <c r="AC115" s="275"/>
      <c r="AD115" s="275"/>
      <c r="AE115" s="275"/>
      <c r="AF115" s="275"/>
      <c r="AG115" s="275"/>
      <c r="AH115" s="438"/>
      <c r="AI115" s="439">
        <f t="shared" si="14"/>
        <v>0</v>
      </c>
      <c r="AJ115" s="263"/>
      <c r="AK115" s="263"/>
      <c r="AL115" s="263"/>
      <c r="AM115" s="263"/>
      <c r="AN115" s="263"/>
      <c r="AO115" s="263"/>
      <c r="AP115" s="263"/>
      <c r="AQ115" s="436"/>
      <c r="AR115" s="275"/>
      <c r="AS115" s="275"/>
      <c r="AT115" s="275"/>
      <c r="AU115" s="275"/>
      <c r="AV115" s="275"/>
      <c r="AW115" s="275"/>
      <c r="AX115" s="275"/>
      <c r="AY115" s="437"/>
      <c r="AZ115" s="440">
        <f t="shared" si="15"/>
        <v>0</v>
      </c>
      <c r="BA115" s="275"/>
      <c r="BB115" s="275"/>
      <c r="BC115" s="275"/>
      <c r="BD115" s="275"/>
      <c r="BE115" s="275"/>
      <c r="BF115" s="275"/>
      <c r="BG115" s="275"/>
      <c r="BH115" s="436"/>
      <c r="BI115" s="275"/>
      <c r="BJ115" s="275"/>
      <c r="BK115" s="291"/>
      <c r="BL115" s="291"/>
      <c r="BM115" s="275"/>
      <c r="BN115" s="275"/>
      <c r="BO115" s="438"/>
      <c r="BP115" s="436"/>
      <c r="BQ115" s="275"/>
      <c r="BR115" s="275"/>
      <c r="BS115" s="275"/>
      <c r="BT115" s="275"/>
      <c r="BU115" s="275"/>
      <c r="BV115" s="275"/>
      <c r="BW115" s="275"/>
      <c r="BX115" s="438"/>
      <c r="BY115" s="436"/>
      <c r="BZ115" s="275"/>
      <c r="CA115" s="275"/>
      <c r="CB115" s="275"/>
      <c r="CC115" s="275"/>
      <c r="CD115" s="275"/>
      <c r="CE115" s="275"/>
      <c r="CF115" s="275"/>
      <c r="CG115" s="438"/>
      <c r="CH115" s="436"/>
      <c r="CI115" s="275"/>
      <c r="CJ115" s="275"/>
      <c r="CK115" s="275"/>
      <c r="CL115" s="275"/>
      <c r="CM115" s="275"/>
      <c r="CN115" s="275"/>
      <c r="CO115" s="442"/>
      <c r="CP115" s="443"/>
      <c r="CQ115" s="429">
        <f t="shared" si="16"/>
        <v>0</v>
      </c>
      <c r="CR115" s="430"/>
    </row>
    <row r="116" spans="1:96" ht="25.5" customHeight="1" x14ac:dyDescent="0.2">
      <c r="A116" s="410">
        <f t="shared" si="17"/>
        <v>101</v>
      </c>
      <c r="B116" s="280"/>
      <c r="C116" s="280"/>
      <c r="D116" s="411"/>
      <c r="E116" s="254"/>
      <c r="F116" s="277"/>
      <c r="G116" s="450"/>
      <c r="H116" s="451"/>
      <c r="I116" s="433" t="str">
        <f t="shared" si="11"/>
        <v/>
      </c>
      <c r="J116" s="434">
        <f t="shared" si="12"/>
        <v>0</v>
      </c>
      <c r="K116" s="279"/>
      <c r="L116" s="276"/>
      <c r="M116" s="435"/>
      <c r="N116" s="417" t="str">
        <f t="shared" si="13"/>
        <v/>
      </c>
      <c r="O116" s="418" t="str">
        <f>IF('Data Set up'!$G$40="JUNE",IF(OR($N116=7,$N116=8,$N116=9),1,IF(OR($N116=10,$N116=11,$N116=12),2,IF(OR($N116=1,$N116=2,$N116=3),3,IF(OR($N116=4,$N116=5,$N116=6),4,"")))),IF(OR($N116=9,$N116=10,$N116=11),1,IF(OR($N116=12,$N116=1,$N116=2),2,IF(OR($N116=3,$N116=4,$N116=5),3,IF(OR($N116=6,$N116=7,$N116=8),4,"")))))</f>
        <v/>
      </c>
      <c r="P116" s="445"/>
      <c r="Q116" s="291"/>
      <c r="R116" s="291"/>
      <c r="S116" s="275"/>
      <c r="T116" s="275"/>
      <c r="U116" s="275"/>
      <c r="V116" s="275"/>
      <c r="W116" s="275"/>
      <c r="X116" s="275"/>
      <c r="Y116" s="275"/>
      <c r="Z116" s="275"/>
      <c r="AA116" s="275"/>
      <c r="AB116" s="275"/>
      <c r="AC116" s="275"/>
      <c r="AD116" s="275"/>
      <c r="AE116" s="275"/>
      <c r="AF116" s="275"/>
      <c r="AG116" s="275"/>
      <c r="AH116" s="438"/>
      <c r="AI116" s="439">
        <f t="shared" si="14"/>
        <v>0</v>
      </c>
      <c r="AJ116" s="263"/>
      <c r="AK116" s="263"/>
      <c r="AL116" s="263"/>
      <c r="AM116" s="263"/>
      <c r="AN116" s="263"/>
      <c r="AO116" s="263"/>
      <c r="AP116" s="263"/>
      <c r="AQ116" s="436"/>
      <c r="AR116" s="275"/>
      <c r="AS116" s="275"/>
      <c r="AT116" s="275"/>
      <c r="AU116" s="275"/>
      <c r="AV116" s="275"/>
      <c r="AW116" s="275"/>
      <c r="AX116" s="275"/>
      <c r="AY116" s="437"/>
      <c r="AZ116" s="440">
        <f t="shared" si="15"/>
        <v>0</v>
      </c>
      <c r="BA116" s="275"/>
      <c r="BB116" s="275"/>
      <c r="BC116" s="275"/>
      <c r="BD116" s="275"/>
      <c r="BE116" s="275"/>
      <c r="BF116" s="275"/>
      <c r="BG116" s="275"/>
      <c r="BH116" s="436"/>
      <c r="BI116" s="275"/>
      <c r="BJ116" s="275"/>
      <c r="BK116" s="291"/>
      <c r="BL116" s="291"/>
      <c r="BM116" s="275"/>
      <c r="BN116" s="275"/>
      <c r="BO116" s="438"/>
      <c r="BP116" s="436"/>
      <c r="BQ116" s="275"/>
      <c r="BR116" s="275"/>
      <c r="BS116" s="275"/>
      <c r="BT116" s="275"/>
      <c r="BU116" s="275"/>
      <c r="BV116" s="275"/>
      <c r="BW116" s="275"/>
      <c r="BX116" s="438"/>
      <c r="BY116" s="436"/>
      <c r="BZ116" s="275"/>
      <c r="CA116" s="275"/>
      <c r="CB116" s="275"/>
      <c r="CC116" s="275"/>
      <c r="CD116" s="275"/>
      <c r="CE116" s="275"/>
      <c r="CF116" s="275"/>
      <c r="CG116" s="438"/>
      <c r="CH116" s="436"/>
      <c r="CI116" s="275"/>
      <c r="CJ116" s="275"/>
      <c r="CK116" s="275"/>
      <c r="CL116" s="275"/>
      <c r="CM116" s="275"/>
      <c r="CN116" s="275"/>
      <c r="CO116" s="442"/>
      <c r="CP116" s="443"/>
      <c r="CQ116" s="429">
        <f t="shared" si="16"/>
        <v>0</v>
      </c>
      <c r="CR116" s="430"/>
    </row>
    <row r="117" spans="1:96" ht="25.5" customHeight="1" x14ac:dyDescent="0.2">
      <c r="A117" s="410">
        <f t="shared" si="17"/>
        <v>102</v>
      </c>
      <c r="B117" s="280"/>
      <c r="C117" s="280"/>
      <c r="D117" s="411"/>
      <c r="E117" s="254"/>
      <c r="F117" s="277"/>
      <c r="G117" s="450"/>
      <c r="H117" s="451"/>
      <c r="I117" s="433" t="str">
        <f t="shared" si="11"/>
        <v/>
      </c>
      <c r="J117" s="434">
        <f t="shared" si="12"/>
        <v>0</v>
      </c>
      <c r="K117" s="279"/>
      <c r="L117" s="276"/>
      <c r="M117" s="435"/>
      <c r="N117" s="417" t="str">
        <f t="shared" si="13"/>
        <v/>
      </c>
      <c r="O117" s="418" t="str">
        <f>IF('Data Set up'!$G$40="JUNE",IF(OR($N117=7,$N117=8,$N117=9),1,IF(OR($N117=10,$N117=11,$N117=12),2,IF(OR($N117=1,$N117=2,$N117=3),3,IF(OR($N117=4,$N117=5,$N117=6),4,"")))),IF(OR($N117=9,$N117=10,$N117=11),1,IF(OR($N117=12,$N117=1,$N117=2),2,IF(OR($N117=3,$N117=4,$N117=5),3,IF(OR($N117=6,$N117=7,$N117=8),4,"")))))</f>
        <v/>
      </c>
      <c r="P117" s="445"/>
      <c r="Q117" s="291"/>
      <c r="R117" s="291"/>
      <c r="S117" s="275"/>
      <c r="T117" s="275"/>
      <c r="U117" s="275"/>
      <c r="V117" s="275"/>
      <c r="W117" s="275"/>
      <c r="X117" s="275"/>
      <c r="Y117" s="275"/>
      <c r="Z117" s="275"/>
      <c r="AA117" s="275"/>
      <c r="AB117" s="275"/>
      <c r="AC117" s="275"/>
      <c r="AD117" s="275"/>
      <c r="AE117" s="275"/>
      <c r="AF117" s="275"/>
      <c r="AG117" s="275"/>
      <c r="AH117" s="438"/>
      <c r="AI117" s="439">
        <f t="shared" si="14"/>
        <v>0</v>
      </c>
      <c r="AJ117" s="263"/>
      <c r="AK117" s="263"/>
      <c r="AL117" s="263"/>
      <c r="AM117" s="263"/>
      <c r="AN117" s="263"/>
      <c r="AO117" s="263"/>
      <c r="AP117" s="263"/>
      <c r="AQ117" s="436"/>
      <c r="AR117" s="275"/>
      <c r="AS117" s="275"/>
      <c r="AT117" s="275"/>
      <c r="AU117" s="275"/>
      <c r="AV117" s="275"/>
      <c r="AW117" s="275"/>
      <c r="AX117" s="275"/>
      <c r="AY117" s="437"/>
      <c r="AZ117" s="440">
        <f t="shared" si="15"/>
        <v>0</v>
      </c>
      <c r="BA117" s="275"/>
      <c r="BB117" s="275"/>
      <c r="BC117" s="275"/>
      <c r="BD117" s="275"/>
      <c r="BE117" s="275"/>
      <c r="BF117" s="275"/>
      <c r="BG117" s="275"/>
      <c r="BH117" s="436"/>
      <c r="BI117" s="275"/>
      <c r="BJ117" s="275"/>
      <c r="BK117" s="291"/>
      <c r="BL117" s="291"/>
      <c r="BM117" s="275"/>
      <c r="BN117" s="275"/>
      <c r="BO117" s="438"/>
      <c r="BP117" s="436"/>
      <c r="BQ117" s="275"/>
      <c r="BR117" s="275"/>
      <c r="BS117" s="275"/>
      <c r="BT117" s="275"/>
      <c r="BU117" s="275"/>
      <c r="BV117" s="275"/>
      <c r="BW117" s="275"/>
      <c r="BX117" s="438"/>
      <c r="BY117" s="436"/>
      <c r="BZ117" s="275"/>
      <c r="CA117" s="275"/>
      <c r="CB117" s="275"/>
      <c r="CC117" s="275"/>
      <c r="CD117" s="275"/>
      <c r="CE117" s="275"/>
      <c r="CF117" s="275"/>
      <c r="CG117" s="438"/>
      <c r="CH117" s="436"/>
      <c r="CI117" s="275"/>
      <c r="CJ117" s="275"/>
      <c r="CK117" s="275"/>
      <c r="CL117" s="275"/>
      <c r="CM117" s="275"/>
      <c r="CN117" s="275"/>
      <c r="CO117" s="442"/>
      <c r="CP117" s="443"/>
      <c r="CQ117" s="429">
        <f t="shared" si="16"/>
        <v>0</v>
      </c>
      <c r="CR117" s="430"/>
    </row>
    <row r="118" spans="1:96" ht="25.5" customHeight="1" x14ac:dyDescent="0.2">
      <c r="A118" s="410">
        <f t="shared" si="17"/>
        <v>103</v>
      </c>
      <c r="B118" s="280"/>
      <c r="C118" s="280"/>
      <c r="D118" s="411"/>
      <c r="E118" s="254"/>
      <c r="F118" s="277"/>
      <c r="G118" s="450"/>
      <c r="H118" s="451"/>
      <c r="I118" s="433" t="str">
        <f t="shared" si="11"/>
        <v/>
      </c>
      <c r="J118" s="434">
        <f t="shared" si="12"/>
        <v>0</v>
      </c>
      <c r="K118" s="279"/>
      <c r="L118" s="276"/>
      <c r="M118" s="435"/>
      <c r="N118" s="417" t="str">
        <f t="shared" si="13"/>
        <v/>
      </c>
      <c r="O118" s="418" t="str">
        <f>IF('Data Set up'!$G$40="JUNE",IF(OR($N118=7,$N118=8,$N118=9),1,IF(OR($N118=10,$N118=11,$N118=12),2,IF(OR($N118=1,$N118=2,$N118=3),3,IF(OR($N118=4,$N118=5,$N118=6),4,"")))),IF(OR($N118=9,$N118=10,$N118=11),1,IF(OR($N118=12,$N118=1,$N118=2),2,IF(OR($N118=3,$N118=4,$N118=5),3,IF(OR($N118=6,$N118=7,$N118=8),4,"")))))</f>
        <v/>
      </c>
      <c r="P118" s="445"/>
      <c r="Q118" s="291"/>
      <c r="R118" s="291"/>
      <c r="S118" s="275"/>
      <c r="T118" s="275"/>
      <c r="U118" s="275"/>
      <c r="V118" s="275"/>
      <c r="W118" s="275"/>
      <c r="X118" s="275"/>
      <c r="Y118" s="275"/>
      <c r="Z118" s="275"/>
      <c r="AA118" s="275"/>
      <c r="AB118" s="275"/>
      <c r="AC118" s="275"/>
      <c r="AD118" s="275"/>
      <c r="AE118" s="275"/>
      <c r="AF118" s="275"/>
      <c r="AG118" s="275"/>
      <c r="AH118" s="438"/>
      <c r="AI118" s="439">
        <f t="shared" si="14"/>
        <v>0</v>
      </c>
      <c r="AJ118" s="263"/>
      <c r="AK118" s="263"/>
      <c r="AL118" s="263"/>
      <c r="AM118" s="263"/>
      <c r="AN118" s="263"/>
      <c r="AO118" s="263"/>
      <c r="AP118" s="263"/>
      <c r="AQ118" s="436"/>
      <c r="AR118" s="275"/>
      <c r="AS118" s="275"/>
      <c r="AT118" s="275"/>
      <c r="AU118" s="275"/>
      <c r="AV118" s="275"/>
      <c r="AW118" s="275"/>
      <c r="AX118" s="275"/>
      <c r="AY118" s="437"/>
      <c r="AZ118" s="440">
        <f t="shared" si="15"/>
        <v>0</v>
      </c>
      <c r="BA118" s="275"/>
      <c r="BB118" s="275"/>
      <c r="BC118" s="275"/>
      <c r="BD118" s="275"/>
      <c r="BE118" s="275"/>
      <c r="BF118" s="275"/>
      <c r="BG118" s="275"/>
      <c r="BH118" s="436"/>
      <c r="BI118" s="275"/>
      <c r="BJ118" s="275"/>
      <c r="BK118" s="291"/>
      <c r="BL118" s="291"/>
      <c r="BM118" s="275"/>
      <c r="BN118" s="275"/>
      <c r="BO118" s="438"/>
      <c r="BP118" s="436"/>
      <c r="BQ118" s="275"/>
      <c r="BR118" s="275"/>
      <c r="BS118" s="275"/>
      <c r="BT118" s="275"/>
      <c r="BU118" s="275"/>
      <c r="BV118" s="275"/>
      <c r="BW118" s="275"/>
      <c r="BX118" s="438"/>
      <c r="BY118" s="436"/>
      <c r="BZ118" s="275"/>
      <c r="CA118" s="275"/>
      <c r="CB118" s="275"/>
      <c r="CC118" s="275"/>
      <c r="CD118" s="275"/>
      <c r="CE118" s="275"/>
      <c r="CF118" s="275"/>
      <c r="CG118" s="438"/>
      <c r="CH118" s="436"/>
      <c r="CI118" s="275"/>
      <c r="CJ118" s="275"/>
      <c r="CK118" s="275"/>
      <c r="CL118" s="275"/>
      <c r="CM118" s="275"/>
      <c r="CN118" s="275"/>
      <c r="CO118" s="442"/>
      <c r="CP118" s="443"/>
      <c r="CQ118" s="429">
        <f t="shared" si="16"/>
        <v>0</v>
      </c>
      <c r="CR118" s="430"/>
    </row>
    <row r="119" spans="1:96" ht="25.5" customHeight="1" x14ac:dyDescent="0.2">
      <c r="A119" s="410">
        <f t="shared" si="17"/>
        <v>104</v>
      </c>
      <c r="B119" s="280"/>
      <c r="C119" s="280"/>
      <c r="D119" s="411"/>
      <c r="E119" s="254"/>
      <c r="F119" s="277"/>
      <c r="G119" s="450"/>
      <c r="H119" s="451"/>
      <c r="I119" s="433" t="str">
        <f t="shared" si="11"/>
        <v/>
      </c>
      <c r="J119" s="434">
        <f t="shared" si="12"/>
        <v>0</v>
      </c>
      <c r="K119" s="279"/>
      <c r="L119" s="276"/>
      <c r="M119" s="435"/>
      <c r="N119" s="417" t="str">
        <f t="shared" si="13"/>
        <v/>
      </c>
      <c r="O119" s="418" t="str">
        <f>IF('Data Set up'!$G$40="JUNE",IF(OR($N119=7,$N119=8,$N119=9),1,IF(OR($N119=10,$N119=11,$N119=12),2,IF(OR($N119=1,$N119=2,$N119=3),3,IF(OR($N119=4,$N119=5,$N119=6),4,"")))),IF(OR($N119=9,$N119=10,$N119=11),1,IF(OR($N119=12,$N119=1,$N119=2),2,IF(OR($N119=3,$N119=4,$N119=5),3,IF(OR($N119=6,$N119=7,$N119=8),4,"")))))</f>
        <v/>
      </c>
      <c r="P119" s="445"/>
      <c r="Q119" s="291"/>
      <c r="R119" s="291"/>
      <c r="S119" s="275"/>
      <c r="T119" s="275"/>
      <c r="U119" s="275"/>
      <c r="V119" s="275"/>
      <c r="W119" s="275"/>
      <c r="X119" s="275"/>
      <c r="Y119" s="275"/>
      <c r="Z119" s="275"/>
      <c r="AA119" s="275"/>
      <c r="AB119" s="275"/>
      <c r="AC119" s="275"/>
      <c r="AD119" s="275"/>
      <c r="AE119" s="275"/>
      <c r="AF119" s="275"/>
      <c r="AG119" s="275"/>
      <c r="AH119" s="438"/>
      <c r="AI119" s="439">
        <f t="shared" si="14"/>
        <v>0</v>
      </c>
      <c r="AJ119" s="263"/>
      <c r="AK119" s="263"/>
      <c r="AL119" s="263"/>
      <c r="AM119" s="263"/>
      <c r="AN119" s="263"/>
      <c r="AO119" s="263"/>
      <c r="AP119" s="263"/>
      <c r="AQ119" s="436"/>
      <c r="AR119" s="275"/>
      <c r="AS119" s="275"/>
      <c r="AT119" s="275"/>
      <c r="AU119" s="275"/>
      <c r="AV119" s="275"/>
      <c r="AW119" s="275"/>
      <c r="AX119" s="275"/>
      <c r="AY119" s="437"/>
      <c r="AZ119" s="440">
        <f t="shared" si="15"/>
        <v>0</v>
      </c>
      <c r="BA119" s="275"/>
      <c r="BB119" s="275"/>
      <c r="BC119" s="275"/>
      <c r="BD119" s="275"/>
      <c r="BE119" s="275"/>
      <c r="BF119" s="275"/>
      <c r="BG119" s="275"/>
      <c r="BH119" s="436"/>
      <c r="BI119" s="275"/>
      <c r="BJ119" s="275"/>
      <c r="BK119" s="291"/>
      <c r="BL119" s="291"/>
      <c r="BM119" s="275"/>
      <c r="BN119" s="275"/>
      <c r="BO119" s="438"/>
      <c r="BP119" s="436"/>
      <c r="BQ119" s="275"/>
      <c r="BR119" s="275"/>
      <c r="BS119" s="275"/>
      <c r="BT119" s="275"/>
      <c r="BU119" s="275"/>
      <c r="BV119" s="275"/>
      <c r="BW119" s="275"/>
      <c r="BX119" s="438"/>
      <c r="BY119" s="436"/>
      <c r="BZ119" s="275"/>
      <c r="CA119" s="275"/>
      <c r="CB119" s="275"/>
      <c r="CC119" s="275"/>
      <c r="CD119" s="275"/>
      <c r="CE119" s="275"/>
      <c r="CF119" s="275"/>
      <c r="CG119" s="438"/>
      <c r="CH119" s="436"/>
      <c r="CI119" s="275"/>
      <c r="CJ119" s="275"/>
      <c r="CK119" s="275"/>
      <c r="CL119" s="275"/>
      <c r="CM119" s="275"/>
      <c r="CN119" s="275"/>
      <c r="CO119" s="442"/>
      <c r="CP119" s="443"/>
      <c r="CQ119" s="429">
        <f t="shared" si="16"/>
        <v>0</v>
      </c>
      <c r="CR119" s="430"/>
    </row>
    <row r="120" spans="1:96" ht="25.5" customHeight="1" x14ac:dyDescent="0.2">
      <c r="A120" s="410">
        <f t="shared" si="17"/>
        <v>105</v>
      </c>
      <c r="B120" s="280"/>
      <c r="C120" s="280"/>
      <c r="D120" s="411"/>
      <c r="E120" s="254"/>
      <c r="F120" s="277"/>
      <c r="G120" s="450"/>
      <c r="H120" s="451"/>
      <c r="I120" s="433" t="str">
        <f t="shared" si="11"/>
        <v/>
      </c>
      <c r="J120" s="434">
        <f t="shared" si="12"/>
        <v>0</v>
      </c>
      <c r="K120" s="279"/>
      <c r="L120" s="276"/>
      <c r="M120" s="435"/>
      <c r="N120" s="417" t="str">
        <f t="shared" si="13"/>
        <v/>
      </c>
      <c r="O120" s="418" t="str">
        <f>IF('Data Set up'!$G$40="JUNE",IF(OR($N120=7,$N120=8,$N120=9),1,IF(OR($N120=10,$N120=11,$N120=12),2,IF(OR($N120=1,$N120=2,$N120=3),3,IF(OR($N120=4,$N120=5,$N120=6),4,"")))),IF(OR($N120=9,$N120=10,$N120=11),1,IF(OR($N120=12,$N120=1,$N120=2),2,IF(OR($N120=3,$N120=4,$N120=5),3,IF(OR($N120=6,$N120=7,$N120=8),4,"")))))</f>
        <v/>
      </c>
      <c r="P120" s="445"/>
      <c r="Q120" s="291"/>
      <c r="R120" s="291"/>
      <c r="S120" s="275"/>
      <c r="T120" s="275"/>
      <c r="U120" s="275"/>
      <c r="V120" s="275"/>
      <c r="W120" s="275"/>
      <c r="X120" s="275"/>
      <c r="Y120" s="275"/>
      <c r="Z120" s="275"/>
      <c r="AA120" s="275"/>
      <c r="AB120" s="275"/>
      <c r="AC120" s="275"/>
      <c r="AD120" s="275"/>
      <c r="AE120" s="275"/>
      <c r="AF120" s="275"/>
      <c r="AG120" s="275"/>
      <c r="AH120" s="438"/>
      <c r="AI120" s="439">
        <f t="shared" si="14"/>
        <v>0</v>
      </c>
      <c r="AJ120" s="263"/>
      <c r="AK120" s="263"/>
      <c r="AL120" s="263"/>
      <c r="AM120" s="263"/>
      <c r="AN120" s="263"/>
      <c r="AO120" s="263"/>
      <c r="AP120" s="263"/>
      <c r="AQ120" s="436"/>
      <c r="AR120" s="275"/>
      <c r="AS120" s="275"/>
      <c r="AT120" s="275"/>
      <c r="AU120" s="275"/>
      <c r="AV120" s="275"/>
      <c r="AW120" s="275"/>
      <c r="AX120" s="275"/>
      <c r="AY120" s="437"/>
      <c r="AZ120" s="440">
        <f t="shared" si="15"/>
        <v>0</v>
      </c>
      <c r="BA120" s="275"/>
      <c r="BB120" s="275"/>
      <c r="BC120" s="275"/>
      <c r="BD120" s="275"/>
      <c r="BE120" s="275"/>
      <c r="BF120" s="275"/>
      <c r="BG120" s="275"/>
      <c r="BH120" s="436"/>
      <c r="BI120" s="275"/>
      <c r="BJ120" s="275"/>
      <c r="BK120" s="291"/>
      <c r="BL120" s="291"/>
      <c r="BM120" s="275"/>
      <c r="BN120" s="275"/>
      <c r="BO120" s="438"/>
      <c r="BP120" s="436"/>
      <c r="BQ120" s="275"/>
      <c r="BR120" s="275"/>
      <c r="BS120" s="275"/>
      <c r="BT120" s="275"/>
      <c r="BU120" s="275"/>
      <c r="BV120" s="275"/>
      <c r="BW120" s="275"/>
      <c r="BX120" s="438"/>
      <c r="BY120" s="436"/>
      <c r="BZ120" s="275"/>
      <c r="CA120" s="275"/>
      <c r="CB120" s="275"/>
      <c r="CC120" s="275"/>
      <c r="CD120" s="275"/>
      <c r="CE120" s="275"/>
      <c r="CF120" s="275"/>
      <c r="CG120" s="438"/>
      <c r="CH120" s="436"/>
      <c r="CI120" s="275"/>
      <c r="CJ120" s="275"/>
      <c r="CK120" s="275"/>
      <c r="CL120" s="275"/>
      <c r="CM120" s="275"/>
      <c r="CN120" s="275"/>
      <c r="CO120" s="442"/>
      <c r="CP120" s="443"/>
      <c r="CQ120" s="429">
        <f t="shared" si="16"/>
        <v>0</v>
      </c>
      <c r="CR120" s="430"/>
    </row>
    <row r="121" spans="1:96" ht="25.5" customHeight="1" x14ac:dyDescent="0.2">
      <c r="A121" s="410">
        <f t="shared" si="17"/>
        <v>106</v>
      </c>
      <c r="B121" s="280"/>
      <c r="C121" s="280"/>
      <c r="D121" s="411"/>
      <c r="E121" s="254"/>
      <c r="F121" s="277"/>
      <c r="G121" s="450"/>
      <c r="H121" s="451"/>
      <c r="I121" s="433" t="str">
        <f t="shared" si="11"/>
        <v/>
      </c>
      <c r="J121" s="434">
        <f t="shared" si="12"/>
        <v>0</v>
      </c>
      <c r="K121" s="279"/>
      <c r="L121" s="276"/>
      <c r="M121" s="435"/>
      <c r="N121" s="417" t="str">
        <f t="shared" si="13"/>
        <v/>
      </c>
      <c r="O121" s="418" t="str">
        <f>IF('Data Set up'!$G$40="JUNE",IF(OR($N121=7,$N121=8,$N121=9),1,IF(OR($N121=10,$N121=11,$N121=12),2,IF(OR($N121=1,$N121=2,$N121=3),3,IF(OR($N121=4,$N121=5,$N121=6),4,"")))),IF(OR($N121=9,$N121=10,$N121=11),1,IF(OR($N121=12,$N121=1,$N121=2),2,IF(OR($N121=3,$N121=4,$N121=5),3,IF(OR($N121=6,$N121=7,$N121=8),4,"")))))</f>
        <v/>
      </c>
      <c r="P121" s="445"/>
      <c r="Q121" s="291"/>
      <c r="R121" s="291"/>
      <c r="S121" s="275"/>
      <c r="T121" s="275"/>
      <c r="U121" s="275"/>
      <c r="V121" s="275"/>
      <c r="W121" s="275"/>
      <c r="X121" s="275"/>
      <c r="Y121" s="275"/>
      <c r="Z121" s="275"/>
      <c r="AA121" s="275"/>
      <c r="AB121" s="275"/>
      <c r="AC121" s="275"/>
      <c r="AD121" s="275"/>
      <c r="AE121" s="275"/>
      <c r="AF121" s="275"/>
      <c r="AG121" s="275"/>
      <c r="AH121" s="438"/>
      <c r="AI121" s="439">
        <f t="shared" si="14"/>
        <v>0</v>
      </c>
      <c r="AJ121" s="263"/>
      <c r="AK121" s="263"/>
      <c r="AL121" s="263"/>
      <c r="AM121" s="263"/>
      <c r="AN121" s="263"/>
      <c r="AO121" s="263"/>
      <c r="AP121" s="263"/>
      <c r="AQ121" s="436"/>
      <c r="AR121" s="275"/>
      <c r="AS121" s="275"/>
      <c r="AT121" s="275"/>
      <c r="AU121" s="275"/>
      <c r="AV121" s="275"/>
      <c r="AW121" s="275"/>
      <c r="AX121" s="275"/>
      <c r="AY121" s="437"/>
      <c r="AZ121" s="440">
        <f t="shared" si="15"/>
        <v>0</v>
      </c>
      <c r="BA121" s="275"/>
      <c r="BB121" s="275"/>
      <c r="BC121" s="275"/>
      <c r="BD121" s="275"/>
      <c r="BE121" s="275"/>
      <c r="BF121" s="275"/>
      <c r="BG121" s="275"/>
      <c r="BH121" s="436"/>
      <c r="BI121" s="275"/>
      <c r="BJ121" s="275"/>
      <c r="BK121" s="291"/>
      <c r="BL121" s="291"/>
      <c r="BM121" s="275"/>
      <c r="BN121" s="275"/>
      <c r="BO121" s="438"/>
      <c r="BP121" s="436"/>
      <c r="BQ121" s="275"/>
      <c r="BR121" s="275"/>
      <c r="BS121" s="275"/>
      <c r="BT121" s="275"/>
      <c r="BU121" s="275"/>
      <c r="BV121" s="275"/>
      <c r="BW121" s="275"/>
      <c r="BX121" s="438"/>
      <c r="BY121" s="436"/>
      <c r="BZ121" s="275"/>
      <c r="CA121" s="275"/>
      <c r="CB121" s="275"/>
      <c r="CC121" s="275"/>
      <c r="CD121" s="275"/>
      <c r="CE121" s="275"/>
      <c r="CF121" s="275"/>
      <c r="CG121" s="438"/>
      <c r="CH121" s="436"/>
      <c r="CI121" s="275"/>
      <c r="CJ121" s="275"/>
      <c r="CK121" s="275"/>
      <c r="CL121" s="275"/>
      <c r="CM121" s="275"/>
      <c r="CN121" s="275"/>
      <c r="CO121" s="442"/>
      <c r="CP121" s="443"/>
      <c r="CQ121" s="429">
        <f t="shared" si="16"/>
        <v>0</v>
      </c>
      <c r="CR121" s="430"/>
    </row>
    <row r="122" spans="1:96" ht="25.5" customHeight="1" x14ac:dyDescent="0.2">
      <c r="A122" s="410">
        <f t="shared" si="17"/>
        <v>107</v>
      </c>
      <c r="B122" s="280"/>
      <c r="C122" s="280"/>
      <c r="D122" s="411"/>
      <c r="E122" s="254"/>
      <c r="F122" s="277"/>
      <c r="G122" s="450"/>
      <c r="H122" s="451"/>
      <c r="I122" s="433" t="str">
        <f t="shared" si="11"/>
        <v/>
      </c>
      <c r="J122" s="434">
        <f t="shared" si="12"/>
        <v>0</v>
      </c>
      <c r="K122" s="279"/>
      <c r="L122" s="276"/>
      <c r="M122" s="435"/>
      <c r="N122" s="417" t="str">
        <f t="shared" si="13"/>
        <v/>
      </c>
      <c r="O122" s="418" t="str">
        <f>IF('Data Set up'!$G$40="JUNE",IF(OR($N122=7,$N122=8,$N122=9),1,IF(OR($N122=10,$N122=11,$N122=12),2,IF(OR($N122=1,$N122=2,$N122=3),3,IF(OR($N122=4,$N122=5,$N122=6),4,"")))),IF(OR($N122=9,$N122=10,$N122=11),1,IF(OR($N122=12,$N122=1,$N122=2),2,IF(OR($N122=3,$N122=4,$N122=5),3,IF(OR($N122=6,$N122=7,$N122=8),4,"")))))</f>
        <v/>
      </c>
      <c r="P122" s="445"/>
      <c r="Q122" s="291"/>
      <c r="R122" s="291"/>
      <c r="S122" s="275"/>
      <c r="T122" s="275"/>
      <c r="U122" s="275"/>
      <c r="V122" s="275"/>
      <c r="W122" s="275"/>
      <c r="X122" s="275"/>
      <c r="Y122" s="275"/>
      <c r="Z122" s="275"/>
      <c r="AA122" s="275"/>
      <c r="AB122" s="275"/>
      <c r="AC122" s="275"/>
      <c r="AD122" s="275"/>
      <c r="AE122" s="275"/>
      <c r="AF122" s="275"/>
      <c r="AG122" s="275"/>
      <c r="AH122" s="438"/>
      <c r="AI122" s="439">
        <f t="shared" si="14"/>
        <v>0</v>
      </c>
      <c r="AJ122" s="263"/>
      <c r="AK122" s="263"/>
      <c r="AL122" s="263"/>
      <c r="AM122" s="263"/>
      <c r="AN122" s="263"/>
      <c r="AO122" s="263"/>
      <c r="AP122" s="263"/>
      <c r="AQ122" s="436"/>
      <c r="AR122" s="275"/>
      <c r="AS122" s="275"/>
      <c r="AT122" s="275"/>
      <c r="AU122" s="275"/>
      <c r="AV122" s="275"/>
      <c r="AW122" s="275"/>
      <c r="AX122" s="275"/>
      <c r="AY122" s="437"/>
      <c r="AZ122" s="440">
        <f t="shared" si="15"/>
        <v>0</v>
      </c>
      <c r="BA122" s="275"/>
      <c r="BB122" s="275"/>
      <c r="BC122" s="275"/>
      <c r="BD122" s="275"/>
      <c r="BE122" s="275"/>
      <c r="BF122" s="275"/>
      <c r="BG122" s="275"/>
      <c r="BH122" s="436"/>
      <c r="BI122" s="275"/>
      <c r="BJ122" s="275"/>
      <c r="BK122" s="291"/>
      <c r="BL122" s="291"/>
      <c r="BM122" s="275"/>
      <c r="BN122" s="275"/>
      <c r="BO122" s="438"/>
      <c r="BP122" s="436"/>
      <c r="BQ122" s="275"/>
      <c r="BR122" s="275"/>
      <c r="BS122" s="275"/>
      <c r="BT122" s="275"/>
      <c r="BU122" s="275"/>
      <c r="BV122" s="275"/>
      <c r="BW122" s="275"/>
      <c r="BX122" s="438"/>
      <c r="BY122" s="436"/>
      <c r="BZ122" s="275"/>
      <c r="CA122" s="275"/>
      <c r="CB122" s="275"/>
      <c r="CC122" s="275"/>
      <c r="CD122" s="275"/>
      <c r="CE122" s="275"/>
      <c r="CF122" s="275"/>
      <c r="CG122" s="438"/>
      <c r="CH122" s="436"/>
      <c r="CI122" s="275"/>
      <c r="CJ122" s="275"/>
      <c r="CK122" s="275"/>
      <c r="CL122" s="275"/>
      <c r="CM122" s="275"/>
      <c r="CN122" s="275"/>
      <c r="CO122" s="442"/>
      <c r="CP122" s="443"/>
      <c r="CQ122" s="429">
        <f t="shared" si="16"/>
        <v>0</v>
      </c>
      <c r="CR122" s="430"/>
    </row>
    <row r="123" spans="1:96" ht="25.5" customHeight="1" x14ac:dyDescent="0.2">
      <c r="A123" s="410">
        <f t="shared" si="17"/>
        <v>108</v>
      </c>
      <c r="B123" s="280"/>
      <c r="C123" s="280"/>
      <c r="D123" s="411"/>
      <c r="E123" s="254"/>
      <c r="F123" s="277"/>
      <c r="G123" s="450"/>
      <c r="H123" s="451"/>
      <c r="I123" s="433" t="str">
        <f t="shared" si="11"/>
        <v/>
      </c>
      <c r="J123" s="434">
        <f t="shared" si="12"/>
        <v>0</v>
      </c>
      <c r="K123" s="279"/>
      <c r="L123" s="276"/>
      <c r="M123" s="435"/>
      <c r="N123" s="417" t="str">
        <f t="shared" si="13"/>
        <v/>
      </c>
      <c r="O123" s="418" t="str">
        <f>IF('Data Set up'!$G$40="JUNE",IF(OR($N123=7,$N123=8,$N123=9),1,IF(OR($N123=10,$N123=11,$N123=12),2,IF(OR($N123=1,$N123=2,$N123=3),3,IF(OR($N123=4,$N123=5,$N123=6),4,"")))),IF(OR($N123=9,$N123=10,$N123=11),1,IF(OR($N123=12,$N123=1,$N123=2),2,IF(OR($N123=3,$N123=4,$N123=5),3,IF(OR($N123=6,$N123=7,$N123=8),4,"")))))</f>
        <v/>
      </c>
      <c r="P123" s="445"/>
      <c r="Q123" s="291"/>
      <c r="R123" s="291"/>
      <c r="S123" s="275"/>
      <c r="T123" s="275"/>
      <c r="U123" s="275"/>
      <c r="V123" s="275"/>
      <c r="W123" s="275"/>
      <c r="X123" s="275"/>
      <c r="Y123" s="275"/>
      <c r="Z123" s="275"/>
      <c r="AA123" s="275"/>
      <c r="AB123" s="275"/>
      <c r="AC123" s="275"/>
      <c r="AD123" s="275"/>
      <c r="AE123" s="275"/>
      <c r="AF123" s="275"/>
      <c r="AG123" s="275"/>
      <c r="AH123" s="438"/>
      <c r="AI123" s="439">
        <f t="shared" si="14"/>
        <v>0</v>
      </c>
      <c r="AJ123" s="263"/>
      <c r="AK123" s="263"/>
      <c r="AL123" s="263"/>
      <c r="AM123" s="263"/>
      <c r="AN123" s="263"/>
      <c r="AO123" s="263"/>
      <c r="AP123" s="263"/>
      <c r="AQ123" s="436"/>
      <c r="AR123" s="275"/>
      <c r="AS123" s="275"/>
      <c r="AT123" s="275"/>
      <c r="AU123" s="275"/>
      <c r="AV123" s="275"/>
      <c r="AW123" s="275"/>
      <c r="AX123" s="275"/>
      <c r="AY123" s="437"/>
      <c r="AZ123" s="440">
        <f t="shared" si="15"/>
        <v>0</v>
      </c>
      <c r="BA123" s="275"/>
      <c r="BB123" s="275"/>
      <c r="BC123" s="275"/>
      <c r="BD123" s="275"/>
      <c r="BE123" s="275"/>
      <c r="BF123" s="275"/>
      <c r="BG123" s="275"/>
      <c r="BH123" s="436"/>
      <c r="BI123" s="275"/>
      <c r="BJ123" s="275"/>
      <c r="BK123" s="291"/>
      <c r="BL123" s="291"/>
      <c r="BM123" s="275"/>
      <c r="BN123" s="275"/>
      <c r="BO123" s="438"/>
      <c r="BP123" s="436"/>
      <c r="BQ123" s="275"/>
      <c r="BR123" s="275"/>
      <c r="BS123" s="275"/>
      <c r="BT123" s="275"/>
      <c r="BU123" s="275"/>
      <c r="BV123" s="275"/>
      <c r="BW123" s="275"/>
      <c r="BX123" s="438"/>
      <c r="BY123" s="436"/>
      <c r="BZ123" s="275"/>
      <c r="CA123" s="275"/>
      <c r="CB123" s="275"/>
      <c r="CC123" s="275"/>
      <c r="CD123" s="275"/>
      <c r="CE123" s="275"/>
      <c r="CF123" s="275"/>
      <c r="CG123" s="438"/>
      <c r="CH123" s="436"/>
      <c r="CI123" s="275"/>
      <c r="CJ123" s="275"/>
      <c r="CK123" s="275"/>
      <c r="CL123" s="275"/>
      <c r="CM123" s="275"/>
      <c r="CN123" s="275"/>
      <c r="CO123" s="442"/>
      <c r="CP123" s="443"/>
      <c r="CQ123" s="429">
        <f t="shared" si="16"/>
        <v>0</v>
      </c>
      <c r="CR123" s="430"/>
    </row>
    <row r="124" spans="1:96" ht="25.5" customHeight="1" x14ac:dyDescent="0.2">
      <c r="A124" s="410">
        <f t="shared" si="17"/>
        <v>109</v>
      </c>
      <c r="B124" s="280"/>
      <c r="C124" s="280"/>
      <c r="D124" s="411"/>
      <c r="E124" s="254"/>
      <c r="F124" s="277"/>
      <c r="G124" s="450"/>
      <c r="H124" s="451"/>
      <c r="I124" s="433" t="str">
        <f t="shared" si="11"/>
        <v/>
      </c>
      <c r="J124" s="434">
        <f t="shared" si="12"/>
        <v>0</v>
      </c>
      <c r="K124" s="279"/>
      <c r="L124" s="276"/>
      <c r="M124" s="435"/>
      <c r="N124" s="417" t="str">
        <f t="shared" si="13"/>
        <v/>
      </c>
      <c r="O124" s="418" t="str">
        <f>IF('Data Set up'!$G$40="JUNE",IF(OR($N124=7,$N124=8,$N124=9),1,IF(OR($N124=10,$N124=11,$N124=12),2,IF(OR($N124=1,$N124=2,$N124=3),3,IF(OR($N124=4,$N124=5,$N124=6),4,"")))),IF(OR($N124=9,$N124=10,$N124=11),1,IF(OR($N124=12,$N124=1,$N124=2),2,IF(OR($N124=3,$N124=4,$N124=5),3,IF(OR($N124=6,$N124=7,$N124=8),4,"")))))</f>
        <v/>
      </c>
      <c r="P124" s="445"/>
      <c r="Q124" s="291"/>
      <c r="R124" s="291"/>
      <c r="S124" s="275"/>
      <c r="T124" s="275"/>
      <c r="U124" s="275"/>
      <c r="V124" s="275"/>
      <c r="W124" s="275"/>
      <c r="X124" s="275"/>
      <c r="Y124" s="275"/>
      <c r="Z124" s="275"/>
      <c r="AA124" s="275"/>
      <c r="AB124" s="275"/>
      <c r="AC124" s="275"/>
      <c r="AD124" s="275"/>
      <c r="AE124" s="275"/>
      <c r="AF124" s="275"/>
      <c r="AG124" s="275"/>
      <c r="AH124" s="438"/>
      <c r="AI124" s="439">
        <f t="shared" si="14"/>
        <v>0</v>
      </c>
      <c r="AJ124" s="263"/>
      <c r="AK124" s="263"/>
      <c r="AL124" s="263"/>
      <c r="AM124" s="263"/>
      <c r="AN124" s="263"/>
      <c r="AO124" s="263"/>
      <c r="AP124" s="263"/>
      <c r="AQ124" s="436"/>
      <c r="AR124" s="275"/>
      <c r="AS124" s="275"/>
      <c r="AT124" s="275"/>
      <c r="AU124" s="275"/>
      <c r="AV124" s="275"/>
      <c r="AW124" s="275"/>
      <c r="AX124" s="275"/>
      <c r="AY124" s="437"/>
      <c r="AZ124" s="440">
        <f t="shared" si="15"/>
        <v>0</v>
      </c>
      <c r="BA124" s="275"/>
      <c r="BB124" s="275"/>
      <c r="BC124" s="275"/>
      <c r="BD124" s="275"/>
      <c r="BE124" s="275"/>
      <c r="BF124" s="275"/>
      <c r="BG124" s="275"/>
      <c r="BH124" s="436"/>
      <c r="BI124" s="275"/>
      <c r="BJ124" s="275"/>
      <c r="BK124" s="291"/>
      <c r="BL124" s="291"/>
      <c r="BM124" s="275"/>
      <c r="BN124" s="275"/>
      <c r="BO124" s="438"/>
      <c r="BP124" s="436"/>
      <c r="BQ124" s="275"/>
      <c r="BR124" s="275"/>
      <c r="BS124" s="275"/>
      <c r="BT124" s="275"/>
      <c r="BU124" s="275"/>
      <c r="BV124" s="275"/>
      <c r="BW124" s="275"/>
      <c r="BX124" s="438"/>
      <c r="BY124" s="436"/>
      <c r="BZ124" s="275"/>
      <c r="CA124" s="275"/>
      <c r="CB124" s="275"/>
      <c r="CC124" s="275"/>
      <c r="CD124" s="275"/>
      <c r="CE124" s="275"/>
      <c r="CF124" s="275"/>
      <c r="CG124" s="438"/>
      <c r="CH124" s="436"/>
      <c r="CI124" s="275"/>
      <c r="CJ124" s="275"/>
      <c r="CK124" s="275"/>
      <c r="CL124" s="275"/>
      <c r="CM124" s="275"/>
      <c r="CN124" s="275"/>
      <c r="CO124" s="442"/>
      <c r="CP124" s="443"/>
      <c r="CQ124" s="429">
        <f t="shared" si="16"/>
        <v>0</v>
      </c>
      <c r="CR124" s="430"/>
    </row>
    <row r="125" spans="1:96" ht="25.5" customHeight="1" x14ac:dyDescent="0.2">
      <c r="A125" s="410">
        <f t="shared" si="17"/>
        <v>110</v>
      </c>
      <c r="B125" s="280"/>
      <c r="C125" s="280"/>
      <c r="D125" s="411"/>
      <c r="E125" s="254"/>
      <c r="F125" s="277"/>
      <c r="G125" s="450"/>
      <c r="H125" s="451"/>
      <c r="I125" s="433" t="str">
        <f t="shared" si="11"/>
        <v/>
      </c>
      <c r="J125" s="434">
        <f t="shared" si="12"/>
        <v>0</v>
      </c>
      <c r="K125" s="279"/>
      <c r="L125" s="276"/>
      <c r="M125" s="435"/>
      <c r="N125" s="417" t="str">
        <f t="shared" si="13"/>
        <v/>
      </c>
      <c r="O125" s="418" t="str">
        <f>IF('Data Set up'!$G$40="JUNE",IF(OR($N125=7,$N125=8,$N125=9),1,IF(OR($N125=10,$N125=11,$N125=12),2,IF(OR($N125=1,$N125=2,$N125=3),3,IF(OR($N125=4,$N125=5,$N125=6),4,"")))),IF(OR($N125=9,$N125=10,$N125=11),1,IF(OR($N125=12,$N125=1,$N125=2),2,IF(OR($N125=3,$N125=4,$N125=5),3,IF(OR($N125=6,$N125=7,$N125=8),4,"")))))</f>
        <v/>
      </c>
      <c r="P125" s="445"/>
      <c r="Q125" s="291"/>
      <c r="R125" s="291"/>
      <c r="S125" s="275"/>
      <c r="T125" s="275"/>
      <c r="U125" s="275"/>
      <c r="V125" s="275"/>
      <c r="W125" s="275"/>
      <c r="X125" s="275"/>
      <c r="Y125" s="275"/>
      <c r="Z125" s="275"/>
      <c r="AA125" s="275"/>
      <c r="AB125" s="275"/>
      <c r="AC125" s="275"/>
      <c r="AD125" s="275"/>
      <c r="AE125" s="275"/>
      <c r="AF125" s="275"/>
      <c r="AG125" s="275"/>
      <c r="AH125" s="438"/>
      <c r="AI125" s="439">
        <f t="shared" si="14"/>
        <v>0</v>
      </c>
      <c r="AJ125" s="263"/>
      <c r="AK125" s="263"/>
      <c r="AL125" s="263"/>
      <c r="AM125" s="263"/>
      <c r="AN125" s="263"/>
      <c r="AO125" s="263"/>
      <c r="AP125" s="263"/>
      <c r="AQ125" s="436"/>
      <c r="AR125" s="275"/>
      <c r="AS125" s="275"/>
      <c r="AT125" s="275"/>
      <c r="AU125" s="275"/>
      <c r="AV125" s="275"/>
      <c r="AW125" s="275"/>
      <c r="AX125" s="275"/>
      <c r="AY125" s="437"/>
      <c r="AZ125" s="440">
        <f t="shared" si="15"/>
        <v>0</v>
      </c>
      <c r="BA125" s="275"/>
      <c r="BB125" s="275"/>
      <c r="BC125" s="275"/>
      <c r="BD125" s="275"/>
      <c r="BE125" s="275"/>
      <c r="BF125" s="275"/>
      <c r="BG125" s="275"/>
      <c r="BH125" s="436"/>
      <c r="BI125" s="275"/>
      <c r="BJ125" s="275"/>
      <c r="BK125" s="291"/>
      <c r="BL125" s="291"/>
      <c r="BM125" s="275"/>
      <c r="BN125" s="275"/>
      <c r="BO125" s="438"/>
      <c r="BP125" s="436"/>
      <c r="BQ125" s="275"/>
      <c r="BR125" s="275"/>
      <c r="BS125" s="275"/>
      <c r="BT125" s="275"/>
      <c r="BU125" s="275"/>
      <c r="BV125" s="275"/>
      <c r="BW125" s="275"/>
      <c r="BX125" s="438"/>
      <c r="BY125" s="436"/>
      <c r="BZ125" s="275"/>
      <c r="CA125" s="275"/>
      <c r="CB125" s="275"/>
      <c r="CC125" s="275"/>
      <c r="CD125" s="275"/>
      <c r="CE125" s="275"/>
      <c r="CF125" s="275"/>
      <c r="CG125" s="438"/>
      <c r="CH125" s="436"/>
      <c r="CI125" s="275"/>
      <c r="CJ125" s="275"/>
      <c r="CK125" s="275"/>
      <c r="CL125" s="275"/>
      <c r="CM125" s="275"/>
      <c r="CN125" s="275"/>
      <c r="CO125" s="442"/>
      <c r="CP125" s="443"/>
      <c r="CQ125" s="429">
        <f t="shared" si="16"/>
        <v>0</v>
      </c>
      <c r="CR125" s="430"/>
    </row>
    <row r="126" spans="1:96" ht="25.5" customHeight="1" x14ac:dyDescent="0.2">
      <c r="A126" s="410">
        <f t="shared" si="17"/>
        <v>111</v>
      </c>
      <c r="B126" s="280"/>
      <c r="C126" s="280"/>
      <c r="D126" s="411"/>
      <c r="E126" s="254"/>
      <c r="F126" s="277"/>
      <c r="G126" s="450"/>
      <c r="H126" s="451"/>
      <c r="I126" s="433" t="str">
        <f t="shared" si="11"/>
        <v/>
      </c>
      <c r="J126" s="434">
        <f t="shared" si="12"/>
        <v>0</v>
      </c>
      <c r="K126" s="279"/>
      <c r="L126" s="276"/>
      <c r="M126" s="435"/>
      <c r="N126" s="417" t="str">
        <f t="shared" si="13"/>
        <v/>
      </c>
      <c r="O126" s="418" t="str">
        <f>IF('Data Set up'!$G$40="JUNE",IF(OR($N126=7,$N126=8,$N126=9),1,IF(OR($N126=10,$N126=11,$N126=12),2,IF(OR($N126=1,$N126=2,$N126=3),3,IF(OR($N126=4,$N126=5,$N126=6),4,"")))),IF(OR($N126=9,$N126=10,$N126=11),1,IF(OR($N126=12,$N126=1,$N126=2),2,IF(OR($N126=3,$N126=4,$N126=5),3,IF(OR($N126=6,$N126=7,$N126=8),4,"")))))</f>
        <v/>
      </c>
      <c r="P126" s="445"/>
      <c r="Q126" s="291"/>
      <c r="R126" s="291"/>
      <c r="S126" s="275"/>
      <c r="T126" s="275"/>
      <c r="U126" s="275"/>
      <c r="V126" s="275"/>
      <c r="W126" s="275"/>
      <c r="X126" s="275"/>
      <c r="Y126" s="275"/>
      <c r="Z126" s="275"/>
      <c r="AA126" s="275"/>
      <c r="AB126" s="275"/>
      <c r="AC126" s="275"/>
      <c r="AD126" s="275"/>
      <c r="AE126" s="275"/>
      <c r="AF126" s="275"/>
      <c r="AG126" s="275"/>
      <c r="AH126" s="438"/>
      <c r="AI126" s="439">
        <f t="shared" si="14"/>
        <v>0</v>
      </c>
      <c r="AJ126" s="263"/>
      <c r="AK126" s="263"/>
      <c r="AL126" s="263"/>
      <c r="AM126" s="263"/>
      <c r="AN126" s="263"/>
      <c r="AO126" s="263"/>
      <c r="AP126" s="263"/>
      <c r="AQ126" s="436"/>
      <c r="AR126" s="275"/>
      <c r="AS126" s="275"/>
      <c r="AT126" s="275"/>
      <c r="AU126" s="275"/>
      <c r="AV126" s="275"/>
      <c r="AW126" s="275"/>
      <c r="AX126" s="275"/>
      <c r="AY126" s="437"/>
      <c r="AZ126" s="440">
        <f t="shared" si="15"/>
        <v>0</v>
      </c>
      <c r="BA126" s="275"/>
      <c r="BB126" s="275"/>
      <c r="BC126" s="275"/>
      <c r="BD126" s="275"/>
      <c r="BE126" s="275"/>
      <c r="BF126" s="275"/>
      <c r="BG126" s="275"/>
      <c r="BH126" s="436"/>
      <c r="BI126" s="275"/>
      <c r="BJ126" s="275"/>
      <c r="BK126" s="291"/>
      <c r="BL126" s="291"/>
      <c r="BM126" s="275"/>
      <c r="BN126" s="275"/>
      <c r="BO126" s="438"/>
      <c r="BP126" s="436"/>
      <c r="BQ126" s="275"/>
      <c r="BR126" s="275"/>
      <c r="BS126" s="275"/>
      <c r="BT126" s="275"/>
      <c r="BU126" s="275"/>
      <c r="BV126" s="275"/>
      <c r="BW126" s="275"/>
      <c r="BX126" s="438"/>
      <c r="BY126" s="436"/>
      <c r="BZ126" s="275"/>
      <c r="CA126" s="275"/>
      <c r="CB126" s="275"/>
      <c r="CC126" s="275"/>
      <c r="CD126" s="275"/>
      <c r="CE126" s="275"/>
      <c r="CF126" s="275"/>
      <c r="CG126" s="438"/>
      <c r="CH126" s="436"/>
      <c r="CI126" s="275"/>
      <c r="CJ126" s="275"/>
      <c r="CK126" s="275"/>
      <c r="CL126" s="275"/>
      <c r="CM126" s="275"/>
      <c r="CN126" s="275"/>
      <c r="CO126" s="442"/>
      <c r="CP126" s="443"/>
      <c r="CQ126" s="429">
        <f t="shared" si="16"/>
        <v>0</v>
      </c>
      <c r="CR126" s="430"/>
    </row>
    <row r="127" spans="1:96" ht="25.5" customHeight="1" x14ac:dyDescent="0.2">
      <c r="A127" s="410">
        <f t="shared" si="17"/>
        <v>112</v>
      </c>
      <c r="B127" s="280"/>
      <c r="C127" s="280"/>
      <c r="D127" s="411"/>
      <c r="E127" s="254"/>
      <c r="F127" s="277"/>
      <c r="G127" s="450"/>
      <c r="H127" s="451"/>
      <c r="I127" s="433" t="str">
        <f t="shared" si="11"/>
        <v/>
      </c>
      <c r="J127" s="434">
        <f t="shared" si="12"/>
        <v>0</v>
      </c>
      <c r="K127" s="279"/>
      <c r="L127" s="276"/>
      <c r="M127" s="435"/>
      <c r="N127" s="417" t="str">
        <f t="shared" si="13"/>
        <v/>
      </c>
      <c r="O127" s="418" t="str">
        <f>IF('Data Set up'!$G$40="JUNE",IF(OR($N127=7,$N127=8,$N127=9),1,IF(OR($N127=10,$N127=11,$N127=12),2,IF(OR($N127=1,$N127=2,$N127=3),3,IF(OR($N127=4,$N127=5,$N127=6),4,"")))),IF(OR($N127=9,$N127=10,$N127=11),1,IF(OR($N127=12,$N127=1,$N127=2),2,IF(OR($N127=3,$N127=4,$N127=5),3,IF(OR($N127=6,$N127=7,$N127=8),4,"")))))</f>
        <v/>
      </c>
      <c r="P127" s="445"/>
      <c r="Q127" s="291"/>
      <c r="R127" s="291"/>
      <c r="S127" s="275"/>
      <c r="T127" s="275"/>
      <c r="U127" s="275"/>
      <c r="V127" s="275"/>
      <c r="W127" s="275"/>
      <c r="X127" s="275"/>
      <c r="Y127" s="275"/>
      <c r="Z127" s="275"/>
      <c r="AA127" s="275"/>
      <c r="AB127" s="275"/>
      <c r="AC127" s="275"/>
      <c r="AD127" s="275"/>
      <c r="AE127" s="275"/>
      <c r="AF127" s="275"/>
      <c r="AG127" s="275"/>
      <c r="AH127" s="438"/>
      <c r="AI127" s="439">
        <f t="shared" si="14"/>
        <v>0</v>
      </c>
      <c r="AJ127" s="263"/>
      <c r="AK127" s="263"/>
      <c r="AL127" s="263"/>
      <c r="AM127" s="263"/>
      <c r="AN127" s="263"/>
      <c r="AO127" s="263"/>
      <c r="AP127" s="263"/>
      <c r="AQ127" s="436"/>
      <c r="AR127" s="275"/>
      <c r="AS127" s="275"/>
      <c r="AT127" s="275"/>
      <c r="AU127" s="275"/>
      <c r="AV127" s="275"/>
      <c r="AW127" s="275"/>
      <c r="AX127" s="275"/>
      <c r="AY127" s="437"/>
      <c r="AZ127" s="440">
        <f t="shared" si="15"/>
        <v>0</v>
      </c>
      <c r="BA127" s="275"/>
      <c r="BB127" s="275"/>
      <c r="BC127" s="275"/>
      <c r="BD127" s="275"/>
      <c r="BE127" s="275"/>
      <c r="BF127" s="275"/>
      <c r="BG127" s="275"/>
      <c r="BH127" s="436"/>
      <c r="BI127" s="275"/>
      <c r="BJ127" s="275"/>
      <c r="BK127" s="291"/>
      <c r="BL127" s="291"/>
      <c r="BM127" s="275"/>
      <c r="BN127" s="275"/>
      <c r="BO127" s="438"/>
      <c r="BP127" s="436"/>
      <c r="BQ127" s="275"/>
      <c r="BR127" s="275"/>
      <c r="BS127" s="275"/>
      <c r="BT127" s="275"/>
      <c r="BU127" s="275"/>
      <c r="BV127" s="275"/>
      <c r="BW127" s="275"/>
      <c r="BX127" s="438"/>
      <c r="BY127" s="436"/>
      <c r="BZ127" s="275"/>
      <c r="CA127" s="275"/>
      <c r="CB127" s="275"/>
      <c r="CC127" s="275"/>
      <c r="CD127" s="275"/>
      <c r="CE127" s="275"/>
      <c r="CF127" s="275"/>
      <c r="CG127" s="438"/>
      <c r="CH127" s="436"/>
      <c r="CI127" s="275"/>
      <c r="CJ127" s="275"/>
      <c r="CK127" s="275"/>
      <c r="CL127" s="275"/>
      <c r="CM127" s="275"/>
      <c r="CN127" s="275"/>
      <c r="CO127" s="442"/>
      <c r="CP127" s="443"/>
      <c r="CQ127" s="429">
        <f t="shared" si="16"/>
        <v>0</v>
      </c>
      <c r="CR127" s="430"/>
    </row>
    <row r="128" spans="1:96" ht="25.5" customHeight="1" x14ac:dyDescent="0.2">
      <c r="A128" s="410">
        <f t="shared" si="17"/>
        <v>113</v>
      </c>
      <c r="B128" s="280"/>
      <c r="C128" s="280"/>
      <c r="D128" s="411"/>
      <c r="E128" s="254"/>
      <c r="F128" s="277"/>
      <c r="G128" s="450"/>
      <c r="H128" s="451"/>
      <c r="I128" s="433" t="str">
        <f t="shared" si="11"/>
        <v/>
      </c>
      <c r="J128" s="434">
        <f t="shared" si="12"/>
        <v>0</v>
      </c>
      <c r="K128" s="279"/>
      <c r="L128" s="276"/>
      <c r="M128" s="435"/>
      <c r="N128" s="417" t="str">
        <f t="shared" si="13"/>
        <v/>
      </c>
      <c r="O128" s="418" t="str">
        <f>IF('Data Set up'!$G$40="JUNE",IF(OR($N128=7,$N128=8,$N128=9),1,IF(OR($N128=10,$N128=11,$N128=12),2,IF(OR($N128=1,$N128=2,$N128=3),3,IF(OR($N128=4,$N128=5,$N128=6),4,"")))),IF(OR($N128=9,$N128=10,$N128=11),1,IF(OR($N128=12,$N128=1,$N128=2),2,IF(OR($N128=3,$N128=4,$N128=5),3,IF(OR($N128=6,$N128=7,$N128=8),4,"")))))</f>
        <v/>
      </c>
      <c r="P128" s="445"/>
      <c r="Q128" s="291"/>
      <c r="R128" s="291"/>
      <c r="S128" s="275"/>
      <c r="T128" s="275"/>
      <c r="U128" s="275"/>
      <c r="V128" s="275"/>
      <c r="W128" s="275"/>
      <c r="X128" s="275"/>
      <c r="Y128" s="275"/>
      <c r="Z128" s="275"/>
      <c r="AA128" s="275"/>
      <c r="AB128" s="275"/>
      <c r="AC128" s="275"/>
      <c r="AD128" s="275"/>
      <c r="AE128" s="275"/>
      <c r="AF128" s="275"/>
      <c r="AG128" s="275"/>
      <c r="AH128" s="438"/>
      <c r="AI128" s="439">
        <f t="shared" si="14"/>
        <v>0</v>
      </c>
      <c r="AJ128" s="263"/>
      <c r="AK128" s="263"/>
      <c r="AL128" s="263"/>
      <c r="AM128" s="263"/>
      <c r="AN128" s="263"/>
      <c r="AO128" s="263"/>
      <c r="AP128" s="263"/>
      <c r="AQ128" s="436"/>
      <c r="AR128" s="275"/>
      <c r="AS128" s="275"/>
      <c r="AT128" s="275"/>
      <c r="AU128" s="275"/>
      <c r="AV128" s="275"/>
      <c r="AW128" s="275"/>
      <c r="AX128" s="275"/>
      <c r="AY128" s="437"/>
      <c r="AZ128" s="440">
        <f t="shared" si="15"/>
        <v>0</v>
      </c>
      <c r="BA128" s="275"/>
      <c r="BB128" s="275"/>
      <c r="BC128" s="275"/>
      <c r="BD128" s="275"/>
      <c r="BE128" s="275"/>
      <c r="BF128" s="275"/>
      <c r="BG128" s="275"/>
      <c r="BH128" s="436"/>
      <c r="BI128" s="275"/>
      <c r="BJ128" s="275"/>
      <c r="BK128" s="291"/>
      <c r="BL128" s="291"/>
      <c r="BM128" s="275"/>
      <c r="BN128" s="275"/>
      <c r="BO128" s="438"/>
      <c r="BP128" s="436"/>
      <c r="BQ128" s="275"/>
      <c r="BR128" s="275"/>
      <c r="BS128" s="275"/>
      <c r="BT128" s="275"/>
      <c r="BU128" s="275"/>
      <c r="BV128" s="275"/>
      <c r="BW128" s="275"/>
      <c r="BX128" s="438"/>
      <c r="BY128" s="436"/>
      <c r="BZ128" s="275"/>
      <c r="CA128" s="275"/>
      <c r="CB128" s="275"/>
      <c r="CC128" s="275"/>
      <c r="CD128" s="275"/>
      <c r="CE128" s="275"/>
      <c r="CF128" s="275"/>
      <c r="CG128" s="438"/>
      <c r="CH128" s="436"/>
      <c r="CI128" s="275"/>
      <c r="CJ128" s="275"/>
      <c r="CK128" s="275"/>
      <c r="CL128" s="275"/>
      <c r="CM128" s="275"/>
      <c r="CN128" s="275"/>
      <c r="CO128" s="442"/>
      <c r="CP128" s="443"/>
      <c r="CQ128" s="429">
        <f t="shared" si="16"/>
        <v>0</v>
      </c>
      <c r="CR128" s="430"/>
    </row>
    <row r="129" spans="1:96" ht="25.5" customHeight="1" x14ac:dyDescent="0.2">
      <c r="A129" s="410">
        <f t="shared" si="17"/>
        <v>114</v>
      </c>
      <c r="B129" s="280"/>
      <c r="C129" s="280"/>
      <c r="D129" s="411"/>
      <c r="E129" s="254"/>
      <c r="F129" s="277"/>
      <c r="G129" s="450"/>
      <c r="H129" s="451"/>
      <c r="I129" s="433" t="str">
        <f t="shared" si="11"/>
        <v/>
      </c>
      <c r="J129" s="434">
        <f t="shared" si="12"/>
        <v>0</v>
      </c>
      <c r="K129" s="279"/>
      <c r="L129" s="276"/>
      <c r="M129" s="435"/>
      <c r="N129" s="417" t="str">
        <f t="shared" si="13"/>
        <v/>
      </c>
      <c r="O129" s="418" t="str">
        <f>IF('Data Set up'!$G$40="JUNE",IF(OR($N129=7,$N129=8,$N129=9),1,IF(OR($N129=10,$N129=11,$N129=12),2,IF(OR($N129=1,$N129=2,$N129=3),3,IF(OR($N129=4,$N129=5,$N129=6),4,"")))),IF(OR($N129=9,$N129=10,$N129=11),1,IF(OR($N129=12,$N129=1,$N129=2),2,IF(OR($N129=3,$N129=4,$N129=5),3,IF(OR($N129=6,$N129=7,$N129=8),4,"")))))</f>
        <v/>
      </c>
      <c r="P129" s="445"/>
      <c r="Q129" s="291"/>
      <c r="R129" s="291"/>
      <c r="S129" s="275"/>
      <c r="T129" s="275"/>
      <c r="U129" s="275"/>
      <c r="V129" s="275"/>
      <c r="W129" s="275"/>
      <c r="X129" s="275"/>
      <c r="Y129" s="275"/>
      <c r="Z129" s="275"/>
      <c r="AA129" s="275"/>
      <c r="AB129" s="275"/>
      <c r="AC129" s="275"/>
      <c r="AD129" s="275"/>
      <c r="AE129" s="275"/>
      <c r="AF129" s="275"/>
      <c r="AG129" s="275"/>
      <c r="AH129" s="438"/>
      <c r="AI129" s="439">
        <f t="shared" si="14"/>
        <v>0</v>
      </c>
      <c r="AJ129" s="263"/>
      <c r="AK129" s="263"/>
      <c r="AL129" s="263"/>
      <c r="AM129" s="263"/>
      <c r="AN129" s="263"/>
      <c r="AO129" s="263"/>
      <c r="AP129" s="263"/>
      <c r="AQ129" s="436"/>
      <c r="AR129" s="275"/>
      <c r="AS129" s="275"/>
      <c r="AT129" s="275"/>
      <c r="AU129" s="275"/>
      <c r="AV129" s="275"/>
      <c r="AW129" s="275"/>
      <c r="AX129" s="275"/>
      <c r="AY129" s="437"/>
      <c r="AZ129" s="440">
        <f t="shared" si="15"/>
        <v>0</v>
      </c>
      <c r="BA129" s="275"/>
      <c r="BB129" s="275"/>
      <c r="BC129" s="275"/>
      <c r="BD129" s="275"/>
      <c r="BE129" s="275"/>
      <c r="BF129" s="275"/>
      <c r="BG129" s="275"/>
      <c r="BH129" s="436"/>
      <c r="BI129" s="275"/>
      <c r="BJ129" s="275"/>
      <c r="BK129" s="291"/>
      <c r="BL129" s="291"/>
      <c r="BM129" s="275"/>
      <c r="BN129" s="275"/>
      <c r="BO129" s="438"/>
      <c r="BP129" s="436"/>
      <c r="BQ129" s="275"/>
      <c r="BR129" s="275"/>
      <c r="BS129" s="275"/>
      <c r="BT129" s="275"/>
      <c r="BU129" s="275"/>
      <c r="BV129" s="275"/>
      <c r="BW129" s="275"/>
      <c r="BX129" s="438"/>
      <c r="BY129" s="436"/>
      <c r="BZ129" s="275"/>
      <c r="CA129" s="275"/>
      <c r="CB129" s="275"/>
      <c r="CC129" s="275"/>
      <c r="CD129" s="275"/>
      <c r="CE129" s="275"/>
      <c r="CF129" s="275"/>
      <c r="CG129" s="438"/>
      <c r="CH129" s="436"/>
      <c r="CI129" s="275"/>
      <c r="CJ129" s="275"/>
      <c r="CK129" s="275"/>
      <c r="CL129" s="275"/>
      <c r="CM129" s="275"/>
      <c r="CN129" s="275"/>
      <c r="CO129" s="442"/>
      <c r="CP129" s="443"/>
      <c r="CQ129" s="429">
        <f t="shared" si="16"/>
        <v>0</v>
      </c>
      <c r="CR129" s="430"/>
    </row>
    <row r="130" spans="1:96" ht="25.5" customHeight="1" x14ac:dyDescent="0.2">
      <c r="A130" s="410">
        <f t="shared" si="17"/>
        <v>115</v>
      </c>
      <c r="B130" s="280"/>
      <c r="C130" s="280"/>
      <c r="D130" s="411"/>
      <c r="E130" s="254"/>
      <c r="F130" s="277"/>
      <c r="G130" s="450"/>
      <c r="H130" s="451"/>
      <c r="I130" s="433" t="str">
        <f t="shared" si="11"/>
        <v/>
      </c>
      <c r="J130" s="434">
        <f t="shared" si="12"/>
        <v>0</v>
      </c>
      <c r="K130" s="279"/>
      <c r="L130" s="276"/>
      <c r="M130" s="435"/>
      <c r="N130" s="417" t="str">
        <f t="shared" si="13"/>
        <v/>
      </c>
      <c r="O130" s="418" t="str">
        <f>IF('Data Set up'!$G$40="JUNE",IF(OR($N130=7,$N130=8,$N130=9),1,IF(OR($N130=10,$N130=11,$N130=12),2,IF(OR($N130=1,$N130=2,$N130=3),3,IF(OR($N130=4,$N130=5,$N130=6),4,"")))),IF(OR($N130=9,$N130=10,$N130=11),1,IF(OR($N130=12,$N130=1,$N130=2),2,IF(OR($N130=3,$N130=4,$N130=5),3,IF(OR($N130=6,$N130=7,$N130=8),4,"")))))</f>
        <v/>
      </c>
      <c r="P130" s="445"/>
      <c r="Q130" s="291"/>
      <c r="R130" s="291"/>
      <c r="S130" s="275"/>
      <c r="T130" s="275"/>
      <c r="U130" s="275"/>
      <c r="V130" s="275"/>
      <c r="W130" s="275"/>
      <c r="X130" s="275"/>
      <c r="Y130" s="275"/>
      <c r="Z130" s="275"/>
      <c r="AA130" s="275"/>
      <c r="AB130" s="275"/>
      <c r="AC130" s="275"/>
      <c r="AD130" s="275"/>
      <c r="AE130" s="275"/>
      <c r="AF130" s="275"/>
      <c r="AG130" s="275"/>
      <c r="AH130" s="438"/>
      <c r="AI130" s="439">
        <f t="shared" si="14"/>
        <v>0</v>
      </c>
      <c r="AJ130" s="263"/>
      <c r="AK130" s="263"/>
      <c r="AL130" s="263"/>
      <c r="AM130" s="263"/>
      <c r="AN130" s="263"/>
      <c r="AO130" s="263"/>
      <c r="AP130" s="263"/>
      <c r="AQ130" s="436"/>
      <c r="AR130" s="275"/>
      <c r="AS130" s="275"/>
      <c r="AT130" s="275"/>
      <c r="AU130" s="275"/>
      <c r="AV130" s="275"/>
      <c r="AW130" s="275"/>
      <c r="AX130" s="275"/>
      <c r="AY130" s="437"/>
      <c r="AZ130" s="440">
        <f t="shared" si="15"/>
        <v>0</v>
      </c>
      <c r="BA130" s="275"/>
      <c r="BB130" s="275"/>
      <c r="BC130" s="275"/>
      <c r="BD130" s="275"/>
      <c r="BE130" s="275"/>
      <c r="BF130" s="275"/>
      <c r="BG130" s="275"/>
      <c r="BH130" s="436"/>
      <c r="BI130" s="275"/>
      <c r="BJ130" s="275"/>
      <c r="BK130" s="291"/>
      <c r="BL130" s="291"/>
      <c r="BM130" s="275"/>
      <c r="BN130" s="275"/>
      <c r="BO130" s="438"/>
      <c r="BP130" s="436"/>
      <c r="BQ130" s="275"/>
      <c r="BR130" s="275"/>
      <c r="BS130" s="275"/>
      <c r="BT130" s="275"/>
      <c r="BU130" s="275"/>
      <c r="BV130" s="275"/>
      <c r="BW130" s="275"/>
      <c r="BX130" s="438"/>
      <c r="BY130" s="436"/>
      <c r="BZ130" s="275"/>
      <c r="CA130" s="275"/>
      <c r="CB130" s="275"/>
      <c r="CC130" s="275"/>
      <c r="CD130" s="275"/>
      <c r="CE130" s="275"/>
      <c r="CF130" s="275"/>
      <c r="CG130" s="438"/>
      <c r="CH130" s="436"/>
      <c r="CI130" s="275"/>
      <c r="CJ130" s="275"/>
      <c r="CK130" s="275"/>
      <c r="CL130" s="275"/>
      <c r="CM130" s="275"/>
      <c r="CN130" s="275"/>
      <c r="CO130" s="442"/>
      <c r="CP130" s="443"/>
      <c r="CQ130" s="429">
        <f t="shared" si="16"/>
        <v>0</v>
      </c>
      <c r="CR130" s="430"/>
    </row>
    <row r="131" spans="1:96" ht="25.5" customHeight="1" x14ac:dyDescent="0.2">
      <c r="A131" s="410">
        <f t="shared" si="17"/>
        <v>116</v>
      </c>
      <c r="B131" s="280"/>
      <c r="C131" s="280"/>
      <c r="D131" s="411"/>
      <c r="E131" s="254"/>
      <c r="F131" s="277"/>
      <c r="G131" s="450"/>
      <c r="H131" s="451"/>
      <c r="I131" s="433" t="str">
        <f t="shared" si="11"/>
        <v/>
      </c>
      <c r="J131" s="434">
        <f t="shared" si="12"/>
        <v>0</v>
      </c>
      <c r="K131" s="279"/>
      <c r="L131" s="276"/>
      <c r="M131" s="435"/>
      <c r="N131" s="417" t="str">
        <f t="shared" si="13"/>
        <v/>
      </c>
      <c r="O131" s="418" t="str">
        <f>IF('Data Set up'!$G$40="JUNE",IF(OR($N131=7,$N131=8,$N131=9),1,IF(OR($N131=10,$N131=11,$N131=12),2,IF(OR($N131=1,$N131=2,$N131=3),3,IF(OR($N131=4,$N131=5,$N131=6),4,"")))),IF(OR($N131=9,$N131=10,$N131=11),1,IF(OR($N131=12,$N131=1,$N131=2),2,IF(OR($N131=3,$N131=4,$N131=5),3,IF(OR($N131=6,$N131=7,$N131=8),4,"")))))</f>
        <v/>
      </c>
      <c r="P131" s="445"/>
      <c r="Q131" s="291"/>
      <c r="R131" s="291"/>
      <c r="S131" s="275"/>
      <c r="T131" s="275"/>
      <c r="U131" s="275"/>
      <c r="V131" s="275"/>
      <c r="W131" s="275"/>
      <c r="X131" s="275"/>
      <c r="Y131" s="275"/>
      <c r="Z131" s="275"/>
      <c r="AA131" s="275"/>
      <c r="AB131" s="275"/>
      <c r="AC131" s="275"/>
      <c r="AD131" s="275"/>
      <c r="AE131" s="275"/>
      <c r="AF131" s="275"/>
      <c r="AG131" s="275"/>
      <c r="AH131" s="438"/>
      <c r="AI131" s="439">
        <f t="shared" si="14"/>
        <v>0</v>
      </c>
      <c r="AJ131" s="263"/>
      <c r="AK131" s="263"/>
      <c r="AL131" s="263"/>
      <c r="AM131" s="263"/>
      <c r="AN131" s="263"/>
      <c r="AO131" s="263"/>
      <c r="AP131" s="263"/>
      <c r="AQ131" s="436"/>
      <c r="AR131" s="275"/>
      <c r="AS131" s="275"/>
      <c r="AT131" s="275"/>
      <c r="AU131" s="275"/>
      <c r="AV131" s="275"/>
      <c r="AW131" s="275"/>
      <c r="AX131" s="275"/>
      <c r="AY131" s="437"/>
      <c r="AZ131" s="440">
        <f t="shared" si="15"/>
        <v>0</v>
      </c>
      <c r="BA131" s="275"/>
      <c r="BB131" s="275"/>
      <c r="BC131" s="275"/>
      <c r="BD131" s="275"/>
      <c r="BE131" s="275"/>
      <c r="BF131" s="275"/>
      <c r="BG131" s="275"/>
      <c r="BH131" s="436"/>
      <c r="BI131" s="275"/>
      <c r="BJ131" s="275"/>
      <c r="BK131" s="291"/>
      <c r="BL131" s="291"/>
      <c r="BM131" s="275"/>
      <c r="BN131" s="275"/>
      <c r="BO131" s="438"/>
      <c r="BP131" s="436"/>
      <c r="BQ131" s="275"/>
      <c r="BR131" s="275"/>
      <c r="BS131" s="275"/>
      <c r="BT131" s="275"/>
      <c r="BU131" s="275"/>
      <c r="BV131" s="275"/>
      <c r="BW131" s="275"/>
      <c r="BX131" s="438"/>
      <c r="BY131" s="436"/>
      <c r="BZ131" s="275"/>
      <c r="CA131" s="275"/>
      <c r="CB131" s="275"/>
      <c r="CC131" s="275"/>
      <c r="CD131" s="275"/>
      <c r="CE131" s="275"/>
      <c r="CF131" s="275"/>
      <c r="CG131" s="438"/>
      <c r="CH131" s="436"/>
      <c r="CI131" s="275"/>
      <c r="CJ131" s="275"/>
      <c r="CK131" s="275"/>
      <c r="CL131" s="275"/>
      <c r="CM131" s="275"/>
      <c r="CN131" s="275"/>
      <c r="CO131" s="442"/>
      <c r="CP131" s="443"/>
      <c r="CQ131" s="429">
        <f t="shared" si="16"/>
        <v>0</v>
      </c>
      <c r="CR131" s="430"/>
    </row>
    <row r="132" spans="1:96" ht="25.5" customHeight="1" x14ac:dyDescent="0.2">
      <c r="A132" s="410">
        <f t="shared" si="17"/>
        <v>117</v>
      </c>
      <c r="B132" s="280"/>
      <c r="C132" s="280"/>
      <c r="D132" s="411"/>
      <c r="E132" s="254"/>
      <c r="F132" s="277"/>
      <c r="G132" s="450"/>
      <c r="H132" s="451"/>
      <c r="I132" s="433" t="str">
        <f t="shared" si="11"/>
        <v/>
      </c>
      <c r="J132" s="434">
        <f t="shared" si="12"/>
        <v>0</v>
      </c>
      <c r="K132" s="279"/>
      <c r="L132" s="276"/>
      <c r="M132" s="435"/>
      <c r="N132" s="417" t="str">
        <f t="shared" si="13"/>
        <v/>
      </c>
      <c r="O132" s="418" t="str">
        <f>IF('Data Set up'!$G$40="JUNE",IF(OR($N132=7,$N132=8,$N132=9),1,IF(OR($N132=10,$N132=11,$N132=12),2,IF(OR($N132=1,$N132=2,$N132=3),3,IF(OR($N132=4,$N132=5,$N132=6),4,"")))),IF(OR($N132=9,$N132=10,$N132=11),1,IF(OR($N132=12,$N132=1,$N132=2),2,IF(OR($N132=3,$N132=4,$N132=5),3,IF(OR($N132=6,$N132=7,$N132=8),4,"")))))</f>
        <v/>
      </c>
      <c r="P132" s="445"/>
      <c r="Q132" s="291"/>
      <c r="R132" s="291"/>
      <c r="S132" s="275"/>
      <c r="T132" s="275"/>
      <c r="U132" s="275"/>
      <c r="V132" s="275"/>
      <c r="W132" s="275"/>
      <c r="X132" s="275"/>
      <c r="Y132" s="275"/>
      <c r="Z132" s="275"/>
      <c r="AA132" s="275"/>
      <c r="AB132" s="275"/>
      <c r="AC132" s="275"/>
      <c r="AD132" s="275"/>
      <c r="AE132" s="275"/>
      <c r="AF132" s="275"/>
      <c r="AG132" s="275"/>
      <c r="AH132" s="438"/>
      <c r="AI132" s="439">
        <f t="shared" si="14"/>
        <v>0</v>
      </c>
      <c r="AJ132" s="263"/>
      <c r="AK132" s="263"/>
      <c r="AL132" s="263"/>
      <c r="AM132" s="263"/>
      <c r="AN132" s="263"/>
      <c r="AO132" s="263"/>
      <c r="AP132" s="263"/>
      <c r="AQ132" s="436"/>
      <c r="AR132" s="275"/>
      <c r="AS132" s="275"/>
      <c r="AT132" s="275"/>
      <c r="AU132" s="275"/>
      <c r="AV132" s="275"/>
      <c r="AW132" s="275"/>
      <c r="AX132" s="275"/>
      <c r="AY132" s="437"/>
      <c r="AZ132" s="440">
        <f t="shared" si="15"/>
        <v>0</v>
      </c>
      <c r="BA132" s="275"/>
      <c r="BB132" s="275"/>
      <c r="BC132" s="275"/>
      <c r="BD132" s="275"/>
      <c r="BE132" s="275"/>
      <c r="BF132" s="275"/>
      <c r="BG132" s="275"/>
      <c r="BH132" s="436"/>
      <c r="BI132" s="275"/>
      <c r="BJ132" s="275"/>
      <c r="BK132" s="291"/>
      <c r="BL132" s="291"/>
      <c r="BM132" s="275"/>
      <c r="BN132" s="275"/>
      <c r="BO132" s="438"/>
      <c r="BP132" s="436"/>
      <c r="BQ132" s="275"/>
      <c r="BR132" s="275"/>
      <c r="BS132" s="275"/>
      <c r="BT132" s="275"/>
      <c r="BU132" s="275"/>
      <c r="BV132" s="275"/>
      <c r="BW132" s="275"/>
      <c r="BX132" s="438"/>
      <c r="BY132" s="436"/>
      <c r="BZ132" s="275"/>
      <c r="CA132" s="275"/>
      <c r="CB132" s="275"/>
      <c r="CC132" s="275"/>
      <c r="CD132" s="275"/>
      <c r="CE132" s="275"/>
      <c r="CF132" s="275"/>
      <c r="CG132" s="438"/>
      <c r="CH132" s="436"/>
      <c r="CI132" s="275"/>
      <c r="CJ132" s="275"/>
      <c r="CK132" s="275"/>
      <c r="CL132" s="275"/>
      <c r="CM132" s="275"/>
      <c r="CN132" s="275"/>
      <c r="CO132" s="442"/>
      <c r="CP132" s="443"/>
      <c r="CQ132" s="429">
        <f t="shared" si="16"/>
        <v>0</v>
      </c>
      <c r="CR132" s="430"/>
    </row>
    <row r="133" spans="1:96" ht="25.5" customHeight="1" x14ac:dyDescent="0.2">
      <c r="A133" s="410">
        <f t="shared" si="17"/>
        <v>118</v>
      </c>
      <c r="B133" s="280"/>
      <c r="C133" s="280"/>
      <c r="D133" s="411"/>
      <c r="E133" s="254"/>
      <c r="F133" s="277"/>
      <c r="G133" s="450"/>
      <c r="H133" s="451"/>
      <c r="I133" s="433" t="str">
        <f t="shared" si="11"/>
        <v/>
      </c>
      <c r="J133" s="434">
        <f t="shared" si="12"/>
        <v>0</v>
      </c>
      <c r="K133" s="279"/>
      <c r="L133" s="276"/>
      <c r="M133" s="435"/>
      <c r="N133" s="417" t="str">
        <f t="shared" si="13"/>
        <v/>
      </c>
      <c r="O133" s="418" t="str">
        <f>IF('Data Set up'!$G$40="JUNE",IF(OR($N133=7,$N133=8,$N133=9),1,IF(OR($N133=10,$N133=11,$N133=12),2,IF(OR($N133=1,$N133=2,$N133=3),3,IF(OR($N133=4,$N133=5,$N133=6),4,"")))),IF(OR($N133=9,$N133=10,$N133=11),1,IF(OR($N133=12,$N133=1,$N133=2),2,IF(OR($N133=3,$N133=4,$N133=5),3,IF(OR($N133=6,$N133=7,$N133=8),4,"")))))</f>
        <v/>
      </c>
      <c r="P133" s="445"/>
      <c r="Q133" s="291"/>
      <c r="R133" s="291"/>
      <c r="S133" s="275"/>
      <c r="T133" s="275"/>
      <c r="U133" s="275"/>
      <c r="V133" s="275"/>
      <c r="W133" s="275"/>
      <c r="X133" s="275"/>
      <c r="Y133" s="275"/>
      <c r="Z133" s="275"/>
      <c r="AA133" s="275"/>
      <c r="AB133" s="275"/>
      <c r="AC133" s="275"/>
      <c r="AD133" s="275"/>
      <c r="AE133" s="275"/>
      <c r="AF133" s="275"/>
      <c r="AG133" s="275"/>
      <c r="AH133" s="438"/>
      <c r="AI133" s="439">
        <f t="shared" si="14"/>
        <v>0</v>
      </c>
      <c r="AJ133" s="263"/>
      <c r="AK133" s="263"/>
      <c r="AL133" s="263"/>
      <c r="AM133" s="263"/>
      <c r="AN133" s="263"/>
      <c r="AO133" s="263"/>
      <c r="AP133" s="263"/>
      <c r="AQ133" s="436"/>
      <c r="AR133" s="275"/>
      <c r="AS133" s="275"/>
      <c r="AT133" s="275"/>
      <c r="AU133" s="275"/>
      <c r="AV133" s="275"/>
      <c r="AW133" s="275"/>
      <c r="AX133" s="275"/>
      <c r="AY133" s="437"/>
      <c r="AZ133" s="440">
        <f t="shared" si="15"/>
        <v>0</v>
      </c>
      <c r="BA133" s="275"/>
      <c r="BB133" s="275"/>
      <c r="BC133" s="275"/>
      <c r="BD133" s="275"/>
      <c r="BE133" s="275"/>
      <c r="BF133" s="275"/>
      <c r="BG133" s="275"/>
      <c r="BH133" s="436"/>
      <c r="BI133" s="275"/>
      <c r="BJ133" s="275"/>
      <c r="BK133" s="291"/>
      <c r="BL133" s="291"/>
      <c r="BM133" s="275"/>
      <c r="BN133" s="275"/>
      <c r="BO133" s="438"/>
      <c r="BP133" s="436"/>
      <c r="BQ133" s="275"/>
      <c r="BR133" s="275"/>
      <c r="BS133" s="275"/>
      <c r="BT133" s="275"/>
      <c r="BU133" s="275"/>
      <c r="BV133" s="275"/>
      <c r="BW133" s="275"/>
      <c r="BX133" s="438"/>
      <c r="BY133" s="436"/>
      <c r="BZ133" s="275"/>
      <c r="CA133" s="275"/>
      <c r="CB133" s="275"/>
      <c r="CC133" s="275"/>
      <c r="CD133" s="275"/>
      <c r="CE133" s="275"/>
      <c r="CF133" s="275"/>
      <c r="CG133" s="438"/>
      <c r="CH133" s="436"/>
      <c r="CI133" s="275"/>
      <c r="CJ133" s="275"/>
      <c r="CK133" s="275"/>
      <c r="CL133" s="275"/>
      <c r="CM133" s="275"/>
      <c r="CN133" s="275"/>
      <c r="CO133" s="442"/>
      <c r="CP133" s="443"/>
      <c r="CQ133" s="429">
        <f t="shared" si="16"/>
        <v>0</v>
      </c>
      <c r="CR133" s="430"/>
    </row>
    <row r="134" spans="1:96" ht="25.5" customHeight="1" x14ac:dyDescent="0.2">
      <c r="A134" s="410">
        <f t="shared" si="17"/>
        <v>119</v>
      </c>
      <c r="B134" s="280"/>
      <c r="C134" s="280"/>
      <c r="D134" s="411"/>
      <c r="E134" s="254"/>
      <c r="F134" s="277"/>
      <c r="G134" s="450"/>
      <c r="H134" s="451"/>
      <c r="I134" s="433" t="str">
        <f t="shared" si="11"/>
        <v/>
      </c>
      <c r="J134" s="434">
        <f t="shared" si="12"/>
        <v>0</v>
      </c>
      <c r="K134" s="279"/>
      <c r="L134" s="276"/>
      <c r="M134" s="435"/>
      <c r="N134" s="417" t="str">
        <f t="shared" si="13"/>
        <v/>
      </c>
      <c r="O134" s="418" t="str">
        <f>IF('Data Set up'!$G$40="JUNE",IF(OR($N134=7,$N134=8,$N134=9),1,IF(OR($N134=10,$N134=11,$N134=12),2,IF(OR($N134=1,$N134=2,$N134=3),3,IF(OR($N134=4,$N134=5,$N134=6),4,"")))),IF(OR($N134=9,$N134=10,$N134=11),1,IF(OR($N134=12,$N134=1,$N134=2),2,IF(OR($N134=3,$N134=4,$N134=5),3,IF(OR($N134=6,$N134=7,$N134=8),4,"")))))</f>
        <v/>
      </c>
      <c r="P134" s="445"/>
      <c r="Q134" s="291"/>
      <c r="R134" s="291"/>
      <c r="S134" s="275"/>
      <c r="T134" s="275"/>
      <c r="U134" s="275"/>
      <c r="V134" s="275"/>
      <c r="W134" s="275"/>
      <c r="X134" s="275"/>
      <c r="Y134" s="275"/>
      <c r="Z134" s="275"/>
      <c r="AA134" s="275"/>
      <c r="AB134" s="275"/>
      <c r="AC134" s="275"/>
      <c r="AD134" s="275"/>
      <c r="AE134" s="275"/>
      <c r="AF134" s="275"/>
      <c r="AG134" s="275"/>
      <c r="AH134" s="438"/>
      <c r="AI134" s="439">
        <f t="shared" si="14"/>
        <v>0</v>
      </c>
      <c r="AJ134" s="263"/>
      <c r="AK134" s="263"/>
      <c r="AL134" s="263"/>
      <c r="AM134" s="263"/>
      <c r="AN134" s="263"/>
      <c r="AO134" s="263"/>
      <c r="AP134" s="263"/>
      <c r="AQ134" s="436"/>
      <c r="AR134" s="275"/>
      <c r="AS134" s="275"/>
      <c r="AT134" s="275"/>
      <c r="AU134" s="275"/>
      <c r="AV134" s="275"/>
      <c r="AW134" s="275"/>
      <c r="AX134" s="275"/>
      <c r="AY134" s="437"/>
      <c r="AZ134" s="440">
        <f t="shared" si="15"/>
        <v>0</v>
      </c>
      <c r="BA134" s="275"/>
      <c r="BB134" s="275"/>
      <c r="BC134" s="275"/>
      <c r="BD134" s="275"/>
      <c r="BE134" s="275"/>
      <c r="BF134" s="275"/>
      <c r="BG134" s="275"/>
      <c r="BH134" s="436"/>
      <c r="BI134" s="275"/>
      <c r="BJ134" s="275"/>
      <c r="BK134" s="291"/>
      <c r="BL134" s="291"/>
      <c r="BM134" s="275"/>
      <c r="BN134" s="275"/>
      <c r="BO134" s="438"/>
      <c r="BP134" s="436"/>
      <c r="BQ134" s="275"/>
      <c r="BR134" s="275"/>
      <c r="BS134" s="275"/>
      <c r="BT134" s="275"/>
      <c r="BU134" s="275"/>
      <c r="BV134" s="275"/>
      <c r="BW134" s="275"/>
      <c r="BX134" s="438"/>
      <c r="BY134" s="436"/>
      <c r="BZ134" s="275"/>
      <c r="CA134" s="275"/>
      <c r="CB134" s="275"/>
      <c r="CC134" s="275"/>
      <c r="CD134" s="275"/>
      <c r="CE134" s="275"/>
      <c r="CF134" s="275"/>
      <c r="CG134" s="438"/>
      <c r="CH134" s="436"/>
      <c r="CI134" s="275"/>
      <c r="CJ134" s="275"/>
      <c r="CK134" s="275"/>
      <c r="CL134" s="275"/>
      <c r="CM134" s="275"/>
      <c r="CN134" s="275"/>
      <c r="CO134" s="442"/>
      <c r="CP134" s="443"/>
      <c r="CQ134" s="429">
        <f t="shared" si="16"/>
        <v>0</v>
      </c>
      <c r="CR134" s="430"/>
    </row>
    <row r="135" spans="1:96" ht="25.5" customHeight="1" x14ac:dyDescent="0.2">
      <c r="A135" s="410">
        <f t="shared" si="17"/>
        <v>120</v>
      </c>
      <c r="B135" s="280"/>
      <c r="C135" s="280"/>
      <c r="D135" s="411"/>
      <c r="E135" s="254"/>
      <c r="F135" s="277"/>
      <c r="G135" s="450"/>
      <c r="H135" s="451"/>
      <c r="I135" s="433" t="str">
        <f t="shared" si="11"/>
        <v/>
      </c>
      <c r="J135" s="434">
        <f t="shared" si="12"/>
        <v>0</v>
      </c>
      <c r="K135" s="279"/>
      <c r="L135" s="276"/>
      <c r="M135" s="435"/>
      <c r="N135" s="417" t="str">
        <f t="shared" si="13"/>
        <v/>
      </c>
      <c r="O135" s="418" t="str">
        <f>IF('Data Set up'!$G$40="JUNE",IF(OR($N135=7,$N135=8,$N135=9),1,IF(OR($N135=10,$N135=11,$N135=12),2,IF(OR($N135=1,$N135=2,$N135=3),3,IF(OR($N135=4,$N135=5,$N135=6),4,"")))),IF(OR($N135=9,$N135=10,$N135=11),1,IF(OR($N135=12,$N135=1,$N135=2),2,IF(OR($N135=3,$N135=4,$N135=5),3,IF(OR($N135=6,$N135=7,$N135=8),4,"")))))</f>
        <v/>
      </c>
      <c r="P135" s="445"/>
      <c r="Q135" s="291"/>
      <c r="R135" s="291"/>
      <c r="S135" s="275"/>
      <c r="T135" s="275"/>
      <c r="U135" s="275"/>
      <c r="V135" s="275"/>
      <c r="W135" s="275"/>
      <c r="X135" s="275"/>
      <c r="Y135" s="275"/>
      <c r="Z135" s="275"/>
      <c r="AA135" s="275"/>
      <c r="AB135" s="275"/>
      <c r="AC135" s="275"/>
      <c r="AD135" s="275"/>
      <c r="AE135" s="275"/>
      <c r="AF135" s="275"/>
      <c r="AG135" s="275"/>
      <c r="AH135" s="438"/>
      <c r="AI135" s="439">
        <f t="shared" si="14"/>
        <v>0</v>
      </c>
      <c r="AJ135" s="263"/>
      <c r="AK135" s="263"/>
      <c r="AL135" s="263"/>
      <c r="AM135" s="263"/>
      <c r="AN135" s="263"/>
      <c r="AO135" s="263"/>
      <c r="AP135" s="263"/>
      <c r="AQ135" s="436"/>
      <c r="AR135" s="275"/>
      <c r="AS135" s="275"/>
      <c r="AT135" s="275"/>
      <c r="AU135" s="275"/>
      <c r="AV135" s="275"/>
      <c r="AW135" s="275"/>
      <c r="AX135" s="275"/>
      <c r="AY135" s="437"/>
      <c r="AZ135" s="440">
        <f t="shared" si="15"/>
        <v>0</v>
      </c>
      <c r="BA135" s="275"/>
      <c r="BB135" s="275"/>
      <c r="BC135" s="275"/>
      <c r="BD135" s="275"/>
      <c r="BE135" s="275"/>
      <c r="BF135" s="275"/>
      <c r="BG135" s="275"/>
      <c r="BH135" s="436"/>
      <c r="BI135" s="275"/>
      <c r="BJ135" s="275"/>
      <c r="BK135" s="291"/>
      <c r="BL135" s="291"/>
      <c r="BM135" s="275"/>
      <c r="BN135" s="275"/>
      <c r="BO135" s="438"/>
      <c r="BP135" s="436"/>
      <c r="BQ135" s="275"/>
      <c r="BR135" s="275"/>
      <c r="BS135" s="275"/>
      <c r="BT135" s="275"/>
      <c r="BU135" s="275"/>
      <c r="BV135" s="275"/>
      <c r="BW135" s="275"/>
      <c r="BX135" s="438"/>
      <c r="BY135" s="436"/>
      <c r="BZ135" s="275"/>
      <c r="CA135" s="275"/>
      <c r="CB135" s="275"/>
      <c r="CC135" s="275"/>
      <c r="CD135" s="275"/>
      <c r="CE135" s="275"/>
      <c r="CF135" s="275"/>
      <c r="CG135" s="438"/>
      <c r="CH135" s="436"/>
      <c r="CI135" s="275"/>
      <c r="CJ135" s="275"/>
      <c r="CK135" s="275"/>
      <c r="CL135" s="275"/>
      <c r="CM135" s="275"/>
      <c r="CN135" s="275"/>
      <c r="CO135" s="442"/>
      <c r="CP135" s="443"/>
      <c r="CQ135" s="429">
        <f t="shared" si="16"/>
        <v>0</v>
      </c>
      <c r="CR135" s="430"/>
    </row>
    <row r="136" spans="1:96" ht="25.5" customHeight="1" x14ac:dyDescent="0.2">
      <c r="A136" s="410">
        <f t="shared" si="17"/>
        <v>121</v>
      </c>
      <c r="B136" s="280"/>
      <c r="C136" s="280"/>
      <c r="D136" s="411"/>
      <c r="E136" s="254"/>
      <c r="F136" s="277"/>
      <c r="G136" s="450"/>
      <c r="H136" s="451"/>
      <c r="I136" s="433" t="str">
        <f t="shared" si="11"/>
        <v/>
      </c>
      <c r="J136" s="434">
        <f t="shared" si="12"/>
        <v>0</v>
      </c>
      <c r="K136" s="279"/>
      <c r="L136" s="276"/>
      <c r="M136" s="435"/>
      <c r="N136" s="417" t="str">
        <f t="shared" si="13"/>
        <v/>
      </c>
      <c r="O136" s="418" t="str">
        <f>IF('Data Set up'!$G$40="JUNE",IF(OR($N136=7,$N136=8,$N136=9),1,IF(OR($N136=10,$N136=11,$N136=12),2,IF(OR($N136=1,$N136=2,$N136=3),3,IF(OR($N136=4,$N136=5,$N136=6),4,"")))),IF(OR($N136=9,$N136=10,$N136=11),1,IF(OR($N136=12,$N136=1,$N136=2),2,IF(OR($N136=3,$N136=4,$N136=5),3,IF(OR($N136=6,$N136=7,$N136=8),4,"")))))</f>
        <v/>
      </c>
      <c r="P136" s="445"/>
      <c r="Q136" s="291"/>
      <c r="R136" s="291"/>
      <c r="S136" s="275"/>
      <c r="T136" s="275"/>
      <c r="U136" s="275"/>
      <c r="V136" s="275"/>
      <c r="W136" s="275"/>
      <c r="X136" s="275"/>
      <c r="Y136" s="275"/>
      <c r="Z136" s="275"/>
      <c r="AA136" s="275"/>
      <c r="AB136" s="275"/>
      <c r="AC136" s="275"/>
      <c r="AD136" s="275"/>
      <c r="AE136" s="275"/>
      <c r="AF136" s="275"/>
      <c r="AG136" s="275"/>
      <c r="AH136" s="438"/>
      <c r="AI136" s="439">
        <f t="shared" si="14"/>
        <v>0</v>
      </c>
      <c r="AJ136" s="263"/>
      <c r="AK136" s="263"/>
      <c r="AL136" s="263"/>
      <c r="AM136" s="263"/>
      <c r="AN136" s="263"/>
      <c r="AO136" s="263"/>
      <c r="AP136" s="263"/>
      <c r="AQ136" s="436"/>
      <c r="AR136" s="275"/>
      <c r="AS136" s="275"/>
      <c r="AT136" s="275"/>
      <c r="AU136" s="275"/>
      <c r="AV136" s="275"/>
      <c r="AW136" s="275"/>
      <c r="AX136" s="275"/>
      <c r="AY136" s="437"/>
      <c r="AZ136" s="440">
        <f t="shared" si="15"/>
        <v>0</v>
      </c>
      <c r="BA136" s="275"/>
      <c r="BB136" s="275"/>
      <c r="BC136" s="275"/>
      <c r="BD136" s="275"/>
      <c r="BE136" s="275"/>
      <c r="BF136" s="275"/>
      <c r="BG136" s="275"/>
      <c r="BH136" s="436"/>
      <c r="BI136" s="275"/>
      <c r="BJ136" s="275"/>
      <c r="BK136" s="291"/>
      <c r="BL136" s="291"/>
      <c r="BM136" s="275"/>
      <c r="BN136" s="275"/>
      <c r="BO136" s="438"/>
      <c r="BP136" s="436"/>
      <c r="BQ136" s="275"/>
      <c r="BR136" s="275"/>
      <c r="BS136" s="275"/>
      <c r="BT136" s="275"/>
      <c r="BU136" s="275"/>
      <c r="BV136" s="275"/>
      <c r="BW136" s="275"/>
      <c r="BX136" s="438"/>
      <c r="BY136" s="436"/>
      <c r="BZ136" s="275"/>
      <c r="CA136" s="275"/>
      <c r="CB136" s="275"/>
      <c r="CC136" s="275"/>
      <c r="CD136" s="275"/>
      <c r="CE136" s="275"/>
      <c r="CF136" s="275"/>
      <c r="CG136" s="438"/>
      <c r="CH136" s="436"/>
      <c r="CI136" s="275"/>
      <c r="CJ136" s="275"/>
      <c r="CK136" s="275"/>
      <c r="CL136" s="275"/>
      <c r="CM136" s="275"/>
      <c r="CN136" s="275"/>
      <c r="CO136" s="442"/>
      <c r="CP136" s="443"/>
      <c r="CQ136" s="429">
        <f t="shared" si="16"/>
        <v>0</v>
      </c>
      <c r="CR136" s="430"/>
    </row>
    <row r="137" spans="1:96" ht="25.5" customHeight="1" x14ac:dyDescent="0.2">
      <c r="A137" s="410">
        <f t="shared" si="17"/>
        <v>122</v>
      </c>
      <c r="B137" s="280"/>
      <c r="C137" s="280"/>
      <c r="D137" s="411"/>
      <c r="E137" s="254"/>
      <c r="F137" s="277"/>
      <c r="G137" s="450"/>
      <c r="H137" s="451"/>
      <c r="I137" s="433" t="str">
        <f t="shared" si="11"/>
        <v/>
      </c>
      <c r="J137" s="434">
        <f t="shared" si="12"/>
        <v>0</v>
      </c>
      <c r="K137" s="279"/>
      <c r="L137" s="276"/>
      <c r="M137" s="435"/>
      <c r="N137" s="417" t="str">
        <f t="shared" si="13"/>
        <v/>
      </c>
      <c r="O137" s="418" t="str">
        <f>IF('Data Set up'!$G$40="JUNE",IF(OR($N137=7,$N137=8,$N137=9),1,IF(OR($N137=10,$N137=11,$N137=12),2,IF(OR($N137=1,$N137=2,$N137=3),3,IF(OR($N137=4,$N137=5,$N137=6),4,"")))),IF(OR($N137=9,$N137=10,$N137=11),1,IF(OR($N137=12,$N137=1,$N137=2),2,IF(OR($N137=3,$N137=4,$N137=5),3,IF(OR($N137=6,$N137=7,$N137=8),4,"")))))</f>
        <v/>
      </c>
      <c r="P137" s="445"/>
      <c r="Q137" s="291"/>
      <c r="R137" s="291"/>
      <c r="S137" s="275"/>
      <c r="T137" s="275"/>
      <c r="U137" s="275"/>
      <c r="V137" s="275"/>
      <c r="W137" s="275"/>
      <c r="X137" s="275"/>
      <c r="Y137" s="275"/>
      <c r="Z137" s="275"/>
      <c r="AA137" s="275"/>
      <c r="AB137" s="275"/>
      <c r="AC137" s="275"/>
      <c r="AD137" s="275"/>
      <c r="AE137" s="275"/>
      <c r="AF137" s="275"/>
      <c r="AG137" s="275"/>
      <c r="AH137" s="438"/>
      <c r="AI137" s="439">
        <f t="shared" si="14"/>
        <v>0</v>
      </c>
      <c r="AJ137" s="263"/>
      <c r="AK137" s="263"/>
      <c r="AL137" s="263"/>
      <c r="AM137" s="263"/>
      <c r="AN137" s="263"/>
      <c r="AO137" s="263"/>
      <c r="AP137" s="263"/>
      <c r="AQ137" s="436"/>
      <c r="AR137" s="275"/>
      <c r="AS137" s="275"/>
      <c r="AT137" s="275"/>
      <c r="AU137" s="275"/>
      <c r="AV137" s="275"/>
      <c r="AW137" s="275"/>
      <c r="AX137" s="275"/>
      <c r="AY137" s="437"/>
      <c r="AZ137" s="440">
        <f t="shared" si="15"/>
        <v>0</v>
      </c>
      <c r="BA137" s="275"/>
      <c r="BB137" s="275"/>
      <c r="BC137" s="275"/>
      <c r="BD137" s="275"/>
      <c r="BE137" s="275"/>
      <c r="BF137" s="275"/>
      <c r="BG137" s="275"/>
      <c r="BH137" s="436"/>
      <c r="BI137" s="275"/>
      <c r="BJ137" s="275"/>
      <c r="BK137" s="291"/>
      <c r="BL137" s="291"/>
      <c r="BM137" s="275"/>
      <c r="BN137" s="275"/>
      <c r="BO137" s="438"/>
      <c r="BP137" s="436"/>
      <c r="BQ137" s="275"/>
      <c r="BR137" s="275"/>
      <c r="BS137" s="275"/>
      <c r="BT137" s="275"/>
      <c r="BU137" s="275"/>
      <c r="BV137" s="275"/>
      <c r="BW137" s="275"/>
      <c r="BX137" s="438"/>
      <c r="BY137" s="436"/>
      <c r="BZ137" s="275"/>
      <c r="CA137" s="275"/>
      <c r="CB137" s="275"/>
      <c r="CC137" s="275"/>
      <c r="CD137" s="275"/>
      <c r="CE137" s="275"/>
      <c r="CF137" s="275"/>
      <c r="CG137" s="438"/>
      <c r="CH137" s="436"/>
      <c r="CI137" s="275"/>
      <c r="CJ137" s="275"/>
      <c r="CK137" s="275"/>
      <c r="CL137" s="275"/>
      <c r="CM137" s="275"/>
      <c r="CN137" s="275"/>
      <c r="CO137" s="442"/>
      <c r="CP137" s="443"/>
      <c r="CQ137" s="429">
        <f t="shared" si="16"/>
        <v>0</v>
      </c>
      <c r="CR137" s="430"/>
    </row>
    <row r="138" spans="1:96" ht="25.5" customHeight="1" x14ac:dyDescent="0.2">
      <c r="A138" s="410">
        <f t="shared" si="17"/>
        <v>123</v>
      </c>
      <c r="B138" s="280"/>
      <c r="C138" s="280"/>
      <c r="D138" s="411"/>
      <c r="E138" s="254"/>
      <c r="F138" s="277"/>
      <c r="G138" s="450"/>
      <c r="H138" s="451"/>
      <c r="I138" s="433" t="str">
        <f t="shared" si="11"/>
        <v/>
      </c>
      <c r="J138" s="434">
        <f t="shared" si="12"/>
        <v>0</v>
      </c>
      <c r="K138" s="279"/>
      <c r="L138" s="276"/>
      <c r="M138" s="435"/>
      <c r="N138" s="417" t="str">
        <f t="shared" si="13"/>
        <v/>
      </c>
      <c r="O138" s="418" t="str">
        <f>IF('Data Set up'!$G$40="JUNE",IF(OR($N138=7,$N138=8,$N138=9),1,IF(OR($N138=10,$N138=11,$N138=12),2,IF(OR($N138=1,$N138=2,$N138=3),3,IF(OR($N138=4,$N138=5,$N138=6),4,"")))),IF(OR($N138=9,$N138=10,$N138=11),1,IF(OR($N138=12,$N138=1,$N138=2),2,IF(OR($N138=3,$N138=4,$N138=5),3,IF(OR($N138=6,$N138=7,$N138=8),4,"")))))</f>
        <v/>
      </c>
      <c r="P138" s="445"/>
      <c r="Q138" s="291"/>
      <c r="R138" s="291"/>
      <c r="S138" s="275"/>
      <c r="T138" s="275"/>
      <c r="U138" s="275"/>
      <c r="V138" s="275"/>
      <c r="W138" s="275"/>
      <c r="X138" s="275"/>
      <c r="Y138" s="275"/>
      <c r="Z138" s="275"/>
      <c r="AA138" s="275"/>
      <c r="AB138" s="275"/>
      <c r="AC138" s="275"/>
      <c r="AD138" s="275"/>
      <c r="AE138" s="275"/>
      <c r="AF138" s="275"/>
      <c r="AG138" s="275"/>
      <c r="AH138" s="438"/>
      <c r="AI138" s="439">
        <f t="shared" si="14"/>
        <v>0</v>
      </c>
      <c r="AJ138" s="263"/>
      <c r="AK138" s="263"/>
      <c r="AL138" s="263"/>
      <c r="AM138" s="263"/>
      <c r="AN138" s="263"/>
      <c r="AO138" s="263"/>
      <c r="AP138" s="263"/>
      <c r="AQ138" s="436"/>
      <c r="AR138" s="275"/>
      <c r="AS138" s="275"/>
      <c r="AT138" s="275"/>
      <c r="AU138" s="275"/>
      <c r="AV138" s="275"/>
      <c r="AW138" s="275"/>
      <c r="AX138" s="275"/>
      <c r="AY138" s="437"/>
      <c r="AZ138" s="440">
        <f t="shared" si="15"/>
        <v>0</v>
      </c>
      <c r="BA138" s="275"/>
      <c r="BB138" s="275"/>
      <c r="BC138" s="275"/>
      <c r="BD138" s="275"/>
      <c r="BE138" s="275"/>
      <c r="BF138" s="275"/>
      <c r="BG138" s="275"/>
      <c r="BH138" s="436"/>
      <c r="BI138" s="275"/>
      <c r="BJ138" s="275"/>
      <c r="BK138" s="291"/>
      <c r="BL138" s="291"/>
      <c r="BM138" s="275"/>
      <c r="BN138" s="275"/>
      <c r="BO138" s="438"/>
      <c r="BP138" s="436"/>
      <c r="BQ138" s="275"/>
      <c r="BR138" s="275"/>
      <c r="BS138" s="275"/>
      <c r="BT138" s="275"/>
      <c r="BU138" s="275"/>
      <c r="BV138" s="275"/>
      <c r="BW138" s="275"/>
      <c r="BX138" s="438"/>
      <c r="BY138" s="436"/>
      <c r="BZ138" s="275"/>
      <c r="CA138" s="275"/>
      <c r="CB138" s="275"/>
      <c r="CC138" s="275"/>
      <c r="CD138" s="275"/>
      <c r="CE138" s="275"/>
      <c r="CF138" s="275"/>
      <c r="CG138" s="438"/>
      <c r="CH138" s="436"/>
      <c r="CI138" s="275"/>
      <c r="CJ138" s="275"/>
      <c r="CK138" s="275"/>
      <c r="CL138" s="275"/>
      <c r="CM138" s="275"/>
      <c r="CN138" s="275"/>
      <c r="CO138" s="442"/>
      <c r="CP138" s="443"/>
      <c r="CQ138" s="429">
        <f t="shared" si="16"/>
        <v>0</v>
      </c>
      <c r="CR138" s="430"/>
    </row>
    <row r="139" spans="1:96" ht="25.5" customHeight="1" x14ac:dyDescent="0.2">
      <c r="A139" s="410">
        <f t="shared" si="17"/>
        <v>124</v>
      </c>
      <c r="B139" s="280"/>
      <c r="C139" s="280"/>
      <c r="D139" s="411"/>
      <c r="E139" s="254"/>
      <c r="F139" s="277"/>
      <c r="G139" s="450"/>
      <c r="H139" s="451"/>
      <c r="I139" s="433" t="str">
        <f t="shared" si="11"/>
        <v/>
      </c>
      <c r="J139" s="434">
        <f t="shared" si="12"/>
        <v>0</v>
      </c>
      <c r="K139" s="279"/>
      <c r="L139" s="276"/>
      <c r="M139" s="435"/>
      <c r="N139" s="417" t="str">
        <f t="shared" si="13"/>
        <v/>
      </c>
      <c r="O139" s="418" t="str">
        <f>IF('Data Set up'!$G$40="JUNE",IF(OR($N139=7,$N139=8,$N139=9),1,IF(OR($N139=10,$N139=11,$N139=12),2,IF(OR($N139=1,$N139=2,$N139=3),3,IF(OR($N139=4,$N139=5,$N139=6),4,"")))),IF(OR($N139=9,$N139=10,$N139=11),1,IF(OR($N139=12,$N139=1,$N139=2),2,IF(OR($N139=3,$N139=4,$N139=5),3,IF(OR($N139=6,$N139=7,$N139=8),4,"")))))</f>
        <v/>
      </c>
      <c r="P139" s="445"/>
      <c r="Q139" s="291"/>
      <c r="R139" s="291"/>
      <c r="S139" s="275"/>
      <c r="T139" s="275"/>
      <c r="U139" s="275"/>
      <c r="V139" s="275"/>
      <c r="W139" s="275"/>
      <c r="X139" s="275"/>
      <c r="Y139" s="275"/>
      <c r="Z139" s="275"/>
      <c r="AA139" s="275"/>
      <c r="AB139" s="275"/>
      <c r="AC139" s="275"/>
      <c r="AD139" s="275"/>
      <c r="AE139" s="275"/>
      <c r="AF139" s="275"/>
      <c r="AG139" s="275"/>
      <c r="AH139" s="438"/>
      <c r="AI139" s="439">
        <f t="shared" si="14"/>
        <v>0</v>
      </c>
      <c r="AJ139" s="263"/>
      <c r="AK139" s="263"/>
      <c r="AL139" s="263"/>
      <c r="AM139" s="263"/>
      <c r="AN139" s="263"/>
      <c r="AO139" s="263"/>
      <c r="AP139" s="263"/>
      <c r="AQ139" s="436"/>
      <c r="AR139" s="275"/>
      <c r="AS139" s="275"/>
      <c r="AT139" s="275"/>
      <c r="AU139" s="275"/>
      <c r="AV139" s="275"/>
      <c r="AW139" s="275"/>
      <c r="AX139" s="275"/>
      <c r="AY139" s="437"/>
      <c r="AZ139" s="440">
        <f t="shared" si="15"/>
        <v>0</v>
      </c>
      <c r="BA139" s="275"/>
      <c r="BB139" s="275"/>
      <c r="BC139" s="275"/>
      <c r="BD139" s="275"/>
      <c r="BE139" s="275"/>
      <c r="BF139" s="275"/>
      <c r="BG139" s="275"/>
      <c r="BH139" s="436"/>
      <c r="BI139" s="275"/>
      <c r="BJ139" s="275"/>
      <c r="BK139" s="291"/>
      <c r="BL139" s="291"/>
      <c r="BM139" s="275"/>
      <c r="BN139" s="275"/>
      <c r="BO139" s="438"/>
      <c r="BP139" s="436"/>
      <c r="BQ139" s="275"/>
      <c r="BR139" s="275"/>
      <c r="BS139" s="275"/>
      <c r="BT139" s="275"/>
      <c r="BU139" s="275"/>
      <c r="BV139" s="275"/>
      <c r="BW139" s="275"/>
      <c r="BX139" s="438"/>
      <c r="BY139" s="436"/>
      <c r="BZ139" s="275"/>
      <c r="CA139" s="275"/>
      <c r="CB139" s="275"/>
      <c r="CC139" s="275"/>
      <c r="CD139" s="275"/>
      <c r="CE139" s="275"/>
      <c r="CF139" s="275"/>
      <c r="CG139" s="438"/>
      <c r="CH139" s="436"/>
      <c r="CI139" s="275"/>
      <c r="CJ139" s="275"/>
      <c r="CK139" s="275"/>
      <c r="CL139" s="275"/>
      <c r="CM139" s="275"/>
      <c r="CN139" s="275"/>
      <c r="CO139" s="442"/>
      <c r="CP139" s="443"/>
      <c r="CQ139" s="429">
        <f t="shared" si="16"/>
        <v>0</v>
      </c>
      <c r="CR139" s="430"/>
    </row>
    <row r="140" spans="1:96" ht="25.5" customHeight="1" x14ac:dyDescent="0.2">
      <c r="A140" s="410">
        <f t="shared" si="17"/>
        <v>125</v>
      </c>
      <c r="B140" s="280"/>
      <c r="C140" s="280"/>
      <c r="D140" s="411"/>
      <c r="E140" s="254"/>
      <c r="F140" s="277"/>
      <c r="G140" s="450"/>
      <c r="H140" s="451"/>
      <c r="I140" s="433" t="str">
        <f t="shared" si="11"/>
        <v/>
      </c>
      <c r="J140" s="434">
        <f t="shared" si="12"/>
        <v>0</v>
      </c>
      <c r="K140" s="279"/>
      <c r="L140" s="276"/>
      <c r="M140" s="435"/>
      <c r="N140" s="417" t="str">
        <f t="shared" si="13"/>
        <v/>
      </c>
      <c r="O140" s="418" t="str">
        <f>IF('Data Set up'!$G$40="JUNE",IF(OR($N140=7,$N140=8,$N140=9),1,IF(OR($N140=10,$N140=11,$N140=12),2,IF(OR($N140=1,$N140=2,$N140=3),3,IF(OR($N140=4,$N140=5,$N140=6),4,"")))),IF(OR($N140=9,$N140=10,$N140=11),1,IF(OR($N140=12,$N140=1,$N140=2),2,IF(OR($N140=3,$N140=4,$N140=5),3,IF(OR($N140=6,$N140=7,$N140=8),4,"")))))</f>
        <v/>
      </c>
      <c r="P140" s="445"/>
      <c r="Q140" s="291"/>
      <c r="R140" s="291"/>
      <c r="S140" s="275"/>
      <c r="T140" s="275"/>
      <c r="U140" s="275"/>
      <c r="V140" s="275"/>
      <c r="W140" s="275"/>
      <c r="X140" s="275"/>
      <c r="Y140" s="275"/>
      <c r="Z140" s="275"/>
      <c r="AA140" s="275"/>
      <c r="AB140" s="275"/>
      <c r="AC140" s="275"/>
      <c r="AD140" s="275"/>
      <c r="AE140" s="275"/>
      <c r="AF140" s="275"/>
      <c r="AG140" s="275"/>
      <c r="AH140" s="438"/>
      <c r="AI140" s="439">
        <f t="shared" si="14"/>
        <v>0</v>
      </c>
      <c r="AJ140" s="263"/>
      <c r="AK140" s="263"/>
      <c r="AL140" s="263"/>
      <c r="AM140" s="263"/>
      <c r="AN140" s="263"/>
      <c r="AO140" s="263"/>
      <c r="AP140" s="263"/>
      <c r="AQ140" s="436"/>
      <c r="AR140" s="275"/>
      <c r="AS140" s="275"/>
      <c r="AT140" s="275"/>
      <c r="AU140" s="275"/>
      <c r="AV140" s="275"/>
      <c r="AW140" s="275"/>
      <c r="AX140" s="275"/>
      <c r="AY140" s="437"/>
      <c r="AZ140" s="440">
        <f t="shared" si="15"/>
        <v>0</v>
      </c>
      <c r="BA140" s="275"/>
      <c r="BB140" s="275"/>
      <c r="BC140" s="275"/>
      <c r="BD140" s="275"/>
      <c r="BE140" s="275"/>
      <c r="BF140" s="275"/>
      <c r="BG140" s="275"/>
      <c r="BH140" s="436"/>
      <c r="BI140" s="275"/>
      <c r="BJ140" s="275"/>
      <c r="BK140" s="291"/>
      <c r="BL140" s="291"/>
      <c r="BM140" s="275"/>
      <c r="BN140" s="275"/>
      <c r="BO140" s="438"/>
      <c r="BP140" s="436"/>
      <c r="BQ140" s="275"/>
      <c r="BR140" s="275"/>
      <c r="BS140" s="275"/>
      <c r="BT140" s="275"/>
      <c r="BU140" s="275"/>
      <c r="BV140" s="275"/>
      <c r="BW140" s="275"/>
      <c r="BX140" s="438"/>
      <c r="BY140" s="436"/>
      <c r="BZ140" s="275"/>
      <c r="CA140" s="275"/>
      <c r="CB140" s="275"/>
      <c r="CC140" s="275"/>
      <c r="CD140" s="275"/>
      <c r="CE140" s="275"/>
      <c r="CF140" s="275"/>
      <c r="CG140" s="438"/>
      <c r="CH140" s="436"/>
      <c r="CI140" s="275"/>
      <c r="CJ140" s="275"/>
      <c r="CK140" s="275"/>
      <c r="CL140" s="275"/>
      <c r="CM140" s="275"/>
      <c r="CN140" s="275"/>
      <c r="CO140" s="442"/>
      <c r="CP140" s="443"/>
      <c r="CQ140" s="429">
        <f t="shared" si="16"/>
        <v>0</v>
      </c>
      <c r="CR140" s="430"/>
    </row>
    <row r="141" spans="1:96" ht="25.5" customHeight="1" x14ac:dyDescent="0.2">
      <c r="A141" s="410">
        <f t="shared" si="17"/>
        <v>126</v>
      </c>
      <c r="B141" s="280"/>
      <c r="C141" s="280"/>
      <c r="D141" s="411"/>
      <c r="E141" s="254"/>
      <c r="F141" s="277"/>
      <c r="G141" s="450"/>
      <c r="H141" s="451"/>
      <c r="I141" s="433" t="str">
        <f t="shared" si="11"/>
        <v/>
      </c>
      <c r="J141" s="434">
        <f t="shared" si="12"/>
        <v>0</v>
      </c>
      <c r="K141" s="279"/>
      <c r="L141" s="276"/>
      <c r="M141" s="435"/>
      <c r="N141" s="417" t="str">
        <f t="shared" si="13"/>
        <v/>
      </c>
      <c r="O141" s="418" t="str">
        <f>IF('Data Set up'!$G$40="JUNE",IF(OR($N141=7,$N141=8,$N141=9),1,IF(OR($N141=10,$N141=11,$N141=12),2,IF(OR($N141=1,$N141=2,$N141=3),3,IF(OR($N141=4,$N141=5,$N141=6),4,"")))),IF(OR($N141=9,$N141=10,$N141=11),1,IF(OR($N141=12,$N141=1,$N141=2),2,IF(OR($N141=3,$N141=4,$N141=5),3,IF(OR($N141=6,$N141=7,$N141=8),4,"")))))</f>
        <v/>
      </c>
      <c r="P141" s="445"/>
      <c r="Q141" s="291"/>
      <c r="R141" s="291"/>
      <c r="S141" s="275"/>
      <c r="T141" s="275"/>
      <c r="U141" s="275"/>
      <c r="V141" s="275"/>
      <c r="W141" s="275"/>
      <c r="X141" s="275"/>
      <c r="Y141" s="275"/>
      <c r="Z141" s="275"/>
      <c r="AA141" s="275"/>
      <c r="AB141" s="275"/>
      <c r="AC141" s="275"/>
      <c r="AD141" s="275"/>
      <c r="AE141" s="275"/>
      <c r="AF141" s="275"/>
      <c r="AG141" s="275"/>
      <c r="AH141" s="438"/>
      <c r="AI141" s="439">
        <f t="shared" si="14"/>
        <v>0</v>
      </c>
      <c r="AJ141" s="263"/>
      <c r="AK141" s="263"/>
      <c r="AL141" s="263"/>
      <c r="AM141" s="263"/>
      <c r="AN141" s="263"/>
      <c r="AO141" s="263"/>
      <c r="AP141" s="263"/>
      <c r="AQ141" s="436"/>
      <c r="AR141" s="275"/>
      <c r="AS141" s="275"/>
      <c r="AT141" s="275"/>
      <c r="AU141" s="275"/>
      <c r="AV141" s="275"/>
      <c r="AW141" s="275"/>
      <c r="AX141" s="275"/>
      <c r="AY141" s="437"/>
      <c r="AZ141" s="440">
        <f t="shared" si="15"/>
        <v>0</v>
      </c>
      <c r="BA141" s="275"/>
      <c r="BB141" s="275"/>
      <c r="BC141" s="275"/>
      <c r="BD141" s="275"/>
      <c r="BE141" s="275"/>
      <c r="BF141" s="275"/>
      <c r="BG141" s="275"/>
      <c r="BH141" s="436"/>
      <c r="BI141" s="275"/>
      <c r="BJ141" s="275"/>
      <c r="BK141" s="291"/>
      <c r="BL141" s="291"/>
      <c r="BM141" s="275"/>
      <c r="BN141" s="275"/>
      <c r="BO141" s="438"/>
      <c r="BP141" s="436"/>
      <c r="BQ141" s="275"/>
      <c r="BR141" s="275"/>
      <c r="BS141" s="275"/>
      <c r="BT141" s="275"/>
      <c r="BU141" s="275"/>
      <c r="BV141" s="275"/>
      <c r="BW141" s="275"/>
      <c r="BX141" s="438"/>
      <c r="BY141" s="436"/>
      <c r="BZ141" s="275"/>
      <c r="CA141" s="275"/>
      <c r="CB141" s="275"/>
      <c r="CC141" s="275"/>
      <c r="CD141" s="275"/>
      <c r="CE141" s="275"/>
      <c r="CF141" s="275"/>
      <c r="CG141" s="438"/>
      <c r="CH141" s="436"/>
      <c r="CI141" s="275"/>
      <c r="CJ141" s="275"/>
      <c r="CK141" s="275"/>
      <c r="CL141" s="275"/>
      <c r="CM141" s="275"/>
      <c r="CN141" s="275"/>
      <c r="CO141" s="442"/>
      <c r="CP141" s="443"/>
      <c r="CQ141" s="429">
        <f t="shared" si="16"/>
        <v>0</v>
      </c>
      <c r="CR141" s="430"/>
    </row>
    <row r="142" spans="1:96" ht="25.5" customHeight="1" x14ac:dyDescent="0.2">
      <c r="A142" s="410">
        <f t="shared" si="17"/>
        <v>127</v>
      </c>
      <c r="B142" s="280"/>
      <c r="C142" s="280"/>
      <c r="D142" s="411"/>
      <c r="E142" s="254"/>
      <c r="F142" s="277"/>
      <c r="G142" s="450"/>
      <c r="H142" s="451"/>
      <c r="I142" s="433" t="str">
        <f t="shared" si="11"/>
        <v/>
      </c>
      <c r="J142" s="434">
        <f t="shared" si="12"/>
        <v>0</v>
      </c>
      <c r="K142" s="279"/>
      <c r="L142" s="276"/>
      <c r="M142" s="435"/>
      <c r="N142" s="417" t="str">
        <f t="shared" si="13"/>
        <v/>
      </c>
      <c r="O142" s="418" t="str">
        <f>IF('Data Set up'!$G$40="JUNE",IF(OR($N142=7,$N142=8,$N142=9),1,IF(OR($N142=10,$N142=11,$N142=12),2,IF(OR($N142=1,$N142=2,$N142=3),3,IF(OR($N142=4,$N142=5,$N142=6),4,"")))),IF(OR($N142=9,$N142=10,$N142=11),1,IF(OR($N142=12,$N142=1,$N142=2),2,IF(OR($N142=3,$N142=4,$N142=5),3,IF(OR($N142=6,$N142=7,$N142=8),4,"")))))</f>
        <v/>
      </c>
      <c r="P142" s="445"/>
      <c r="Q142" s="291"/>
      <c r="R142" s="291"/>
      <c r="S142" s="275"/>
      <c r="T142" s="275"/>
      <c r="U142" s="275"/>
      <c r="V142" s="275"/>
      <c r="W142" s="275"/>
      <c r="X142" s="275"/>
      <c r="Y142" s="275"/>
      <c r="Z142" s="275"/>
      <c r="AA142" s="275"/>
      <c r="AB142" s="275"/>
      <c r="AC142" s="275"/>
      <c r="AD142" s="275"/>
      <c r="AE142" s="275"/>
      <c r="AF142" s="275"/>
      <c r="AG142" s="275"/>
      <c r="AH142" s="438"/>
      <c r="AI142" s="439">
        <f t="shared" si="14"/>
        <v>0</v>
      </c>
      <c r="AJ142" s="263"/>
      <c r="AK142" s="263"/>
      <c r="AL142" s="263"/>
      <c r="AM142" s="263"/>
      <c r="AN142" s="263"/>
      <c r="AO142" s="263"/>
      <c r="AP142" s="263"/>
      <c r="AQ142" s="436"/>
      <c r="AR142" s="275"/>
      <c r="AS142" s="275"/>
      <c r="AT142" s="275"/>
      <c r="AU142" s="275"/>
      <c r="AV142" s="275"/>
      <c r="AW142" s="275"/>
      <c r="AX142" s="275"/>
      <c r="AY142" s="437"/>
      <c r="AZ142" s="440">
        <f t="shared" si="15"/>
        <v>0</v>
      </c>
      <c r="BA142" s="275"/>
      <c r="BB142" s="275"/>
      <c r="BC142" s="275"/>
      <c r="BD142" s="275"/>
      <c r="BE142" s="275"/>
      <c r="BF142" s="275"/>
      <c r="BG142" s="275"/>
      <c r="BH142" s="436"/>
      <c r="BI142" s="275"/>
      <c r="BJ142" s="275"/>
      <c r="BK142" s="291"/>
      <c r="BL142" s="291"/>
      <c r="BM142" s="275"/>
      <c r="BN142" s="275"/>
      <c r="BO142" s="438"/>
      <c r="BP142" s="436"/>
      <c r="BQ142" s="275"/>
      <c r="BR142" s="275"/>
      <c r="BS142" s="275"/>
      <c r="BT142" s="275"/>
      <c r="BU142" s="275"/>
      <c r="BV142" s="275"/>
      <c r="BW142" s="275"/>
      <c r="BX142" s="438"/>
      <c r="BY142" s="436"/>
      <c r="BZ142" s="275"/>
      <c r="CA142" s="275"/>
      <c r="CB142" s="275"/>
      <c r="CC142" s="275"/>
      <c r="CD142" s="275"/>
      <c r="CE142" s="275"/>
      <c r="CF142" s="275"/>
      <c r="CG142" s="438"/>
      <c r="CH142" s="436"/>
      <c r="CI142" s="275"/>
      <c r="CJ142" s="275"/>
      <c r="CK142" s="275"/>
      <c r="CL142" s="275"/>
      <c r="CM142" s="275"/>
      <c r="CN142" s="275"/>
      <c r="CO142" s="442"/>
      <c r="CP142" s="443"/>
      <c r="CQ142" s="429">
        <f t="shared" si="16"/>
        <v>0</v>
      </c>
      <c r="CR142" s="430"/>
    </row>
    <row r="143" spans="1:96" ht="25.5" customHeight="1" x14ac:dyDescent="0.2">
      <c r="A143" s="410">
        <f t="shared" si="17"/>
        <v>128</v>
      </c>
      <c r="B143" s="280"/>
      <c r="C143" s="280"/>
      <c r="D143" s="411"/>
      <c r="E143" s="254"/>
      <c r="F143" s="277"/>
      <c r="G143" s="450"/>
      <c r="H143" s="451"/>
      <c r="I143" s="433" t="str">
        <f t="shared" si="11"/>
        <v/>
      </c>
      <c r="J143" s="434">
        <f t="shared" si="12"/>
        <v>0</v>
      </c>
      <c r="K143" s="279"/>
      <c r="L143" s="276"/>
      <c r="M143" s="435"/>
      <c r="N143" s="417" t="str">
        <f t="shared" si="13"/>
        <v/>
      </c>
      <c r="O143" s="418" t="str">
        <f>IF('Data Set up'!$G$40="JUNE",IF(OR($N143=7,$N143=8,$N143=9),1,IF(OR($N143=10,$N143=11,$N143=12),2,IF(OR($N143=1,$N143=2,$N143=3),3,IF(OR($N143=4,$N143=5,$N143=6),4,"")))),IF(OR($N143=9,$N143=10,$N143=11),1,IF(OR($N143=12,$N143=1,$N143=2),2,IF(OR($N143=3,$N143=4,$N143=5),3,IF(OR($N143=6,$N143=7,$N143=8),4,"")))))</f>
        <v/>
      </c>
      <c r="P143" s="445"/>
      <c r="Q143" s="291"/>
      <c r="R143" s="291"/>
      <c r="S143" s="275"/>
      <c r="T143" s="275"/>
      <c r="U143" s="275"/>
      <c r="V143" s="275"/>
      <c r="W143" s="275"/>
      <c r="X143" s="275"/>
      <c r="Y143" s="275"/>
      <c r="Z143" s="275"/>
      <c r="AA143" s="275"/>
      <c r="AB143" s="275"/>
      <c r="AC143" s="275"/>
      <c r="AD143" s="275"/>
      <c r="AE143" s="275"/>
      <c r="AF143" s="275"/>
      <c r="AG143" s="275"/>
      <c r="AH143" s="438"/>
      <c r="AI143" s="439">
        <f t="shared" si="14"/>
        <v>0</v>
      </c>
      <c r="AJ143" s="263"/>
      <c r="AK143" s="263"/>
      <c r="AL143" s="263"/>
      <c r="AM143" s="263"/>
      <c r="AN143" s="263"/>
      <c r="AO143" s="263"/>
      <c r="AP143" s="263"/>
      <c r="AQ143" s="436"/>
      <c r="AR143" s="275"/>
      <c r="AS143" s="275"/>
      <c r="AT143" s="275"/>
      <c r="AU143" s="275"/>
      <c r="AV143" s="275"/>
      <c r="AW143" s="275"/>
      <c r="AX143" s="275"/>
      <c r="AY143" s="437"/>
      <c r="AZ143" s="440">
        <f t="shared" si="15"/>
        <v>0</v>
      </c>
      <c r="BA143" s="275"/>
      <c r="BB143" s="275"/>
      <c r="BC143" s="275"/>
      <c r="BD143" s="275"/>
      <c r="BE143" s="275"/>
      <c r="BF143" s="275"/>
      <c r="BG143" s="275"/>
      <c r="BH143" s="436"/>
      <c r="BI143" s="275"/>
      <c r="BJ143" s="275"/>
      <c r="BK143" s="291"/>
      <c r="BL143" s="291"/>
      <c r="BM143" s="275"/>
      <c r="BN143" s="275"/>
      <c r="BO143" s="438"/>
      <c r="BP143" s="436"/>
      <c r="BQ143" s="275"/>
      <c r="BR143" s="275"/>
      <c r="BS143" s="275"/>
      <c r="BT143" s="275"/>
      <c r="BU143" s="275"/>
      <c r="BV143" s="275"/>
      <c r="BW143" s="275"/>
      <c r="BX143" s="438"/>
      <c r="BY143" s="436"/>
      <c r="BZ143" s="275"/>
      <c r="CA143" s="275"/>
      <c r="CB143" s="275"/>
      <c r="CC143" s="275"/>
      <c r="CD143" s="275"/>
      <c r="CE143" s="275"/>
      <c r="CF143" s="275"/>
      <c r="CG143" s="438"/>
      <c r="CH143" s="436"/>
      <c r="CI143" s="275"/>
      <c r="CJ143" s="275"/>
      <c r="CK143" s="275"/>
      <c r="CL143" s="275"/>
      <c r="CM143" s="275"/>
      <c r="CN143" s="275"/>
      <c r="CO143" s="442"/>
      <c r="CP143" s="443"/>
      <c r="CQ143" s="429">
        <f t="shared" si="16"/>
        <v>0</v>
      </c>
      <c r="CR143" s="430"/>
    </row>
    <row r="144" spans="1:96" ht="25.5" customHeight="1" x14ac:dyDescent="0.2">
      <c r="A144" s="410">
        <f t="shared" si="17"/>
        <v>129</v>
      </c>
      <c r="B144" s="280"/>
      <c r="C144" s="280"/>
      <c r="D144" s="411"/>
      <c r="E144" s="254"/>
      <c r="F144" s="277"/>
      <c r="G144" s="450"/>
      <c r="H144" s="451"/>
      <c r="I144" s="433" t="str">
        <f t="shared" ref="I144:I207" si="18">LEFT(H144,4)</f>
        <v/>
      </c>
      <c r="J144" s="434">
        <f t="shared" ref="J144:J207" si="19">G144-CQ144</f>
        <v>0</v>
      </c>
      <c r="K144" s="279"/>
      <c r="L144" s="276"/>
      <c r="M144" s="435"/>
      <c r="N144" s="417" t="str">
        <f t="shared" ref="N144:N207" si="20">IF($E144="","",MONTH($E144))</f>
        <v/>
      </c>
      <c r="O144" s="418" t="str">
        <f>IF('Data Set up'!$G$40="JUNE",IF(OR($N144=7,$N144=8,$N144=9),1,IF(OR($N144=10,$N144=11,$N144=12),2,IF(OR($N144=1,$N144=2,$N144=3),3,IF(OR($N144=4,$N144=5,$N144=6),4,"")))),IF(OR($N144=9,$N144=10,$N144=11),1,IF(OR($N144=12,$N144=1,$N144=2),2,IF(OR($N144=3,$N144=4,$N144=5),3,IF(OR($N144=6,$N144=7,$N144=8),4,"")))))</f>
        <v/>
      </c>
      <c r="P144" s="445"/>
      <c r="Q144" s="291"/>
      <c r="R144" s="291"/>
      <c r="S144" s="275"/>
      <c r="T144" s="275"/>
      <c r="U144" s="275"/>
      <c r="V144" s="275"/>
      <c r="W144" s="275"/>
      <c r="X144" s="275"/>
      <c r="Y144" s="275"/>
      <c r="Z144" s="275"/>
      <c r="AA144" s="275"/>
      <c r="AB144" s="275"/>
      <c r="AC144" s="275"/>
      <c r="AD144" s="275"/>
      <c r="AE144" s="275"/>
      <c r="AF144" s="275"/>
      <c r="AG144" s="275"/>
      <c r="AH144" s="438"/>
      <c r="AI144" s="439">
        <f t="shared" ref="AI144:AI207" si="21">SUM(AJ144:AP144)</f>
        <v>0</v>
      </c>
      <c r="AJ144" s="263"/>
      <c r="AK144" s="263"/>
      <c r="AL144" s="263"/>
      <c r="AM144" s="263"/>
      <c r="AN144" s="263"/>
      <c r="AO144" s="263"/>
      <c r="AP144" s="263"/>
      <c r="AQ144" s="436"/>
      <c r="AR144" s="275"/>
      <c r="AS144" s="275"/>
      <c r="AT144" s="275"/>
      <c r="AU144" s="275"/>
      <c r="AV144" s="275"/>
      <c r="AW144" s="275"/>
      <c r="AX144" s="275"/>
      <c r="AY144" s="437"/>
      <c r="AZ144" s="440">
        <f t="shared" ref="AZ144:AZ207" si="22">SUM(BA144:BG144)</f>
        <v>0</v>
      </c>
      <c r="BA144" s="275"/>
      <c r="BB144" s="275"/>
      <c r="BC144" s="275"/>
      <c r="BD144" s="275"/>
      <c r="BE144" s="275"/>
      <c r="BF144" s="275"/>
      <c r="BG144" s="275"/>
      <c r="BH144" s="436"/>
      <c r="BI144" s="275"/>
      <c r="BJ144" s="275"/>
      <c r="BK144" s="291"/>
      <c r="BL144" s="291"/>
      <c r="BM144" s="275"/>
      <c r="BN144" s="275"/>
      <c r="BO144" s="438"/>
      <c r="BP144" s="436"/>
      <c r="BQ144" s="275"/>
      <c r="BR144" s="275"/>
      <c r="BS144" s="275"/>
      <c r="BT144" s="275"/>
      <c r="BU144" s="275"/>
      <c r="BV144" s="275"/>
      <c r="BW144" s="275"/>
      <c r="BX144" s="438"/>
      <c r="BY144" s="436"/>
      <c r="BZ144" s="275"/>
      <c r="CA144" s="275"/>
      <c r="CB144" s="275"/>
      <c r="CC144" s="275"/>
      <c r="CD144" s="275"/>
      <c r="CE144" s="275"/>
      <c r="CF144" s="275"/>
      <c r="CG144" s="438"/>
      <c r="CH144" s="436"/>
      <c r="CI144" s="275"/>
      <c r="CJ144" s="275"/>
      <c r="CK144" s="275"/>
      <c r="CL144" s="275"/>
      <c r="CM144" s="275"/>
      <c r="CN144" s="275"/>
      <c r="CO144" s="442"/>
      <c r="CP144" s="443"/>
      <c r="CQ144" s="429">
        <f t="shared" ref="CQ144:CQ207" si="23">SUM(P144:AI144,AQ144:AZ144,BH144:CP144)</f>
        <v>0</v>
      </c>
      <c r="CR144" s="430"/>
    </row>
    <row r="145" spans="1:96" ht="25.5" customHeight="1" x14ac:dyDescent="0.2">
      <c r="A145" s="410">
        <f t="shared" ref="A145:A208" si="24">$A144+1</f>
        <v>130</v>
      </c>
      <c r="B145" s="280"/>
      <c r="C145" s="280"/>
      <c r="D145" s="411"/>
      <c r="E145" s="254"/>
      <c r="F145" s="277"/>
      <c r="G145" s="450"/>
      <c r="H145" s="451"/>
      <c r="I145" s="433" t="str">
        <f t="shared" si="18"/>
        <v/>
      </c>
      <c r="J145" s="434">
        <f t="shared" si="19"/>
        <v>0</v>
      </c>
      <c r="K145" s="279"/>
      <c r="L145" s="276"/>
      <c r="M145" s="435"/>
      <c r="N145" s="417" t="str">
        <f t="shared" si="20"/>
        <v/>
      </c>
      <c r="O145" s="418" t="str">
        <f>IF('Data Set up'!$G$40="JUNE",IF(OR($N145=7,$N145=8,$N145=9),1,IF(OR($N145=10,$N145=11,$N145=12),2,IF(OR($N145=1,$N145=2,$N145=3),3,IF(OR($N145=4,$N145=5,$N145=6),4,"")))),IF(OR($N145=9,$N145=10,$N145=11),1,IF(OR($N145=12,$N145=1,$N145=2),2,IF(OR($N145=3,$N145=4,$N145=5),3,IF(OR($N145=6,$N145=7,$N145=8),4,"")))))</f>
        <v/>
      </c>
      <c r="P145" s="445"/>
      <c r="Q145" s="291"/>
      <c r="R145" s="291"/>
      <c r="S145" s="275"/>
      <c r="T145" s="275"/>
      <c r="U145" s="275"/>
      <c r="V145" s="275"/>
      <c r="W145" s="275"/>
      <c r="X145" s="275"/>
      <c r="Y145" s="275"/>
      <c r="Z145" s="275"/>
      <c r="AA145" s="275"/>
      <c r="AB145" s="275"/>
      <c r="AC145" s="275"/>
      <c r="AD145" s="275"/>
      <c r="AE145" s="275"/>
      <c r="AF145" s="275"/>
      <c r="AG145" s="275"/>
      <c r="AH145" s="438"/>
      <c r="AI145" s="439">
        <f t="shared" si="21"/>
        <v>0</v>
      </c>
      <c r="AJ145" s="263"/>
      <c r="AK145" s="263"/>
      <c r="AL145" s="263"/>
      <c r="AM145" s="263"/>
      <c r="AN145" s="263"/>
      <c r="AO145" s="263"/>
      <c r="AP145" s="263"/>
      <c r="AQ145" s="436"/>
      <c r="AR145" s="275"/>
      <c r="AS145" s="275"/>
      <c r="AT145" s="275"/>
      <c r="AU145" s="275"/>
      <c r="AV145" s="275"/>
      <c r="AW145" s="275"/>
      <c r="AX145" s="275"/>
      <c r="AY145" s="437"/>
      <c r="AZ145" s="440">
        <f t="shared" si="22"/>
        <v>0</v>
      </c>
      <c r="BA145" s="275"/>
      <c r="BB145" s="275"/>
      <c r="BC145" s="275"/>
      <c r="BD145" s="275"/>
      <c r="BE145" s="275"/>
      <c r="BF145" s="275"/>
      <c r="BG145" s="275"/>
      <c r="BH145" s="436"/>
      <c r="BI145" s="275"/>
      <c r="BJ145" s="275"/>
      <c r="BK145" s="291"/>
      <c r="BL145" s="291"/>
      <c r="BM145" s="275"/>
      <c r="BN145" s="275"/>
      <c r="BO145" s="438"/>
      <c r="BP145" s="436"/>
      <c r="BQ145" s="275"/>
      <c r="BR145" s="275"/>
      <c r="BS145" s="275"/>
      <c r="BT145" s="275"/>
      <c r="BU145" s="275"/>
      <c r="BV145" s="275"/>
      <c r="BW145" s="275"/>
      <c r="BX145" s="438"/>
      <c r="BY145" s="436"/>
      <c r="BZ145" s="275"/>
      <c r="CA145" s="275"/>
      <c r="CB145" s="275"/>
      <c r="CC145" s="275"/>
      <c r="CD145" s="275"/>
      <c r="CE145" s="275"/>
      <c r="CF145" s="275"/>
      <c r="CG145" s="438"/>
      <c r="CH145" s="436"/>
      <c r="CI145" s="275"/>
      <c r="CJ145" s="275"/>
      <c r="CK145" s="275"/>
      <c r="CL145" s="275"/>
      <c r="CM145" s="275"/>
      <c r="CN145" s="275"/>
      <c r="CO145" s="442"/>
      <c r="CP145" s="443"/>
      <c r="CQ145" s="429">
        <f t="shared" si="23"/>
        <v>0</v>
      </c>
      <c r="CR145" s="430"/>
    </row>
    <row r="146" spans="1:96" ht="25.5" customHeight="1" x14ac:dyDescent="0.2">
      <c r="A146" s="410">
        <f t="shared" si="24"/>
        <v>131</v>
      </c>
      <c r="B146" s="280"/>
      <c r="C146" s="280"/>
      <c r="D146" s="411"/>
      <c r="E146" s="254"/>
      <c r="F146" s="277"/>
      <c r="G146" s="450"/>
      <c r="H146" s="451"/>
      <c r="I146" s="433" t="str">
        <f t="shared" si="18"/>
        <v/>
      </c>
      <c r="J146" s="434">
        <f t="shared" si="19"/>
        <v>0</v>
      </c>
      <c r="K146" s="279"/>
      <c r="L146" s="276"/>
      <c r="M146" s="435"/>
      <c r="N146" s="417" t="str">
        <f t="shared" si="20"/>
        <v/>
      </c>
      <c r="O146" s="418" t="str">
        <f>IF('Data Set up'!$G$40="JUNE",IF(OR($N146=7,$N146=8,$N146=9),1,IF(OR($N146=10,$N146=11,$N146=12),2,IF(OR($N146=1,$N146=2,$N146=3),3,IF(OR($N146=4,$N146=5,$N146=6),4,"")))),IF(OR($N146=9,$N146=10,$N146=11),1,IF(OR($N146=12,$N146=1,$N146=2),2,IF(OR($N146=3,$N146=4,$N146=5),3,IF(OR($N146=6,$N146=7,$N146=8),4,"")))))</f>
        <v/>
      </c>
      <c r="P146" s="445"/>
      <c r="Q146" s="291"/>
      <c r="R146" s="291"/>
      <c r="S146" s="275"/>
      <c r="T146" s="275"/>
      <c r="U146" s="275"/>
      <c r="V146" s="275"/>
      <c r="W146" s="275"/>
      <c r="X146" s="275"/>
      <c r="Y146" s="275"/>
      <c r="Z146" s="275"/>
      <c r="AA146" s="275"/>
      <c r="AB146" s="275"/>
      <c r="AC146" s="275"/>
      <c r="AD146" s="275"/>
      <c r="AE146" s="275"/>
      <c r="AF146" s="275"/>
      <c r="AG146" s="275"/>
      <c r="AH146" s="438"/>
      <c r="AI146" s="439">
        <f t="shared" si="21"/>
        <v>0</v>
      </c>
      <c r="AJ146" s="263"/>
      <c r="AK146" s="263"/>
      <c r="AL146" s="263"/>
      <c r="AM146" s="263"/>
      <c r="AN146" s="263"/>
      <c r="AO146" s="263"/>
      <c r="AP146" s="263"/>
      <c r="AQ146" s="436"/>
      <c r="AR146" s="275"/>
      <c r="AS146" s="275"/>
      <c r="AT146" s="275"/>
      <c r="AU146" s="275"/>
      <c r="AV146" s="275"/>
      <c r="AW146" s="275"/>
      <c r="AX146" s="275"/>
      <c r="AY146" s="437"/>
      <c r="AZ146" s="440">
        <f t="shared" si="22"/>
        <v>0</v>
      </c>
      <c r="BA146" s="275"/>
      <c r="BB146" s="275"/>
      <c r="BC146" s="275"/>
      <c r="BD146" s="275"/>
      <c r="BE146" s="275"/>
      <c r="BF146" s="275"/>
      <c r="BG146" s="275"/>
      <c r="BH146" s="436"/>
      <c r="BI146" s="275"/>
      <c r="BJ146" s="275"/>
      <c r="BK146" s="291"/>
      <c r="BL146" s="291"/>
      <c r="BM146" s="275"/>
      <c r="BN146" s="275"/>
      <c r="BO146" s="438"/>
      <c r="BP146" s="436"/>
      <c r="BQ146" s="275"/>
      <c r="BR146" s="275"/>
      <c r="BS146" s="275"/>
      <c r="BT146" s="275"/>
      <c r="BU146" s="275"/>
      <c r="BV146" s="275"/>
      <c r="BW146" s="275"/>
      <c r="BX146" s="438"/>
      <c r="BY146" s="436"/>
      <c r="BZ146" s="275"/>
      <c r="CA146" s="275"/>
      <c r="CB146" s="275"/>
      <c r="CC146" s="275"/>
      <c r="CD146" s="275"/>
      <c r="CE146" s="275"/>
      <c r="CF146" s="275"/>
      <c r="CG146" s="438"/>
      <c r="CH146" s="436"/>
      <c r="CI146" s="275"/>
      <c r="CJ146" s="275"/>
      <c r="CK146" s="275"/>
      <c r="CL146" s="275"/>
      <c r="CM146" s="275"/>
      <c r="CN146" s="275"/>
      <c r="CO146" s="442"/>
      <c r="CP146" s="443"/>
      <c r="CQ146" s="429">
        <f t="shared" si="23"/>
        <v>0</v>
      </c>
      <c r="CR146" s="430"/>
    </row>
    <row r="147" spans="1:96" ht="25.5" customHeight="1" x14ac:dyDescent="0.2">
      <c r="A147" s="410">
        <f t="shared" si="24"/>
        <v>132</v>
      </c>
      <c r="B147" s="280"/>
      <c r="C147" s="280"/>
      <c r="D147" s="411"/>
      <c r="E147" s="254"/>
      <c r="F147" s="277"/>
      <c r="G147" s="450"/>
      <c r="H147" s="451"/>
      <c r="I147" s="433" t="str">
        <f t="shared" si="18"/>
        <v/>
      </c>
      <c r="J147" s="434">
        <f t="shared" si="19"/>
        <v>0</v>
      </c>
      <c r="K147" s="279"/>
      <c r="L147" s="276"/>
      <c r="M147" s="435"/>
      <c r="N147" s="417" t="str">
        <f t="shared" si="20"/>
        <v/>
      </c>
      <c r="O147" s="418" t="str">
        <f>IF('Data Set up'!$G$40="JUNE",IF(OR($N147=7,$N147=8,$N147=9),1,IF(OR($N147=10,$N147=11,$N147=12),2,IF(OR($N147=1,$N147=2,$N147=3),3,IF(OR($N147=4,$N147=5,$N147=6),4,"")))),IF(OR($N147=9,$N147=10,$N147=11),1,IF(OR($N147=12,$N147=1,$N147=2),2,IF(OR($N147=3,$N147=4,$N147=5),3,IF(OR($N147=6,$N147=7,$N147=8),4,"")))))</f>
        <v/>
      </c>
      <c r="P147" s="445"/>
      <c r="Q147" s="291"/>
      <c r="R147" s="291"/>
      <c r="S147" s="275"/>
      <c r="T147" s="275"/>
      <c r="U147" s="275"/>
      <c r="V147" s="275"/>
      <c r="W147" s="275"/>
      <c r="X147" s="275"/>
      <c r="Y147" s="275"/>
      <c r="Z147" s="275"/>
      <c r="AA147" s="275"/>
      <c r="AB147" s="275"/>
      <c r="AC147" s="275"/>
      <c r="AD147" s="275"/>
      <c r="AE147" s="275"/>
      <c r="AF147" s="275"/>
      <c r="AG147" s="275"/>
      <c r="AH147" s="438"/>
      <c r="AI147" s="439">
        <f t="shared" si="21"/>
        <v>0</v>
      </c>
      <c r="AJ147" s="263"/>
      <c r="AK147" s="263"/>
      <c r="AL147" s="263"/>
      <c r="AM147" s="263"/>
      <c r="AN147" s="263"/>
      <c r="AO147" s="263"/>
      <c r="AP147" s="263"/>
      <c r="AQ147" s="436"/>
      <c r="AR147" s="275"/>
      <c r="AS147" s="275"/>
      <c r="AT147" s="275"/>
      <c r="AU147" s="275"/>
      <c r="AV147" s="275"/>
      <c r="AW147" s="275"/>
      <c r="AX147" s="275"/>
      <c r="AY147" s="437"/>
      <c r="AZ147" s="440">
        <f t="shared" si="22"/>
        <v>0</v>
      </c>
      <c r="BA147" s="275"/>
      <c r="BB147" s="275"/>
      <c r="BC147" s="275"/>
      <c r="BD147" s="275"/>
      <c r="BE147" s="275"/>
      <c r="BF147" s="275"/>
      <c r="BG147" s="275"/>
      <c r="BH147" s="436"/>
      <c r="BI147" s="275"/>
      <c r="BJ147" s="275"/>
      <c r="BK147" s="291"/>
      <c r="BL147" s="291"/>
      <c r="BM147" s="275"/>
      <c r="BN147" s="275"/>
      <c r="BO147" s="438"/>
      <c r="BP147" s="436"/>
      <c r="BQ147" s="275"/>
      <c r="BR147" s="275"/>
      <c r="BS147" s="275"/>
      <c r="BT147" s="275"/>
      <c r="BU147" s="275"/>
      <c r="BV147" s="275"/>
      <c r="BW147" s="275"/>
      <c r="BX147" s="438"/>
      <c r="BY147" s="436"/>
      <c r="BZ147" s="275"/>
      <c r="CA147" s="275"/>
      <c r="CB147" s="275"/>
      <c r="CC147" s="275"/>
      <c r="CD147" s="275"/>
      <c r="CE147" s="275"/>
      <c r="CF147" s="275"/>
      <c r="CG147" s="438"/>
      <c r="CH147" s="436"/>
      <c r="CI147" s="275"/>
      <c r="CJ147" s="275"/>
      <c r="CK147" s="275"/>
      <c r="CL147" s="275"/>
      <c r="CM147" s="275"/>
      <c r="CN147" s="275"/>
      <c r="CO147" s="442"/>
      <c r="CP147" s="443"/>
      <c r="CQ147" s="429">
        <f t="shared" si="23"/>
        <v>0</v>
      </c>
      <c r="CR147" s="430"/>
    </row>
    <row r="148" spans="1:96" ht="25.5" customHeight="1" x14ac:dyDescent="0.2">
      <c r="A148" s="410">
        <f t="shared" si="24"/>
        <v>133</v>
      </c>
      <c r="B148" s="280"/>
      <c r="C148" s="280"/>
      <c r="D148" s="411"/>
      <c r="E148" s="254"/>
      <c r="F148" s="277"/>
      <c r="G148" s="450"/>
      <c r="H148" s="451"/>
      <c r="I148" s="433" t="str">
        <f t="shared" si="18"/>
        <v/>
      </c>
      <c r="J148" s="434">
        <f t="shared" si="19"/>
        <v>0</v>
      </c>
      <c r="K148" s="279"/>
      <c r="L148" s="276"/>
      <c r="M148" s="435"/>
      <c r="N148" s="417" t="str">
        <f t="shared" si="20"/>
        <v/>
      </c>
      <c r="O148" s="418" t="str">
        <f>IF('Data Set up'!$G$40="JUNE",IF(OR($N148=7,$N148=8,$N148=9),1,IF(OR($N148=10,$N148=11,$N148=12),2,IF(OR($N148=1,$N148=2,$N148=3),3,IF(OR($N148=4,$N148=5,$N148=6),4,"")))),IF(OR($N148=9,$N148=10,$N148=11),1,IF(OR($N148=12,$N148=1,$N148=2),2,IF(OR($N148=3,$N148=4,$N148=5),3,IF(OR($N148=6,$N148=7,$N148=8),4,"")))))</f>
        <v/>
      </c>
      <c r="P148" s="445"/>
      <c r="Q148" s="291"/>
      <c r="R148" s="291"/>
      <c r="S148" s="275"/>
      <c r="T148" s="275"/>
      <c r="U148" s="275"/>
      <c r="V148" s="275"/>
      <c r="W148" s="275"/>
      <c r="X148" s="275"/>
      <c r="Y148" s="275"/>
      <c r="Z148" s="275"/>
      <c r="AA148" s="275"/>
      <c r="AB148" s="275"/>
      <c r="AC148" s="275"/>
      <c r="AD148" s="275"/>
      <c r="AE148" s="275"/>
      <c r="AF148" s="275"/>
      <c r="AG148" s="275"/>
      <c r="AH148" s="438"/>
      <c r="AI148" s="439">
        <f t="shared" si="21"/>
        <v>0</v>
      </c>
      <c r="AJ148" s="263"/>
      <c r="AK148" s="263"/>
      <c r="AL148" s="263"/>
      <c r="AM148" s="263"/>
      <c r="AN148" s="263"/>
      <c r="AO148" s="263"/>
      <c r="AP148" s="263"/>
      <c r="AQ148" s="436"/>
      <c r="AR148" s="275"/>
      <c r="AS148" s="275"/>
      <c r="AT148" s="275"/>
      <c r="AU148" s="275"/>
      <c r="AV148" s="275"/>
      <c r="AW148" s="275"/>
      <c r="AX148" s="275"/>
      <c r="AY148" s="437"/>
      <c r="AZ148" s="440">
        <f t="shared" si="22"/>
        <v>0</v>
      </c>
      <c r="BA148" s="275"/>
      <c r="BB148" s="275"/>
      <c r="BC148" s="275"/>
      <c r="BD148" s="275"/>
      <c r="BE148" s="275"/>
      <c r="BF148" s="275"/>
      <c r="BG148" s="275"/>
      <c r="BH148" s="436"/>
      <c r="BI148" s="275"/>
      <c r="BJ148" s="275"/>
      <c r="BK148" s="291"/>
      <c r="BL148" s="291"/>
      <c r="BM148" s="275"/>
      <c r="BN148" s="275"/>
      <c r="BO148" s="438"/>
      <c r="BP148" s="436"/>
      <c r="BQ148" s="275"/>
      <c r="BR148" s="275"/>
      <c r="BS148" s="275"/>
      <c r="BT148" s="275"/>
      <c r="BU148" s="275"/>
      <c r="BV148" s="275"/>
      <c r="BW148" s="275"/>
      <c r="BX148" s="438"/>
      <c r="BY148" s="436"/>
      <c r="BZ148" s="275"/>
      <c r="CA148" s="275"/>
      <c r="CB148" s="275"/>
      <c r="CC148" s="275"/>
      <c r="CD148" s="275"/>
      <c r="CE148" s="275"/>
      <c r="CF148" s="275"/>
      <c r="CG148" s="438"/>
      <c r="CH148" s="436"/>
      <c r="CI148" s="275"/>
      <c r="CJ148" s="275"/>
      <c r="CK148" s="275"/>
      <c r="CL148" s="275"/>
      <c r="CM148" s="275"/>
      <c r="CN148" s="275"/>
      <c r="CO148" s="442"/>
      <c r="CP148" s="443"/>
      <c r="CQ148" s="429">
        <f t="shared" si="23"/>
        <v>0</v>
      </c>
      <c r="CR148" s="430"/>
    </row>
    <row r="149" spans="1:96" ht="25.5" customHeight="1" x14ac:dyDescent="0.2">
      <c r="A149" s="410">
        <f t="shared" si="24"/>
        <v>134</v>
      </c>
      <c r="B149" s="280"/>
      <c r="C149" s="280"/>
      <c r="D149" s="411"/>
      <c r="E149" s="254"/>
      <c r="F149" s="277"/>
      <c r="G149" s="450"/>
      <c r="H149" s="451"/>
      <c r="I149" s="433" t="str">
        <f t="shared" si="18"/>
        <v/>
      </c>
      <c r="J149" s="434">
        <f t="shared" si="19"/>
        <v>0</v>
      </c>
      <c r="K149" s="279"/>
      <c r="L149" s="276"/>
      <c r="M149" s="435"/>
      <c r="N149" s="417" t="str">
        <f t="shared" si="20"/>
        <v/>
      </c>
      <c r="O149" s="418" t="str">
        <f>IF('Data Set up'!$G$40="JUNE",IF(OR($N149=7,$N149=8,$N149=9),1,IF(OR($N149=10,$N149=11,$N149=12),2,IF(OR($N149=1,$N149=2,$N149=3),3,IF(OR($N149=4,$N149=5,$N149=6),4,"")))),IF(OR($N149=9,$N149=10,$N149=11),1,IF(OR($N149=12,$N149=1,$N149=2),2,IF(OR($N149=3,$N149=4,$N149=5),3,IF(OR($N149=6,$N149=7,$N149=8),4,"")))))</f>
        <v/>
      </c>
      <c r="P149" s="445"/>
      <c r="Q149" s="291"/>
      <c r="R149" s="291"/>
      <c r="S149" s="275"/>
      <c r="T149" s="275"/>
      <c r="U149" s="275"/>
      <c r="V149" s="275"/>
      <c r="W149" s="275"/>
      <c r="X149" s="275"/>
      <c r="Y149" s="275"/>
      <c r="Z149" s="275"/>
      <c r="AA149" s="275"/>
      <c r="AB149" s="275"/>
      <c r="AC149" s="275"/>
      <c r="AD149" s="275"/>
      <c r="AE149" s="275"/>
      <c r="AF149" s="275"/>
      <c r="AG149" s="275"/>
      <c r="AH149" s="438"/>
      <c r="AI149" s="439">
        <f t="shared" si="21"/>
        <v>0</v>
      </c>
      <c r="AJ149" s="263"/>
      <c r="AK149" s="263"/>
      <c r="AL149" s="263"/>
      <c r="AM149" s="263"/>
      <c r="AN149" s="263"/>
      <c r="AO149" s="263"/>
      <c r="AP149" s="263"/>
      <c r="AQ149" s="436"/>
      <c r="AR149" s="275"/>
      <c r="AS149" s="275"/>
      <c r="AT149" s="275"/>
      <c r="AU149" s="275"/>
      <c r="AV149" s="275"/>
      <c r="AW149" s="275"/>
      <c r="AX149" s="275"/>
      <c r="AY149" s="437"/>
      <c r="AZ149" s="440">
        <f t="shared" si="22"/>
        <v>0</v>
      </c>
      <c r="BA149" s="275"/>
      <c r="BB149" s="275"/>
      <c r="BC149" s="275"/>
      <c r="BD149" s="275"/>
      <c r="BE149" s="275"/>
      <c r="BF149" s="275"/>
      <c r="BG149" s="275"/>
      <c r="BH149" s="436"/>
      <c r="BI149" s="275"/>
      <c r="BJ149" s="275"/>
      <c r="BK149" s="291"/>
      <c r="BL149" s="291"/>
      <c r="BM149" s="275"/>
      <c r="BN149" s="275"/>
      <c r="BO149" s="438"/>
      <c r="BP149" s="436"/>
      <c r="BQ149" s="275"/>
      <c r="BR149" s="275"/>
      <c r="BS149" s="275"/>
      <c r="BT149" s="275"/>
      <c r="BU149" s="275"/>
      <c r="BV149" s="275"/>
      <c r="BW149" s="275"/>
      <c r="BX149" s="438"/>
      <c r="BY149" s="436"/>
      <c r="BZ149" s="275"/>
      <c r="CA149" s="275"/>
      <c r="CB149" s="275"/>
      <c r="CC149" s="275"/>
      <c r="CD149" s="275"/>
      <c r="CE149" s="275"/>
      <c r="CF149" s="275"/>
      <c r="CG149" s="438"/>
      <c r="CH149" s="436"/>
      <c r="CI149" s="275"/>
      <c r="CJ149" s="275"/>
      <c r="CK149" s="275"/>
      <c r="CL149" s="275"/>
      <c r="CM149" s="275"/>
      <c r="CN149" s="275"/>
      <c r="CO149" s="442"/>
      <c r="CP149" s="443"/>
      <c r="CQ149" s="429">
        <f t="shared" si="23"/>
        <v>0</v>
      </c>
      <c r="CR149" s="430"/>
    </row>
    <row r="150" spans="1:96" ht="25.5" customHeight="1" x14ac:dyDescent="0.2">
      <c r="A150" s="410">
        <f t="shared" si="24"/>
        <v>135</v>
      </c>
      <c r="B150" s="280"/>
      <c r="C150" s="280"/>
      <c r="D150" s="411"/>
      <c r="E150" s="254"/>
      <c r="F150" s="277"/>
      <c r="G150" s="450"/>
      <c r="H150" s="451"/>
      <c r="I150" s="433" t="str">
        <f t="shared" si="18"/>
        <v/>
      </c>
      <c r="J150" s="434">
        <f t="shared" si="19"/>
        <v>0</v>
      </c>
      <c r="K150" s="279"/>
      <c r="L150" s="276"/>
      <c r="M150" s="435"/>
      <c r="N150" s="417" t="str">
        <f t="shared" si="20"/>
        <v/>
      </c>
      <c r="O150" s="418" t="str">
        <f>IF('Data Set up'!$G$40="JUNE",IF(OR($N150=7,$N150=8,$N150=9),1,IF(OR($N150=10,$N150=11,$N150=12),2,IF(OR($N150=1,$N150=2,$N150=3),3,IF(OR($N150=4,$N150=5,$N150=6),4,"")))),IF(OR($N150=9,$N150=10,$N150=11),1,IF(OR($N150=12,$N150=1,$N150=2),2,IF(OR($N150=3,$N150=4,$N150=5),3,IF(OR($N150=6,$N150=7,$N150=8),4,"")))))</f>
        <v/>
      </c>
      <c r="P150" s="445"/>
      <c r="Q150" s="291"/>
      <c r="R150" s="291"/>
      <c r="S150" s="275"/>
      <c r="T150" s="275"/>
      <c r="U150" s="275"/>
      <c r="V150" s="275"/>
      <c r="W150" s="275"/>
      <c r="X150" s="275"/>
      <c r="Y150" s="275"/>
      <c r="Z150" s="275"/>
      <c r="AA150" s="275"/>
      <c r="AB150" s="275"/>
      <c r="AC150" s="275"/>
      <c r="AD150" s="275"/>
      <c r="AE150" s="275"/>
      <c r="AF150" s="275"/>
      <c r="AG150" s="275"/>
      <c r="AH150" s="438"/>
      <c r="AI150" s="439">
        <f t="shared" si="21"/>
        <v>0</v>
      </c>
      <c r="AJ150" s="263"/>
      <c r="AK150" s="263"/>
      <c r="AL150" s="263"/>
      <c r="AM150" s="263"/>
      <c r="AN150" s="263"/>
      <c r="AO150" s="263"/>
      <c r="AP150" s="263"/>
      <c r="AQ150" s="436"/>
      <c r="AR150" s="275"/>
      <c r="AS150" s="275"/>
      <c r="AT150" s="275"/>
      <c r="AU150" s="275"/>
      <c r="AV150" s="275"/>
      <c r="AW150" s="275"/>
      <c r="AX150" s="275"/>
      <c r="AY150" s="437"/>
      <c r="AZ150" s="440">
        <f t="shared" si="22"/>
        <v>0</v>
      </c>
      <c r="BA150" s="275"/>
      <c r="BB150" s="275"/>
      <c r="BC150" s="275"/>
      <c r="BD150" s="275"/>
      <c r="BE150" s="275"/>
      <c r="BF150" s="275"/>
      <c r="BG150" s="275"/>
      <c r="BH150" s="436"/>
      <c r="BI150" s="275"/>
      <c r="BJ150" s="275"/>
      <c r="BK150" s="291"/>
      <c r="BL150" s="291"/>
      <c r="BM150" s="275"/>
      <c r="BN150" s="275"/>
      <c r="BO150" s="438"/>
      <c r="BP150" s="436"/>
      <c r="BQ150" s="275"/>
      <c r="BR150" s="275"/>
      <c r="BS150" s="275"/>
      <c r="BT150" s="275"/>
      <c r="BU150" s="275"/>
      <c r="BV150" s="275"/>
      <c r="BW150" s="275"/>
      <c r="BX150" s="438"/>
      <c r="BY150" s="436"/>
      <c r="BZ150" s="275"/>
      <c r="CA150" s="275"/>
      <c r="CB150" s="275"/>
      <c r="CC150" s="275"/>
      <c r="CD150" s="275"/>
      <c r="CE150" s="275"/>
      <c r="CF150" s="275"/>
      <c r="CG150" s="438"/>
      <c r="CH150" s="436"/>
      <c r="CI150" s="275"/>
      <c r="CJ150" s="275"/>
      <c r="CK150" s="275"/>
      <c r="CL150" s="275"/>
      <c r="CM150" s="275"/>
      <c r="CN150" s="275"/>
      <c r="CO150" s="442"/>
      <c r="CP150" s="443"/>
      <c r="CQ150" s="429">
        <f t="shared" si="23"/>
        <v>0</v>
      </c>
      <c r="CR150" s="430"/>
    </row>
    <row r="151" spans="1:96" ht="25.5" customHeight="1" x14ac:dyDescent="0.2">
      <c r="A151" s="410">
        <f t="shared" si="24"/>
        <v>136</v>
      </c>
      <c r="B151" s="280"/>
      <c r="C151" s="280"/>
      <c r="D151" s="411"/>
      <c r="E151" s="254"/>
      <c r="F151" s="277"/>
      <c r="G151" s="450"/>
      <c r="H151" s="451"/>
      <c r="I151" s="433" t="str">
        <f t="shared" si="18"/>
        <v/>
      </c>
      <c r="J151" s="434">
        <f t="shared" si="19"/>
        <v>0</v>
      </c>
      <c r="K151" s="279"/>
      <c r="L151" s="276"/>
      <c r="M151" s="435"/>
      <c r="N151" s="417" t="str">
        <f t="shared" si="20"/>
        <v/>
      </c>
      <c r="O151" s="418" t="str">
        <f>IF('Data Set up'!$G$40="JUNE",IF(OR($N151=7,$N151=8,$N151=9),1,IF(OR($N151=10,$N151=11,$N151=12),2,IF(OR($N151=1,$N151=2,$N151=3),3,IF(OR($N151=4,$N151=5,$N151=6),4,"")))),IF(OR($N151=9,$N151=10,$N151=11),1,IF(OR($N151=12,$N151=1,$N151=2),2,IF(OR($N151=3,$N151=4,$N151=5),3,IF(OR($N151=6,$N151=7,$N151=8),4,"")))))</f>
        <v/>
      </c>
      <c r="P151" s="445"/>
      <c r="Q151" s="291"/>
      <c r="R151" s="291"/>
      <c r="S151" s="275"/>
      <c r="T151" s="275"/>
      <c r="U151" s="275"/>
      <c r="V151" s="275"/>
      <c r="W151" s="275"/>
      <c r="X151" s="275"/>
      <c r="Y151" s="275"/>
      <c r="Z151" s="275"/>
      <c r="AA151" s="275"/>
      <c r="AB151" s="275"/>
      <c r="AC151" s="275"/>
      <c r="AD151" s="275"/>
      <c r="AE151" s="275"/>
      <c r="AF151" s="275"/>
      <c r="AG151" s="275"/>
      <c r="AH151" s="438"/>
      <c r="AI151" s="439">
        <f t="shared" si="21"/>
        <v>0</v>
      </c>
      <c r="AJ151" s="263"/>
      <c r="AK151" s="263"/>
      <c r="AL151" s="263"/>
      <c r="AM151" s="263"/>
      <c r="AN151" s="263"/>
      <c r="AO151" s="263"/>
      <c r="AP151" s="263"/>
      <c r="AQ151" s="436"/>
      <c r="AR151" s="275"/>
      <c r="AS151" s="275"/>
      <c r="AT151" s="275"/>
      <c r="AU151" s="275"/>
      <c r="AV151" s="275"/>
      <c r="AW151" s="275"/>
      <c r="AX151" s="275"/>
      <c r="AY151" s="437"/>
      <c r="AZ151" s="440">
        <f t="shared" si="22"/>
        <v>0</v>
      </c>
      <c r="BA151" s="275"/>
      <c r="BB151" s="275"/>
      <c r="BC151" s="275"/>
      <c r="BD151" s="275"/>
      <c r="BE151" s="275"/>
      <c r="BF151" s="275"/>
      <c r="BG151" s="275"/>
      <c r="BH151" s="436"/>
      <c r="BI151" s="275"/>
      <c r="BJ151" s="275"/>
      <c r="BK151" s="291"/>
      <c r="BL151" s="291"/>
      <c r="BM151" s="275"/>
      <c r="BN151" s="275"/>
      <c r="BO151" s="438"/>
      <c r="BP151" s="436"/>
      <c r="BQ151" s="275"/>
      <c r="BR151" s="275"/>
      <c r="BS151" s="275"/>
      <c r="BT151" s="275"/>
      <c r="BU151" s="275"/>
      <c r="BV151" s="275"/>
      <c r="BW151" s="275"/>
      <c r="BX151" s="438"/>
      <c r="BY151" s="436"/>
      <c r="BZ151" s="275"/>
      <c r="CA151" s="275"/>
      <c r="CB151" s="275"/>
      <c r="CC151" s="275"/>
      <c r="CD151" s="275"/>
      <c r="CE151" s="275"/>
      <c r="CF151" s="275"/>
      <c r="CG151" s="438"/>
      <c r="CH151" s="436"/>
      <c r="CI151" s="275"/>
      <c r="CJ151" s="275"/>
      <c r="CK151" s="275"/>
      <c r="CL151" s="275"/>
      <c r="CM151" s="275"/>
      <c r="CN151" s="275"/>
      <c r="CO151" s="442"/>
      <c r="CP151" s="443"/>
      <c r="CQ151" s="429">
        <f t="shared" si="23"/>
        <v>0</v>
      </c>
      <c r="CR151" s="430"/>
    </row>
    <row r="152" spans="1:96" ht="25.5" customHeight="1" x14ac:dyDescent="0.2">
      <c r="A152" s="410">
        <f t="shared" si="24"/>
        <v>137</v>
      </c>
      <c r="B152" s="280"/>
      <c r="C152" s="280"/>
      <c r="D152" s="411"/>
      <c r="E152" s="254"/>
      <c r="F152" s="277"/>
      <c r="G152" s="450"/>
      <c r="H152" s="451"/>
      <c r="I152" s="433" t="str">
        <f t="shared" si="18"/>
        <v/>
      </c>
      <c r="J152" s="434">
        <f t="shared" si="19"/>
        <v>0</v>
      </c>
      <c r="K152" s="279"/>
      <c r="L152" s="276"/>
      <c r="M152" s="435"/>
      <c r="N152" s="417" t="str">
        <f t="shared" si="20"/>
        <v/>
      </c>
      <c r="O152" s="418" t="str">
        <f>IF('Data Set up'!$G$40="JUNE",IF(OR($N152=7,$N152=8,$N152=9),1,IF(OR($N152=10,$N152=11,$N152=12),2,IF(OR($N152=1,$N152=2,$N152=3),3,IF(OR($N152=4,$N152=5,$N152=6),4,"")))),IF(OR($N152=9,$N152=10,$N152=11),1,IF(OR($N152=12,$N152=1,$N152=2),2,IF(OR($N152=3,$N152=4,$N152=5),3,IF(OR($N152=6,$N152=7,$N152=8),4,"")))))</f>
        <v/>
      </c>
      <c r="P152" s="445"/>
      <c r="Q152" s="291"/>
      <c r="R152" s="291"/>
      <c r="S152" s="275"/>
      <c r="T152" s="275"/>
      <c r="U152" s="275"/>
      <c r="V152" s="275"/>
      <c r="W152" s="275"/>
      <c r="X152" s="275"/>
      <c r="Y152" s="275"/>
      <c r="Z152" s="275"/>
      <c r="AA152" s="275"/>
      <c r="AB152" s="275"/>
      <c r="AC152" s="275"/>
      <c r="AD152" s="275"/>
      <c r="AE152" s="275"/>
      <c r="AF152" s="275"/>
      <c r="AG152" s="275"/>
      <c r="AH152" s="438"/>
      <c r="AI152" s="439">
        <f t="shared" si="21"/>
        <v>0</v>
      </c>
      <c r="AJ152" s="263"/>
      <c r="AK152" s="263"/>
      <c r="AL152" s="263"/>
      <c r="AM152" s="263"/>
      <c r="AN152" s="263"/>
      <c r="AO152" s="263"/>
      <c r="AP152" s="263"/>
      <c r="AQ152" s="436"/>
      <c r="AR152" s="275"/>
      <c r="AS152" s="275"/>
      <c r="AT152" s="275"/>
      <c r="AU152" s="275"/>
      <c r="AV152" s="275"/>
      <c r="AW152" s="275"/>
      <c r="AX152" s="275"/>
      <c r="AY152" s="437"/>
      <c r="AZ152" s="440">
        <f t="shared" si="22"/>
        <v>0</v>
      </c>
      <c r="BA152" s="275"/>
      <c r="BB152" s="275"/>
      <c r="BC152" s="275"/>
      <c r="BD152" s="275"/>
      <c r="BE152" s="275"/>
      <c r="BF152" s="275"/>
      <c r="BG152" s="275"/>
      <c r="BH152" s="436"/>
      <c r="BI152" s="275"/>
      <c r="BJ152" s="275"/>
      <c r="BK152" s="291"/>
      <c r="BL152" s="291"/>
      <c r="BM152" s="275"/>
      <c r="BN152" s="275"/>
      <c r="BO152" s="438"/>
      <c r="BP152" s="436"/>
      <c r="BQ152" s="275"/>
      <c r="BR152" s="275"/>
      <c r="BS152" s="275"/>
      <c r="BT152" s="275"/>
      <c r="BU152" s="275"/>
      <c r="BV152" s="275"/>
      <c r="BW152" s="275"/>
      <c r="BX152" s="438"/>
      <c r="BY152" s="436"/>
      <c r="BZ152" s="275"/>
      <c r="CA152" s="275"/>
      <c r="CB152" s="275"/>
      <c r="CC152" s="275"/>
      <c r="CD152" s="275"/>
      <c r="CE152" s="275"/>
      <c r="CF152" s="275"/>
      <c r="CG152" s="438"/>
      <c r="CH152" s="436"/>
      <c r="CI152" s="275"/>
      <c r="CJ152" s="275"/>
      <c r="CK152" s="275"/>
      <c r="CL152" s="275"/>
      <c r="CM152" s="275"/>
      <c r="CN152" s="275"/>
      <c r="CO152" s="442"/>
      <c r="CP152" s="443"/>
      <c r="CQ152" s="429">
        <f t="shared" si="23"/>
        <v>0</v>
      </c>
      <c r="CR152" s="430"/>
    </row>
    <row r="153" spans="1:96" ht="25.5" customHeight="1" x14ac:dyDescent="0.2">
      <c r="A153" s="410">
        <f t="shared" si="24"/>
        <v>138</v>
      </c>
      <c r="B153" s="280"/>
      <c r="C153" s="280"/>
      <c r="D153" s="411"/>
      <c r="E153" s="254"/>
      <c r="F153" s="277"/>
      <c r="G153" s="450"/>
      <c r="H153" s="451"/>
      <c r="I153" s="433" t="str">
        <f t="shared" si="18"/>
        <v/>
      </c>
      <c r="J153" s="434">
        <f t="shared" si="19"/>
        <v>0</v>
      </c>
      <c r="K153" s="279"/>
      <c r="L153" s="276"/>
      <c r="M153" s="435"/>
      <c r="N153" s="417" t="str">
        <f t="shared" si="20"/>
        <v/>
      </c>
      <c r="O153" s="418" t="str">
        <f>IF('Data Set up'!$G$40="JUNE",IF(OR($N153=7,$N153=8,$N153=9),1,IF(OR($N153=10,$N153=11,$N153=12),2,IF(OR($N153=1,$N153=2,$N153=3),3,IF(OR($N153=4,$N153=5,$N153=6),4,"")))),IF(OR($N153=9,$N153=10,$N153=11),1,IF(OR($N153=12,$N153=1,$N153=2),2,IF(OR($N153=3,$N153=4,$N153=5),3,IF(OR($N153=6,$N153=7,$N153=8),4,"")))))</f>
        <v/>
      </c>
      <c r="P153" s="445"/>
      <c r="Q153" s="291"/>
      <c r="R153" s="291"/>
      <c r="S153" s="275"/>
      <c r="T153" s="275"/>
      <c r="U153" s="275"/>
      <c r="V153" s="275"/>
      <c r="W153" s="275"/>
      <c r="X153" s="275"/>
      <c r="Y153" s="275"/>
      <c r="Z153" s="275"/>
      <c r="AA153" s="275"/>
      <c r="AB153" s="275"/>
      <c r="AC153" s="275"/>
      <c r="AD153" s="275"/>
      <c r="AE153" s="275"/>
      <c r="AF153" s="275"/>
      <c r="AG153" s="275"/>
      <c r="AH153" s="438"/>
      <c r="AI153" s="439">
        <f t="shared" si="21"/>
        <v>0</v>
      </c>
      <c r="AJ153" s="263"/>
      <c r="AK153" s="263"/>
      <c r="AL153" s="263"/>
      <c r="AM153" s="263"/>
      <c r="AN153" s="263"/>
      <c r="AO153" s="263"/>
      <c r="AP153" s="263"/>
      <c r="AQ153" s="436"/>
      <c r="AR153" s="275"/>
      <c r="AS153" s="275"/>
      <c r="AT153" s="275"/>
      <c r="AU153" s="275"/>
      <c r="AV153" s="275"/>
      <c r="AW153" s="275"/>
      <c r="AX153" s="275"/>
      <c r="AY153" s="437"/>
      <c r="AZ153" s="440">
        <f t="shared" si="22"/>
        <v>0</v>
      </c>
      <c r="BA153" s="275"/>
      <c r="BB153" s="275"/>
      <c r="BC153" s="275"/>
      <c r="BD153" s="275"/>
      <c r="BE153" s="275"/>
      <c r="BF153" s="275"/>
      <c r="BG153" s="275"/>
      <c r="BH153" s="436"/>
      <c r="BI153" s="275"/>
      <c r="BJ153" s="275"/>
      <c r="BK153" s="291"/>
      <c r="BL153" s="291"/>
      <c r="BM153" s="275"/>
      <c r="BN153" s="275"/>
      <c r="BO153" s="438"/>
      <c r="BP153" s="436"/>
      <c r="BQ153" s="275"/>
      <c r="BR153" s="275"/>
      <c r="BS153" s="275"/>
      <c r="BT153" s="275"/>
      <c r="BU153" s="275"/>
      <c r="BV153" s="275"/>
      <c r="BW153" s="275"/>
      <c r="BX153" s="438"/>
      <c r="BY153" s="436"/>
      <c r="BZ153" s="275"/>
      <c r="CA153" s="275"/>
      <c r="CB153" s="275"/>
      <c r="CC153" s="275"/>
      <c r="CD153" s="275"/>
      <c r="CE153" s="275"/>
      <c r="CF153" s="275"/>
      <c r="CG153" s="438"/>
      <c r="CH153" s="436"/>
      <c r="CI153" s="275"/>
      <c r="CJ153" s="275"/>
      <c r="CK153" s="275"/>
      <c r="CL153" s="275"/>
      <c r="CM153" s="275"/>
      <c r="CN153" s="275"/>
      <c r="CO153" s="442"/>
      <c r="CP153" s="443"/>
      <c r="CQ153" s="429">
        <f t="shared" si="23"/>
        <v>0</v>
      </c>
      <c r="CR153" s="430"/>
    </row>
    <row r="154" spans="1:96" ht="25.5" customHeight="1" x14ac:dyDescent="0.2">
      <c r="A154" s="410">
        <f t="shared" si="24"/>
        <v>139</v>
      </c>
      <c r="B154" s="280"/>
      <c r="C154" s="280"/>
      <c r="D154" s="411"/>
      <c r="E154" s="254"/>
      <c r="F154" s="277"/>
      <c r="G154" s="450"/>
      <c r="H154" s="451"/>
      <c r="I154" s="433" t="str">
        <f t="shared" si="18"/>
        <v/>
      </c>
      <c r="J154" s="434">
        <f t="shared" si="19"/>
        <v>0</v>
      </c>
      <c r="K154" s="279"/>
      <c r="L154" s="276"/>
      <c r="M154" s="435"/>
      <c r="N154" s="417" t="str">
        <f t="shared" si="20"/>
        <v/>
      </c>
      <c r="O154" s="418" t="str">
        <f>IF('Data Set up'!$G$40="JUNE",IF(OR($N154=7,$N154=8,$N154=9),1,IF(OR($N154=10,$N154=11,$N154=12),2,IF(OR($N154=1,$N154=2,$N154=3),3,IF(OR($N154=4,$N154=5,$N154=6),4,"")))),IF(OR($N154=9,$N154=10,$N154=11),1,IF(OR($N154=12,$N154=1,$N154=2),2,IF(OR($N154=3,$N154=4,$N154=5),3,IF(OR($N154=6,$N154=7,$N154=8),4,"")))))</f>
        <v/>
      </c>
      <c r="P154" s="445"/>
      <c r="Q154" s="291"/>
      <c r="R154" s="291"/>
      <c r="S154" s="275"/>
      <c r="T154" s="275"/>
      <c r="U154" s="275"/>
      <c r="V154" s="275"/>
      <c r="W154" s="275"/>
      <c r="X154" s="275"/>
      <c r="Y154" s="275"/>
      <c r="Z154" s="275"/>
      <c r="AA154" s="275"/>
      <c r="AB154" s="275"/>
      <c r="AC154" s="275"/>
      <c r="AD154" s="275"/>
      <c r="AE154" s="275"/>
      <c r="AF154" s="275"/>
      <c r="AG154" s="275"/>
      <c r="AH154" s="438"/>
      <c r="AI154" s="439">
        <f t="shared" si="21"/>
        <v>0</v>
      </c>
      <c r="AJ154" s="263"/>
      <c r="AK154" s="263"/>
      <c r="AL154" s="263"/>
      <c r="AM154" s="263"/>
      <c r="AN154" s="263"/>
      <c r="AO154" s="263"/>
      <c r="AP154" s="263"/>
      <c r="AQ154" s="436"/>
      <c r="AR154" s="275"/>
      <c r="AS154" s="275"/>
      <c r="AT154" s="275"/>
      <c r="AU154" s="275"/>
      <c r="AV154" s="275"/>
      <c r="AW154" s="275"/>
      <c r="AX154" s="275"/>
      <c r="AY154" s="437"/>
      <c r="AZ154" s="440">
        <f t="shared" si="22"/>
        <v>0</v>
      </c>
      <c r="BA154" s="275"/>
      <c r="BB154" s="275"/>
      <c r="BC154" s="275"/>
      <c r="BD154" s="275"/>
      <c r="BE154" s="275"/>
      <c r="BF154" s="275"/>
      <c r="BG154" s="275"/>
      <c r="BH154" s="436"/>
      <c r="BI154" s="275"/>
      <c r="BJ154" s="275"/>
      <c r="BK154" s="291"/>
      <c r="BL154" s="291"/>
      <c r="BM154" s="275"/>
      <c r="BN154" s="275"/>
      <c r="BO154" s="438"/>
      <c r="BP154" s="436"/>
      <c r="BQ154" s="275"/>
      <c r="BR154" s="275"/>
      <c r="BS154" s="275"/>
      <c r="BT154" s="275"/>
      <c r="BU154" s="275"/>
      <c r="BV154" s="275"/>
      <c r="BW154" s="275"/>
      <c r="BX154" s="438"/>
      <c r="BY154" s="436"/>
      <c r="BZ154" s="275"/>
      <c r="CA154" s="275"/>
      <c r="CB154" s="275"/>
      <c r="CC154" s="275"/>
      <c r="CD154" s="275"/>
      <c r="CE154" s="275"/>
      <c r="CF154" s="275"/>
      <c r="CG154" s="438"/>
      <c r="CH154" s="436"/>
      <c r="CI154" s="275"/>
      <c r="CJ154" s="275"/>
      <c r="CK154" s="275"/>
      <c r="CL154" s="275"/>
      <c r="CM154" s="275"/>
      <c r="CN154" s="275"/>
      <c r="CO154" s="442"/>
      <c r="CP154" s="443"/>
      <c r="CQ154" s="429">
        <f t="shared" si="23"/>
        <v>0</v>
      </c>
      <c r="CR154" s="430"/>
    </row>
    <row r="155" spans="1:96" ht="25.5" customHeight="1" x14ac:dyDescent="0.2">
      <c r="A155" s="410">
        <f t="shared" si="24"/>
        <v>140</v>
      </c>
      <c r="B155" s="280"/>
      <c r="C155" s="280"/>
      <c r="D155" s="411"/>
      <c r="E155" s="254"/>
      <c r="F155" s="277"/>
      <c r="G155" s="450"/>
      <c r="H155" s="451"/>
      <c r="I155" s="433" t="str">
        <f t="shared" si="18"/>
        <v/>
      </c>
      <c r="J155" s="434">
        <f t="shared" si="19"/>
        <v>0</v>
      </c>
      <c r="K155" s="279"/>
      <c r="L155" s="276"/>
      <c r="M155" s="435"/>
      <c r="N155" s="417" t="str">
        <f t="shared" si="20"/>
        <v/>
      </c>
      <c r="O155" s="418" t="str">
        <f>IF('Data Set up'!$G$40="JUNE",IF(OR($N155=7,$N155=8,$N155=9),1,IF(OR($N155=10,$N155=11,$N155=12),2,IF(OR($N155=1,$N155=2,$N155=3),3,IF(OR($N155=4,$N155=5,$N155=6),4,"")))),IF(OR($N155=9,$N155=10,$N155=11),1,IF(OR($N155=12,$N155=1,$N155=2),2,IF(OR($N155=3,$N155=4,$N155=5),3,IF(OR($N155=6,$N155=7,$N155=8),4,"")))))</f>
        <v/>
      </c>
      <c r="P155" s="445"/>
      <c r="Q155" s="291"/>
      <c r="R155" s="291"/>
      <c r="S155" s="275"/>
      <c r="T155" s="275"/>
      <c r="U155" s="275"/>
      <c r="V155" s="275"/>
      <c r="W155" s="275"/>
      <c r="X155" s="275"/>
      <c r="Y155" s="275"/>
      <c r="Z155" s="275"/>
      <c r="AA155" s="275"/>
      <c r="AB155" s="275"/>
      <c r="AC155" s="275"/>
      <c r="AD155" s="275"/>
      <c r="AE155" s="275"/>
      <c r="AF155" s="275"/>
      <c r="AG155" s="275"/>
      <c r="AH155" s="438"/>
      <c r="AI155" s="439">
        <f t="shared" si="21"/>
        <v>0</v>
      </c>
      <c r="AJ155" s="263"/>
      <c r="AK155" s="263"/>
      <c r="AL155" s="263"/>
      <c r="AM155" s="263"/>
      <c r="AN155" s="263"/>
      <c r="AO155" s="263"/>
      <c r="AP155" s="263"/>
      <c r="AQ155" s="436"/>
      <c r="AR155" s="275"/>
      <c r="AS155" s="275"/>
      <c r="AT155" s="275"/>
      <c r="AU155" s="275"/>
      <c r="AV155" s="275"/>
      <c r="AW155" s="275"/>
      <c r="AX155" s="275"/>
      <c r="AY155" s="437"/>
      <c r="AZ155" s="440">
        <f t="shared" si="22"/>
        <v>0</v>
      </c>
      <c r="BA155" s="275"/>
      <c r="BB155" s="275"/>
      <c r="BC155" s="275"/>
      <c r="BD155" s="275"/>
      <c r="BE155" s="275"/>
      <c r="BF155" s="275"/>
      <c r="BG155" s="275"/>
      <c r="BH155" s="436"/>
      <c r="BI155" s="275"/>
      <c r="BJ155" s="275"/>
      <c r="BK155" s="291"/>
      <c r="BL155" s="291"/>
      <c r="BM155" s="275"/>
      <c r="BN155" s="275"/>
      <c r="BO155" s="438"/>
      <c r="BP155" s="436"/>
      <c r="BQ155" s="275"/>
      <c r="BR155" s="275"/>
      <c r="BS155" s="275"/>
      <c r="BT155" s="275"/>
      <c r="BU155" s="275"/>
      <c r="BV155" s="275"/>
      <c r="BW155" s="275"/>
      <c r="BX155" s="438"/>
      <c r="BY155" s="436"/>
      <c r="BZ155" s="275"/>
      <c r="CA155" s="275"/>
      <c r="CB155" s="275"/>
      <c r="CC155" s="275"/>
      <c r="CD155" s="275"/>
      <c r="CE155" s="275"/>
      <c r="CF155" s="275"/>
      <c r="CG155" s="438"/>
      <c r="CH155" s="436"/>
      <c r="CI155" s="275"/>
      <c r="CJ155" s="275"/>
      <c r="CK155" s="275"/>
      <c r="CL155" s="275"/>
      <c r="CM155" s="275"/>
      <c r="CN155" s="275"/>
      <c r="CO155" s="442"/>
      <c r="CP155" s="443"/>
      <c r="CQ155" s="429">
        <f t="shared" si="23"/>
        <v>0</v>
      </c>
      <c r="CR155" s="430"/>
    </row>
    <row r="156" spans="1:96" ht="25.5" customHeight="1" x14ac:dyDescent="0.2">
      <c r="A156" s="410">
        <f t="shared" si="24"/>
        <v>141</v>
      </c>
      <c r="B156" s="280"/>
      <c r="C156" s="280"/>
      <c r="D156" s="411"/>
      <c r="E156" s="254"/>
      <c r="F156" s="277"/>
      <c r="G156" s="450"/>
      <c r="H156" s="451"/>
      <c r="I156" s="433" t="str">
        <f t="shared" si="18"/>
        <v/>
      </c>
      <c r="J156" s="434">
        <f t="shared" si="19"/>
        <v>0</v>
      </c>
      <c r="K156" s="279"/>
      <c r="L156" s="276"/>
      <c r="M156" s="435"/>
      <c r="N156" s="417" t="str">
        <f t="shared" si="20"/>
        <v/>
      </c>
      <c r="O156" s="418" t="str">
        <f>IF('Data Set up'!$G$40="JUNE",IF(OR($N156=7,$N156=8,$N156=9),1,IF(OR($N156=10,$N156=11,$N156=12),2,IF(OR($N156=1,$N156=2,$N156=3),3,IF(OR($N156=4,$N156=5,$N156=6),4,"")))),IF(OR($N156=9,$N156=10,$N156=11),1,IF(OR($N156=12,$N156=1,$N156=2),2,IF(OR($N156=3,$N156=4,$N156=5),3,IF(OR($N156=6,$N156=7,$N156=8),4,"")))))</f>
        <v/>
      </c>
      <c r="P156" s="445"/>
      <c r="Q156" s="291"/>
      <c r="R156" s="291"/>
      <c r="S156" s="275"/>
      <c r="T156" s="275"/>
      <c r="U156" s="275"/>
      <c r="V156" s="275"/>
      <c r="W156" s="275"/>
      <c r="X156" s="275"/>
      <c r="Y156" s="275"/>
      <c r="Z156" s="275"/>
      <c r="AA156" s="275"/>
      <c r="AB156" s="275"/>
      <c r="AC156" s="275"/>
      <c r="AD156" s="275"/>
      <c r="AE156" s="275"/>
      <c r="AF156" s="275"/>
      <c r="AG156" s="275"/>
      <c r="AH156" s="438"/>
      <c r="AI156" s="439">
        <f t="shared" si="21"/>
        <v>0</v>
      </c>
      <c r="AJ156" s="263"/>
      <c r="AK156" s="263"/>
      <c r="AL156" s="263"/>
      <c r="AM156" s="263"/>
      <c r="AN156" s="263"/>
      <c r="AO156" s="263"/>
      <c r="AP156" s="263"/>
      <c r="AQ156" s="436"/>
      <c r="AR156" s="275"/>
      <c r="AS156" s="275"/>
      <c r="AT156" s="275"/>
      <c r="AU156" s="275"/>
      <c r="AV156" s="275"/>
      <c r="AW156" s="275"/>
      <c r="AX156" s="275"/>
      <c r="AY156" s="437"/>
      <c r="AZ156" s="440">
        <f t="shared" si="22"/>
        <v>0</v>
      </c>
      <c r="BA156" s="275"/>
      <c r="BB156" s="275"/>
      <c r="BC156" s="275"/>
      <c r="BD156" s="275"/>
      <c r="BE156" s="275"/>
      <c r="BF156" s="275"/>
      <c r="BG156" s="275"/>
      <c r="BH156" s="436"/>
      <c r="BI156" s="275"/>
      <c r="BJ156" s="275"/>
      <c r="BK156" s="291"/>
      <c r="BL156" s="291"/>
      <c r="BM156" s="275"/>
      <c r="BN156" s="275"/>
      <c r="BO156" s="438"/>
      <c r="BP156" s="436"/>
      <c r="BQ156" s="275"/>
      <c r="BR156" s="275"/>
      <c r="BS156" s="275"/>
      <c r="BT156" s="275"/>
      <c r="BU156" s="275"/>
      <c r="BV156" s="275"/>
      <c r="BW156" s="275"/>
      <c r="BX156" s="438"/>
      <c r="BY156" s="436"/>
      <c r="BZ156" s="275"/>
      <c r="CA156" s="275"/>
      <c r="CB156" s="275"/>
      <c r="CC156" s="275"/>
      <c r="CD156" s="275"/>
      <c r="CE156" s="275"/>
      <c r="CF156" s="275"/>
      <c r="CG156" s="438"/>
      <c r="CH156" s="436"/>
      <c r="CI156" s="275"/>
      <c r="CJ156" s="275"/>
      <c r="CK156" s="275"/>
      <c r="CL156" s="275"/>
      <c r="CM156" s="275"/>
      <c r="CN156" s="275"/>
      <c r="CO156" s="442"/>
      <c r="CP156" s="443"/>
      <c r="CQ156" s="429">
        <f t="shared" si="23"/>
        <v>0</v>
      </c>
      <c r="CR156" s="430"/>
    </row>
    <row r="157" spans="1:96" ht="25.5" customHeight="1" x14ac:dyDescent="0.2">
      <c r="A157" s="410">
        <f t="shared" si="24"/>
        <v>142</v>
      </c>
      <c r="B157" s="280"/>
      <c r="C157" s="280"/>
      <c r="D157" s="411"/>
      <c r="E157" s="254"/>
      <c r="F157" s="277"/>
      <c r="G157" s="450"/>
      <c r="H157" s="451"/>
      <c r="I157" s="433" t="str">
        <f t="shared" si="18"/>
        <v/>
      </c>
      <c r="J157" s="434">
        <f t="shared" si="19"/>
        <v>0</v>
      </c>
      <c r="K157" s="279"/>
      <c r="L157" s="276"/>
      <c r="M157" s="435"/>
      <c r="N157" s="417" t="str">
        <f t="shared" si="20"/>
        <v/>
      </c>
      <c r="O157" s="418" t="str">
        <f>IF('Data Set up'!$G$40="JUNE",IF(OR($N157=7,$N157=8,$N157=9),1,IF(OR($N157=10,$N157=11,$N157=12),2,IF(OR($N157=1,$N157=2,$N157=3),3,IF(OR($N157=4,$N157=5,$N157=6),4,"")))),IF(OR($N157=9,$N157=10,$N157=11),1,IF(OR($N157=12,$N157=1,$N157=2),2,IF(OR($N157=3,$N157=4,$N157=5),3,IF(OR($N157=6,$N157=7,$N157=8),4,"")))))</f>
        <v/>
      </c>
      <c r="P157" s="445"/>
      <c r="Q157" s="291"/>
      <c r="R157" s="291"/>
      <c r="S157" s="275"/>
      <c r="T157" s="275"/>
      <c r="U157" s="275"/>
      <c r="V157" s="275"/>
      <c r="W157" s="275"/>
      <c r="X157" s="275"/>
      <c r="Y157" s="275"/>
      <c r="Z157" s="275"/>
      <c r="AA157" s="275"/>
      <c r="AB157" s="275"/>
      <c r="AC157" s="275"/>
      <c r="AD157" s="275"/>
      <c r="AE157" s="275"/>
      <c r="AF157" s="275"/>
      <c r="AG157" s="275"/>
      <c r="AH157" s="438"/>
      <c r="AI157" s="439">
        <f t="shared" si="21"/>
        <v>0</v>
      </c>
      <c r="AJ157" s="263"/>
      <c r="AK157" s="263"/>
      <c r="AL157" s="263"/>
      <c r="AM157" s="263"/>
      <c r="AN157" s="263"/>
      <c r="AO157" s="263"/>
      <c r="AP157" s="263"/>
      <c r="AQ157" s="436"/>
      <c r="AR157" s="275"/>
      <c r="AS157" s="275"/>
      <c r="AT157" s="275"/>
      <c r="AU157" s="275"/>
      <c r="AV157" s="275"/>
      <c r="AW157" s="275"/>
      <c r="AX157" s="275"/>
      <c r="AY157" s="437"/>
      <c r="AZ157" s="440">
        <f t="shared" si="22"/>
        <v>0</v>
      </c>
      <c r="BA157" s="275"/>
      <c r="BB157" s="275"/>
      <c r="BC157" s="275"/>
      <c r="BD157" s="275"/>
      <c r="BE157" s="275"/>
      <c r="BF157" s="275"/>
      <c r="BG157" s="275"/>
      <c r="BH157" s="436"/>
      <c r="BI157" s="275"/>
      <c r="BJ157" s="275"/>
      <c r="BK157" s="291"/>
      <c r="BL157" s="291"/>
      <c r="BM157" s="275"/>
      <c r="BN157" s="275"/>
      <c r="BO157" s="438"/>
      <c r="BP157" s="436"/>
      <c r="BQ157" s="275"/>
      <c r="BR157" s="275"/>
      <c r="BS157" s="275"/>
      <c r="BT157" s="275"/>
      <c r="BU157" s="275"/>
      <c r="BV157" s="275"/>
      <c r="BW157" s="275"/>
      <c r="BX157" s="438"/>
      <c r="BY157" s="436"/>
      <c r="BZ157" s="275"/>
      <c r="CA157" s="275"/>
      <c r="CB157" s="275"/>
      <c r="CC157" s="275"/>
      <c r="CD157" s="275"/>
      <c r="CE157" s="275"/>
      <c r="CF157" s="275"/>
      <c r="CG157" s="438"/>
      <c r="CH157" s="436"/>
      <c r="CI157" s="275"/>
      <c r="CJ157" s="275"/>
      <c r="CK157" s="275"/>
      <c r="CL157" s="275"/>
      <c r="CM157" s="275"/>
      <c r="CN157" s="275"/>
      <c r="CO157" s="442"/>
      <c r="CP157" s="443"/>
      <c r="CQ157" s="429">
        <f t="shared" si="23"/>
        <v>0</v>
      </c>
      <c r="CR157" s="430"/>
    </row>
    <row r="158" spans="1:96" ht="25.5" customHeight="1" x14ac:dyDescent="0.2">
      <c r="A158" s="410">
        <f t="shared" si="24"/>
        <v>143</v>
      </c>
      <c r="B158" s="280"/>
      <c r="C158" s="280"/>
      <c r="D158" s="411"/>
      <c r="E158" s="254"/>
      <c r="F158" s="277"/>
      <c r="G158" s="450"/>
      <c r="H158" s="451"/>
      <c r="I158" s="433" t="str">
        <f t="shared" si="18"/>
        <v/>
      </c>
      <c r="J158" s="434">
        <f t="shared" si="19"/>
        <v>0</v>
      </c>
      <c r="K158" s="279"/>
      <c r="L158" s="276"/>
      <c r="M158" s="435"/>
      <c r="N158" s="417" t="str">
        <f t="shared" si="20"/>
        <v/>
      </c>
      <c r="O158" s="418" t="str">
        <f>IF('Data Set up'!$G$40="JUNE",IF(OR($N158=7,$N158=8,$N158=9),1,IF(OR($N158=10,$N158=11,$N158=12),2,IF(OR($N158=1,$N158=2,$N158=3),3,IF(OR($N158=4,$N158=5,$N158=6),4,"")))),IF(OR($N158=9,$N158=10,$N158=11),1,IF(OR($N158=12,$N158=1,$N158=2),2,IF(OR($N158=3,$N158=4,$N158=5),3,IF(OR($N158=6,$N158=7,$N158=8),4,"")))))</f>
        <v/>
      </c>
      <c r="P158" s="445"/>
      <c r="Q158" s="291"/>
      <c r="R158" s="291"/>
      <c r="S158" s="275"/>
      <c r="T158" s="275"/>
      <c r="U158" s="275"/>
      <c r="V158" s="275"/>
      <c r="W158" s="275"/>
      <c r="X158" s="275"/>
      <c r="Y158" s="275"/>
      <c r="Z158" s="275"/>
      <c r="AA158" s="275"/>
      <c r="AB158" s="275"/>
      <c r="AC158" s="275"/>
      <c r="AD158" s="275"/>
      <c r="AE158" s="275"/>
      <c r="AF158" s="275"/>
      <c r="AG158" s="275"/>
      <c r="AH158" s="438"/>
      <c r="AI158" s="439">
        <f t="shared" si="21"/>
        <v>0</v>
      </c>
      <c r="AJ158" s="263"/>
      <c r="AK158" s="263"/>
      <c r="AL158" s="263"/>
      <c r="AM158" s="263"/>
      <c r="AN158" s="263"/>
      <c r="AO158" s="263"/>
      <c r="AP158" s="263"/>
      <c r="AQ158" s="436"/>
      <c r="AR158" s="275"/>
      <c r="AS158" s="275"/>
      <c r="AT158" s="275"/>
      <c r="AU158" s="275"/>
      <c r="AV158" s="275"/>
      <c r="AW158" s="275"/>
      <c r="AX158" s="275"/>
      <c r="AY158" s="437"/>
      <c r="AZ158" s="440">
        <f t="shared" si="22"/>
        <v>0</v>
      </c>
      <c r="BA158" s="275"/>
      <c r="BB158" s="275"/>
      <c r="BC158" s="275"/>
      <c r="BD158" s="275"/>
      <c r="BE158" s="275"/>
      <c r="BF158" s="275"/>
      <c r="BG158" s="275"/>
      <c r="BH158" s="436"/>
      <c r="BI158" s="275"/>
      <c r="BJ158" s="275"/>
      <c r="BK158" s="291"/>
      <c r="BL158" s="291"/>
      <c r="BM158" s="275"/>
      <c r="BN158" s="275"/>
      <c r="BO158" s="438"/>
      <c r="BP158" s="436"/>
      <c r="BQ158" s="275"/>
      <c r="BR158" s="275"/>
      <c r="BS158" s="275"/>
      <c r="BT158" s="275"/>
      <c r="BU158" s="275"/>
      <c r="BV158" s="275"/>
      <c r="BW158" s="275"/>
      <c r="BX158" s="438"/>
      <c r="BY158" s="436"/>
      <c r="BZ158" s="275"/>
      <c r="CA158" s="275"/>
      <c r="CB158" s="275"/>
      <c r="CC158" s="275"/>
      <c r="CD158" s="275"/>
      <c r="CE158" s="275"/>
      <c r="CF158" s="275"/>
      <c r="CG158" s="438"/>
      <c r="CH158" s="436"/>
      <c r="CI158" s="275"/>
      <c r="CJ158" s="275"/>
      <c r="CK158" s="275"/>
      <c r="CL158" s="275"/>
      <c r="CM158" s="275"/>
      <c r="CN158" s="275"/>
      <c r="CO158" s="442"/>
      <c r="CP158" s="443"/>
      <c r="CQ158" s="429">
        <f t="shared" si="23"/>
        <v>0</v>
      </c>
      <c r="CR158" s="430"/>
    </row>
    <row r="159" spans="1:96" ht="25.5" customHeight="1" x14ac:dyDescent="0.2">
      <c r="A159" s="410">
        <f t="shared" si="24"/>
        <v>144</v>
      </c>
      <c r="B159" s="280"/>
      <c r="C159" s="280"/>
      <c r="D159" s="411"/>
      <c r="E159" s="254"/>
      <c r="F159" s="277"/>
      <c r="G159" s="450"/>
      <c r="H159" s="451"/>
      <c r="I159" s="433" t="str">
        <f t="shared" si="18"/>
        <v/>
      </c>
      <c r="J159" s="434">
        <f t="shared" si="19"/>
        <v>0</v>
      </c>
      <c r="K159" s="279"/>
      <c r="L159" s="276"/>
      <c r="M159" s="435"/>
      <c r="N159" s="417" t="str">
        <f t="shared" si="20"/>
        <v/>
      </c>
      <c r="O159" s="418" t="str">
        <f>IF('Data Set up'!$G$40="JUNE",IF(OR($N159=7,$N159=8,$N159=9),1,IF(OR($N159=10,$N159=11,$N159=12),2,IF(OR($N159=1,$N159=2,$N159=3),3,IF(OR($N159=4,$N159=5,$N159=6),4,"")))),IF(OR($N159=9,$N159=10,$N159=11),1,IF(OR($N159=12,$N159=1,$N159=2),2,IF(OR($N159=3,$N159=4,$N159=5),3,IF(OR($N159=6,$N159=7,$N159=8),4,"")))))</f>
        <v/>
      </c>
      <c r="P159" s="445"/>
      <c r="Q159" s="291"/>
      <c r="R159" s="291"/>
      <c r="S159" s="275"/>
      <c r="T159" s="275"/>
      <c r="U159" s="275"/>
      <c r="V159" s="275"/>
      <c r="W159" s="275"/>
      <c r="X159" s="275"/>
      <c r="Y159" s="275"/>
      <c r="Z159" s="275"/>
      <c r="AA159" s="275"/>
      <c r="AB159" s="275"/>
      <c r="AC159" s="275"/>
      <c r="AD159" s="275"/>
      <c r="AE159" s="275"/>
      <c r="AF159" s="275"/>
      <c r="AG159" s="275"/>
      <c r="AH159" s="438"/>
      <c r="AI159" s="439">
        <f t="shared" si="21"/>
        <v>0</v>
      </c>
      <c r="AJ159" s="263"/>
      <c r="AK159" s="263"/>
      <c r="AL159" s="263"/>
      <c r="AM159" s="263"/>
      <c r="AN159" s="263"/>
      <c r="AO159" s="263"/>
      <c r="AP159" s="263"/>
      <c r="AQ159" s="436"/>
      <c r="AR159" s="275"/>
      <c r="AS159" s="275"/>
      <c r="AT159" s="275"/>
      <c r="AU159" s="275"/>
      <c r="AV159" s="275"/>
      <c r="AW159" s="275"/>
      <c r="AX159" s="275"/>
      <c r="AY159" s="437"/>
      <c r="AZ159" s="440">
        <f t="shared" si="22"/>
        <v>0</v>
      </c>
      <c r="BA159" s="275"/>
      <c r="BB159" s="275"/>
      <c r="BC159" s="275"/>
      <c r="BD159" s="275"/>
      <c r="BE159" s="275"/>
      <c r="BF159" s="275"/>
      <c r="BG159" s="275"/>
      <c r="BH159" s="436"/>
      <c r="BI159" s="275"/>
      <c r="BJ159" s="275"/>
      <c r="BK159" s="291"/>
      <c r="BL159" s="291"/>
      <c r="BM159" s="275"/>
      <c r="BN159" s="275"/>
      <c r="BO159" s="438"/>
      <c r="BP159" s="436"/>
      <c r="BQ159" s="275"/>
      <c r="BR159" s="275"/>
      <c r="BS159" s="275"/>
      <c r="BT159" s="275"/>
      <c r="BU159" s="275"/>
      <c r="BV159" s="275"/>
      <c r="BW159" s="275"/>
      <c r="BX159" s="438"/>
      <c r="BY159" s="436"/>
      <c r="BZ159" s="275"/>
      <c r="CA159" s="275"/>
      <c r="CB159" s="275"/>
      <c r="CC159" s="275"/>
      <c r="CD159" s="275"/>
      <c r="CE159" s="275"/>
      <c r="CF159" s="275"/>
      <c r="CG159" s="438"/>
      <c r="CH159" s="436"/>
      <c r="CI159" s="275"/>
      <c r="CJ159" s="275"/>
      <c r="CK159" s="275"/>
      <c r="CL159" s="275"/>
      <c r="CM159" s="275"/>
      <c r="CN159" s="275"/>
      <c r="CO159" s="442"/>
      <c r="CP159" s="443"/>
      <c r="CQ159" s="429">
        <f t="shared" si="23"/>
        <v>0</v>
      </c>
      <c r="CR159" s="430"/>
    </row>
    <row r="160" spans="1:96" ht="25.5" customHeight="1" x14ac:dyDescent="0.2">
      <c r="A160" s="410">
        <f t="shared" si="24"/>
        <v>145</v>
      </c>
      <c r="B160" s="280"/>
      <c r="C160" s="280"/>
      <c r="D160" s="411"/>
      <c r="E160" s="254"/>
      <c r="F160" s="277"/>
      <c r="G160" s="450"/>
      <c r="H160" s="451"/>
      <c r="I160" s="433" t="str">
        <f t="shared" si="18"/>
        <v/>
      </c>
      <c r="J160" s="434">
        <f t="shared" si="19"/>
        <v>0</v>
      </c>
      <c r="K160" s="279"/>
      <c r="L160" s="276"/>
      <c r="M160" s="435"/>
      <c r="N160" s="417" t="str">
        <f t="shared" si="20"/>
        <v/>
      </c>
      <c r="O160" s="418" t="str">
        <f>IF('Data Set up'!$G$40="JUNE",IF(OR($N160=7,$N160=8,$N160=9),1,IF(OR($N160=10,$N160=11,$N160=12),2,IF(OR($N160=1,$N160=2,$N160=3),3,IF(OR($N160=4,$N160=5,$N160=6),4,"")))),IF(OR($N160=9,$N160=10,$N160=11),1,IF(OR($N160=12,$N160=1,$N160=2),2,IF(OR($N160=3,$N160=4,$N160=5),3,IF(OR($N160=6,$N160=7,$N160=8),4,"")))))</f>
        <v/>
      </c>
      <c r="P160" s="445"/>
      <c r="Q160" s="291"/>
      <c r="R160" s="291"/>
      <c r="S160" s="275"/>
      <c r="T160" s="275"/>
      <c r="U160" s="275"/>
      <c r="V160" s="275"/>
      <c r="W160" s="275"/>
      <c r="X160" s="275"/>
      <c r="Y160" s="275"/>
      <c r="Z160" s="275"/>
      <c r="AA160" s="275"/>
      <c r="AB160" s="275"/>
      <c r="AC160" s="275"/>
      <c r="AD160" s="275"/>
      <c r="AE160" s="275"/>
      <c r="AF160" s="275"/>
      <c r="AG160" s="275"/>
      <c r="AH160" s="438"/>
      <c r="AI160" s="439">
        <f t="shared" si="21"/>
        <v>0</v>
      </c>
      <c r="AJ160" s="263"/>
      <c r="AK160" s="263"/>
      <c r="AL160" s="263"/>
      <c r="AM160" s="263"/>
      <c r="AN160" s="263"/>
      <c r="AO160" s="263"/>
      <c r="AP160" s="263"/>
      <c r="AQ160" s="436"/>
      <c r="AR160" s="275"/>
      <c r="AS160" s="275"/>
      <c r="AT160" s="275"/>
      <c r="AU160" s="275"/>
      <c r="AV160" s="275"/>
      <c r="AW160" s="275"/>
      <c r="AX160" s="275"/>
      <c r="AY160" s="437"/>
      <c r="AZ160" s="440">
        <f t="shared" si="22"/>
        <v>0</v>
      </c>
      <c r="BA160" s="275"/>
      <c r="BB160" s="275"/>
      <c r="BC160" s="275"/>
      <c r="BD160" s="275"/>
      <c r="BE160" s="275"/>
      <c r="BF160" s="275"/>
      <c r="BG160" s="275"/>
      <c r="BH160" s="436"/>
      <c r="BI160" s="275"/>
      <c r="BJ160" s="275"/>
      <c r="BK160" s="291"/>
      <c r="BL160" s="291"/>
      <c r="BM160" s="275"/>
      <c r="BN160" s="275"/>
      <c r="BO160" s="438"/>
      <c r="BP160" s="436"/>
      <c r="BQ160" s="275"/>
      <c r="BR160" s="275"/>
      <c r="BS160" s="275"/>
      <c r="BT160" s="275"/>
      <c r="BU160" s="275"/>
      <c r="BV160" s="275"/>
      <c r="BW160" s="275"/>
      <c r="BX160" s="438"/>
      <c r="BY160" s="436"/>
      <c r="BZ160" s="275"/>
      <c r="CA160" s="275"/>
      <c r="CB160" s="275"/>
      <c r="CC160" s="275"/>
      <c r="CD160" s="275"/>
      <c r="CE160" s="275"/>
      <c r="CF160" s="275"/>
      <c r="CG160" s="438"/>
      <c r="CH160" s="436"/>
      <c r="CI160" s="275"/>
      <c r="CJ160" s="275"/>
      <c r="CK160" s="275"/>
      <c r="CL160" s="275"/>
      <c r="CM160" s="275"/>
      <c r="CN160" s="275"/>
      <c r="CO160" s="442"/>
      <c r="CP160" s="443"/>
      <c r="CQ160" s="429">
        <f t="shared" si="23"/>
        <v>0</v>
      </c>
      <c r="CR160" s="430"/>
    </row>
    <row r="161" spans="1:96" ht="25.5" customHeight="1" x14ac:dyDescent="0.2">
      <c r="A161" s="410">
        <f t="shared" si="24"/>
        <v>146</v>
      </c>
      <c r="B161" s="280"/>
      <c r="C161" s="280"/>
      <c r="D161" s="411"/>
      <c r="E161" s="254"/>
      <c r="F161" s="277"/>
      <c r="G161" s="450"/>
      <c r="H161" s="451"/>
      <c r="I161" s="433" t="str">
        <f t="shared" si="18"/>
        <v/>
      </c>
      <c r="J161" s="434">
        <f t="shared" si="19"/>
        <v>0</v>
      </c>
      <c r="K161" s="279"/>
      <c r="L161" s="276"/>
      <c r="M161" s="435"/>
      <c r="N161" s="417" t="str">
        <f t="shared" si="20"/>
        <v/>
      </c>
      <c r="O161" s="418" t="str">
        <f>IF('Data Set up'!$G$40="JUNE",IF(OR($N161=7,$N161=8,$N161=9),1,IF(OR($N161=10,$N161=11,$N161=12),2,IF(OR($N161=1,$N161=2,$N161=3),3,IF(OR($N161=4,$N161=5,$N161=6),4,"")))),IF(OR($N161=9,$N161=10,$N161=11),1,IF(OR($N161=12,$N161=1,$N161=2),2,IF(OR($N161=3,$N161=4,$N161=5),3,IF(OR($N161=6,$N161=7,$N161=8),4,"")))))</f>
        <v/>
      </c>
      <c r="P161" s="445"/>
      <c r="Q161" s="291"/>
      <c r="R161" s="291"/>
      <c r="S161" s="275"/>
      <c r="T161" s="275"/>
      <c r="U161" s="275"/>
      <c r="V161" s="275"/>
      <c r="W161" s="275"/>
      <c r="X161" s="275"/>
      <c r="Y161" s="275"/>
      <c r="Z161" s="275"/>
      <c r="AA161" s="275"/>
      <c r="AB161" s="275"/>
      <c r="AC161" s="275"/>
      <c r="AD161" s="275"/>
      <c r="AE161" s="275"/>
      <c r="AF161" s="275"/>
      <c r="AG161" s="275"/>
      <c r="AH161" s="438"/>
      <c r="AI161" s="439">
        <f t="shared" si="21"/>
        <v>0</v>
      </c>
      <c r="AJ161" s="263"/>
      <c r="AK161" s="263"/>
      <c r="AL161" s="263"/>
      <c r="AM161" s="263"/>
      <c r="AN161" s="263"/>
      <c r="AO161" s="263"/>
      <c r="AP161" s="263"/>
      <c r="AQ161" s="436"/>
      <c r="AR161" s="275"/>
      <c r="AS161" s="275"/>
      <c r="AT161" s="275"/>
      <c r="AU161" s="275"/>
      <c r="AV161" s="275"/>
      <c r="AW161" s="275"/>
      <c r="AX161" s="275"/>
      <c r="AY161" s="437"/>
      <c r="AZ161" s="440">
        <f t="shared" si="22"/>
        <v>0</v>
      </c>
      <c r="BA161" s="275"/>
      <c r="BB161" s="275"/>
      <c r="BC161" s="275"/>
      <c r="BD161" s="275"/>
      <c r="BE161" s="275"/>
      <c r="BF161" s="275"/>
      <c r="BG161" s="275"/>
      <c r="BH161" s="436"/>
      <c r="BI161" s="275"/>
      <c r="BJ161" s="275"/>
      <c r="BK161" s="291"/>
      <c r="BL161" s="291"/>
      <c r="BM161" s="275"/>
      <c r="BN161" s="275"/>
      <c r="BO161" s="438"/>
      <c r="BP161" s="436"/>
      <c r="BQ161" s="275"/>
      <c r="BR161" s="275"/>
      <c r="BS161" s="275"/>
      <c r="BT161" s="275"/>
      <c r="BU161" s="275"/>
      <c r="BV161" s="275"/>
      <c r="BW161" s="275"/>
      <c r="BX161" s="438"/>
      <c r="BY161" s="436"/>
      <c r="BZ161" s="275"/>
      <c r="CA161" s="275"/>
      <c r="CB161" s="275"/>
      <c r="CC161" s="275"/>
      <c r="CD161" s="275"/>
      <c r="CE161" s="275"/>
      <c r="CF161" s="275"/>
      <c r="CG161" s="438"/>
      <c r="CH161" s="436"/>
      <c r="CI161" s="275"/>
      <c r="CJ161" s="275"/>
      <c r="CK161" s="275"/>
      <c r="CL161" s="275"/>
      <c r="CM161" s="275"/>
      <c r="CN161" s="275"/>
      <c r="CO161" s="442"/>
      <c r="CP161" s="443"/>
      <c r="CQ161" s="429">
        <f t="shared" si="23"/>
        <v>0</v>
      </c>
      <c r="CR161" s="430"/>
    </row>
    <row r="162" spans="1:96" ht="25.5" customHeight="1" x14ac:dyDescent="0.2">
      <c r="A162" s="410">
        <f t="shared" si="24"/>
        <v>147</v>
      </c>
      <c r="B162" s="280"/>
      <c r="C162" s="280"/>
      <c r="D162" s="411"/>
      <c r="E162" s="254"/>
      <c r="F162" s="277"/>
      <c r="G162" s="450"/>
      <c r="H162" s="451"/>
      <c r="I162" s="433" t="str">
        <f t="shared" si="18"/>
        <v/>
      </c>
      <c r="J162" s="434">
        <f t="shared" si="19"/>
        <v>0</v>
      </c>
      <c r="K162" s="279"/>
      <c r="L162" s="276"/>
      <c r="M162" s="435"/>
      <c r="N162" s="417" t="str">
        <f t="shared" si="20"/>
        <v/>
      </c>
      <c r="O162" s="418" t="str">
        <f>IF('Data Set up'!$G$40="JUNE",IF(OR($N162=7,$N162=8,$N162=9),1,IF(OR($N162=10,$N162=11,$N162=12),2,IF(OR($N162=1,$N162=2,$N162=3),3,IF(OR($N162=4,$N162=5,$N162=6),4,"")))),IF(OR($N162=9,$N162=10,$N162=11),1,IF(OR($N162=12,$N162=1,$N162=2),2,IF(OR($N162=3,$N162=4,$N162=5),3,IF(OR($N162=6,$N162=7,$N162=8),4,"")))))</f>
        <v/>
      </c>
      <c r="P162" s="445"/>
      <c r="Q162" s="291"/>
      <c r="R162" s="291"/>
      <c r="S162" s="275"/>
      <c r="T162" s="275"/>
      <c r="U162" s="275"/>
      <c r="V162" s="275"/>
      <c r="W162" s="275"/>
      <c r="X162" s="275"/>
      <c r="Y162" s="275"/>
      <c r="Z162" s="275"/>
      <c r="AA162" s="275"/>
      <c r="AB162" s="275"/>
      <c r="AC162" s="275"/>
      <c r="AD162" s="275"/>
      <c r="AE162" s="275"/>
      <c r="AF162" s="275"/>
      <c r="AG162" s="275"/>
      <c r="AH162" s="438"/>
      <c r="AI162" s="439">
        <f t="shared" si="21"/>
        <v>0</v>
      </c>
      <c r="AJ162" s="263"/>
      <c r="AK162" s="263"/>
      <c r="AL162" s="263"/>
      <c r="AM162" s="263"/>
      <c r="AN162" s="263"/>
      <c r="AO162" s="263"/>
      <c r="AP162" s="263"/>
      <c r="AQ162" s="436"/>
      <c r="AR162" s="275"/>
      <c r="AS162" s="275"/>
      <c r="AT162" s="275"/>
      <c r="AU162" s="275"/>
      <c r="AV162" s="275"/>
      <c r="AW162" s="275"/>
      <c r="AX162" s="275"/>
      <c r="AY162" s="437"/>
      <c r="AZ162" s="440">
        <f t="shared" si="22"/>
        <v>0</v>
      </c>
      <c r="BA162" s="275"/>
      <c r="BB162" s="275"/>
      <c r="BC162" s="275"/>
      <c r="BD162" s="275"/>
      <c r="BE162" s="275"/>
      <c r="BF162" s="275"/>
      <c r="BG162" s="275"/>
      <c r="BH162" s="436"/>
      <c r="BI162" s="275"/>
      <c r="BJ162" s="275"/>
      <c r="BK162" s="291"/>
      <c r="BL162" s="291"/>
      <c r="BM162" s="275"/>
      <c r="BN162" s="275"/>
      <c r="BO162" s="438"/>
      <c r="BP162" s="436"/>
      <c r="BQ162" s="275"/>
      <c r="BR162" s="275"/>
      <c r="BS162" s="275"/>
      <c r="BT162" s="275"/>
      <c r="BU162" s="275"/>
      <c r="BV162" s="275"/>
      <c r="BW162" s="275"/>
      <c r="BX162" s="438"/>
      <c r="BY162" s="436"/>
      <c r="BZ162" s="275"/>
      <c r="CA162" s="275"/>
      <c r="CB162" s="275"/>
      <c r="CC162" s="275"/>
      <c r="CD162" s="275"/>
      <c r="CE162" s="275"/>
      <c r="CF162" s="275"/>
      <c r="CG162" s="438"/>
      <c r="CH162" s="436"/>
      <c r="CI162" s="275"/>
      <c r="CJ162" s="275"/>
      <c r="CK162" s="275"/>
      <c r="CL162" s="275"/>
      <c r="CM162" s="275"/>
      <c r="CN162" s="275"/>
      <c r="CO162" s="442"/>
      <c r="CP162" s="443"/>
      <c r="CQ162" s="429">
        <f t="shared" si="23"/>
        <v>0</v>
      </c>
      <c r="CR162" s="430"/>
    </row>
    <row r="163" spans="1:96" ht="25.5" customHeight="1" x14ac:dyDescent="0.2">
      <c r="A163" s="410">
        <f t="shared" si="24"/>
        <v>148</v>
      </c>
      <c r="B163" s="280"/>
      <c r="C163" s="280"/>
      <c r="D163" s="411"/>
      <c r="E163" s="254"/>
      <c r="F163" s="277"/>
      <c r="G163" s="450"/>
      <c r="H163" s="451"/>
      <c r="I163" s="433" t="str">
        <f t="shared" si="18"/>
        <v/>
      </c>
      <c r="J163" s="434">
        <f t="shared" si="19"/>
        <v>0</v>
      </c>
      <c r="K163" s="279"/>
      <c r="L163" s="276"/>
      <c r="M163" s="435"/>
      <c r="N163" s="417" t="str">
        <f t="shared" si="20"/>
        <v/>
      </c>
      <c r="O163" s="418" t="str">
        <f>IF('Data Set up'!$G$40="JUNE",IF(OR($N163=7,$N163=8,$N163=9),1,IF(OR($N163=10,$N163=11,$N163=12),2,IF(OR($N163=1,$N163=2,$N163=3),3,IF(OR($N163=4,$N163=5,$N163=6),4,"")))),IF(OR($N163=9,$N163=10,$N163=11),1,IF(OR($N163=12,$N163=1,$N163=2),2,IF(OR($N163=3,$N163=4,$N163=5),3,IF(OR($N163=6,$N163=7,$N163=8),4,"")))))</f>
        <v/>
      </c>
      <c r="P163" s="445"/>
      <c r="Q163" s="291"/>
      <c r="R163" s="291"/>
      <c r="S163" s="275"/>
      <c r="T163" s="275"/>
      <c r="U163" s="275"/>
      <c r="V163" s="275"/>
      <c r="W163" s="275"/>
      <c r="X163" s="275"/>
      <c r="Y163" s="275"/>
      <c r="Z163" s="275"/>
      <c r="AA163" s="275"/>
      <c r="AB163" s="275"/>
      <c r="AC163" s="275"/>
      <c r="AD163" s="275"/>
      <c r="AE163" s="275"/>
      <c r="AF163" s="275"/>
      <c r="AG163" s="275"/>
      <c r="AH163" s="438"/>
      <c r="AI163" s="439">
        <f t="shared" si="21"/>
        <v>0</v>
      </c>
      <c r="AJ163" s="263"/>
      <c r="AK163" s="263"/>
      <c r="AL163" s="263"/>
      <c r="AM163" s="263"/>
      <c r="AN163" s="263"/>
      <c r="AO163" s="263"/>
      <c r="AP163" s="263"/>
      <c r="AQ163" s="436"/>
      <c r="AR163" s="275"/>
      <c r="AS163" s="275"/>
      <c r="AT163" s="275"/>
      <c r="AU163" s="275"/>
      <c r="AV163" s="275"/>
      <c r="AW163" s="275"/>
      <c r="AX163" s="275"/>
      <c r="AY163" s="437"/>
      <c r="AZ163" s="440">
        <f t="shared" si="22"/>
        <v>0</v>
      </c>
      <c r="BA163" s="275"/>
      <c r="BB163" s="275"/>
      <c r="BC163" s="275"/>
      <c r="BD163" s="275"/>
      <c r="BE163" s="275"/>
      <c r="BF163" s="275"/>
      <c r="BG163" s="275"/>
      <c r="BH163" s="436"/>
      <c r="BI163" s="275"/>
      <c r="BJ163" s="275"/>
      <c r="BK163" s="291"/>
      <c r="BL163" s="291"/>
      <c r="BM163" s="275"/>
      <c r="BN163" s="275"/>
      <c r="BO163" s="438"/>
      <c r="BP163" s="436"/>
      <c r="BQ163" s="275"/>
      <c r="BR163" s="275"/>
      <c r="BS163" s="275"/>
      <c r="BT163" s="275"/>
      <c r="BU163" s="275"/>
      <c r="BV163" s="275"/>
      <c r="BW163" s="275"/>
      <c r="BX163" s="438"/>
      <c r="BY163" s="436"/>
      <c r="BZ163" s="275"/>
      <c r="CA163" s="275"/>
      <c r="CB163" s="275"/>
      <c r="CC163" s="275"/>
      <c r="CD163" s="275"/>
      <c r="CE163" s="275"/>
      <c r="CF163" s="275"/>
      <c r="CG163" s="438"/>
      <c r="CH163" s="436"/>
      <c r="CI163" s="275"/>
      <c r="CJ163" s="275"/>
      <c r="CK163" s="275"/>
      <c r="CL163" s="275"/>
      <c r="CM163" s="275"/>
      <c r="CN163" s="275"/>
      <c r="CO163" s="442"/>
      <c r="CP163" s="443"/>
      <c r="CQ163" s="429">
        <f t="shared" si="23"/>
        <v>0</v>
      </c>
      <c r="CR163" s="430"/>
    </row>
    <row r="164" spans="1:96" ht="25.5" customHeight="1" x14ac:dyDescent="0.2">
      <c r="A164" s="410">
        <f t="shared" si="24"/>
        <v>149</v>
      </c>
      <c r="B164" s="280"/>
      <c r="C164" s="280"/>
      <c r="D164" s="411"/>
      <c r="E164" s="254"/>
      <c r="F164" s="277"/>
      <c r="G164" s="450"/>
      <c r="H164" s="451"/>
      <c r="I164" s="433" t="str">
        <f t="shared" si="18"/>
        <v/>
      </c>
      <c r="J164" s="434">
        <f t="shared" si="19"/>
        <v>0</v>
      </c>
      <c r="K164" s="279"/>
      <c r="L164" s="276"/>
      <c r="M164" s="435"/>
      <c r="N164" s="417" t="str">
        <f t="shared" si="20"/>
        <v/>
      </c>
      <c r="O164" s="418" t="str">
        <f>IF('Data Set up'!$G$40="JUNE",IF(OR($N164=7,$N164=8,$N164=9),1,IF(OR($N164=10,$N164=11,$N164=12),2,IF(OR($N164=1,$N164=2,$N164=3),3,IF(OR($N164=4,$N164=5,$N164=6),4,"")))),IF(OR($N164=9,$N164=10,$N164=11),1,IF(OR($N164=12,$N164=1,$N164=2),2,IF(OR($N164=3,$N164=4,$N164=5),3,IF(OR($N164=6,$N164=7,$N164=8),4,"")))))</f>
        <v/>
      </c>
      <c r="P164" s="445"/>
      <c r="Q164" s="291"/>
      <c r="R164" s="291"/>
      <c r="S164" s="275"/>
      <c r="T164" s="275"/>
      <c r="U164" s="275"/>
      <c r="V164" s="275"/>
      <c r="W164" s="275"/>
      <c r="X164" s="275"/>
      <c r="Y164" s="275"/>
      <c r="Z164" s="275"/>
      <c r="AA164" s="275"/>
      <c r="AB164" s="275"/>
      <c r="AC164" s="275"/>
      <c r="AD164" s="275"/>
      <c r="AE164" s="275"/>
      <c r="AF164" s="275"/>
      <c r="AG164" s="275"/>
      <c r="AH164" s="438"/>
      <c r="AI164" s="439">
        <f t="shared" si="21"/>
        <v>0</v>
      </c>
      <c r="AJ164" s="263"/>
      <c r="AK164" s="263"/>
      <c r="AL164" s="263"/>
      <c r="AM164" s="263"/>
      <c r="AN164" s="263"/>
      <c r="AO164" s="263"/>
      <c r="AP164" s="263"/>
      <c r="AQ164" s="436"/>
      <c r="AR164" s="275"/>
      <c r="AS164" s="275"/>
      <c r="AT164" s="275"/>
      <c r="AU164" s="275"/>
      <c r="AV164" s="275"/>
      <c r="AW164" s="275"/>
      <c r="AX164" s="275"/>
      <c r="AY164" s="437"/>
      <c r="AZ164" s="440">
        <f t="shared" si="22"/>
        <v>0</v>
      </c>
      <c r="BA164" s="275"/>
      <c r="BB164" s="275"/>
      <c r="BC164" s="275"/>
      <c r="BD164" s="275"/>
      <c r="BE164" s="275"/>
      <c r="BF164" s="275"/>
      <c r="BG164" s="275"/>
      <c r="BH164" s="436"/>
      <c r="BI164" s="275"/>
      <c r="BJ164" s="275"/>
      <c r="BK164" s="291"/>
      <c r="BL164" s="291"/>
      <c r="BM164" s="275"/>
      <c r="BN164" s="275"/>
      <c r="BO164" s="438"/>
      <c r="BP164" s="436"/>
      <c r="BQ164" s="275"/>
      <c r="BR164" s="275"/>
      <c r="BS164" s="275"/>
      <c r="BT164" s="275"/>
      <c r="BU164" s="275"/>
      <c r="BV164" s="275"/>
      <c r="BW164" s="275"/>
      <c r="BX164" s="438"/>
      <c r="BY164" s="436"/>
      <c r="BZ164" s="275"/>
      <c r="CA164" s="275"/>
      <c r="CB164" s="275"/>
      <c r="CC164" s="275"/>
      <c r="CD164" s="275"/>
      <c r="CE164" s="275"/>
      <c r="CF164" s="275"/>
      <c r="CG164" s="438"/>
      <c r="CH164" s="436"/>
      <c r="CI164" s="275"/>
      <c r="CJ164" s="275"/>
      <c r="CK164" s="275"/>
      <c r="CL164" s="275"/>
      <c r="CM164" s="275"/>
      <c r="CN164" s="275"/>
      <c r="CO164" s="442"/>
      <c r="CP164" s="443"/>
      <c r="CQ164" s="429">
        <f t="shared" si="23"/>
        <v>0</v>
      </c>
      <c r="CR164" s="430"/>
    </row>
    <row r="165" spans="1:96" ht="25.5" customHeight="1" x14ac:dyDescent="0.2">
      <c r="A165" s="410">
        <f t="shared" si="24"/>
        <v>150</v>
      </c>
      <c r="B165" s="280"/>
      <c r="C165" s="280"/>
      <c r="D165" s="411"/>
      <c r="E165" s="254"/>
      <c r="F165" s="277"/>
      <c r="G165" s="450"/>
      <c r="H165" s="451"/>
      <c r="I165" s="433" t="str">
        <f t="shared" si="18"/>
        <v/>
      </c>
      <c r="J165" s="434">
        <f t="shared" si="19"/>
        <v>0</v>
      </c>
      <c r="K165" s="279"/>
      <c r="L165" s="276"/>
      <c r="M165" s="435"/>
      <c r="N165" s="417" t="str">
        <f t="shared" si="20"/>
        <v/>
      </c>
      <c r="O165" s="418" t="str">
        <f>IF('Data Set up'!$G$40="JUNE",IF(OR($N165=7,$N165=8,$N165=9),1,IF(OR($N165=10,$N165=11,$N165=12),2,IF(OR($N165=1,$N165=2,$N165=3),3,IF(OR($N165=4,$N165=5,$N165=6),4,"")))),IF(OR($N165=9,$N165=10,$N165=11),1,IF(OR($N165=12,$N165=1,$N165=2),2,IF(OR($N165=3,$N165=4,$N165=5),3,IF(OR($N165=6,$N165=7,$N165=8),4,"")))))</f>
        <v/>
      </c>
      <c r="P165" s="445"/>
      <c r="Q165" s="291"/>
      <c r="R165" s="291"/>
      <c r="S165" s="275"/>
      <c r="T165" s="275"/>
      <c r="U165" s="275"/>
      <c r="V165" s="275"/>
      <c r="W165" s="275"/>
      <c r="X165" s="275"/>
      <c r="Y165" s="275"/>
      <c r="Z165" s="275"/>
      <c r="AA165" s="275"/>
      <c r="AB165" s="275"/>
      <c r="AC165" s="275"/>
      <c r="AD165" s="275"/>
      <c r="AE165" s="275"/>
      <c r="AF165" s="275"/>
      <c r="AG165" s="275"/>
      <c r="AH165" s="438"/>
      <c r="AI165" s="439">
        <f t="shared" si="21"/>
        <v>0</v>
      </c>
      <c r="AJ165" s="263"/>
      <c r="AK165" s="263"/>
      <c r="AL165" s="263"/>
      <c r="AM165" s="263"/>
      <c r="AN165" s="263"/>
      <c r="AO165" s="263"/>
      <c r="AP165" s="263"/>
      <c r="AQ165" s="436"/>
      <c r="AR165" s="275"/>
      <c r="AS165" s="275"/>
      <c r="AT165" s="275"/>
      <c r="AU165" s="275"/>
      <c r="AV165" s="275"/>
      <c r="AW165" s="275"/>
      <c r="AX165" s="275"/>
      <c r="AY165" s="437"/>
      <c r="AZ165" s="440">
        <f t="shared" si="22"/>
        <v>0</v>
      </c>
      <c r="BA165" s="275"/>
      <c r="BB165" s="275"/>
      <c r="BC165" s="275"/>
      <c r="BD165" s="275"/>
      <c r="BE165" s="275"/>
      <c r="BF165" s="275"/>
      <c r="BG165" s="275"/>
      <c r="BH165" s="436"/>
      <c r="BI165" s="275"/>
      <c r="BJ165" s="275"/>
      <c r="BK165" s="291"/>
      <c r="BL165" s="291"/>
      <c r="BM165" s="275"/>
      <c r="BN165" s="275"/>
      <c r="BO165" s="438"/>
      <c r="BP165" s="436"/>
      <c r="BQ165" s="275"/>
      <c r="BR165" s="275"/>
      <c r="BS165" s="275"/>
      <c r="BT165" s="275"/>
      <c r="BU165" s="275"/>
      <c r="BV165" s="275"/>
      <c r="BW165" s="275"/>
      <c r="BX165" s="438"/>
      <c r="BY165" s="436"/>
      <c r="BZ165" s="275"/>
      <c r="CA165" s="275"/>
      <c r="CB165" s="275"/>
      <c r="CC165" s="275"/>
      <c r="CD165" s="275"/>
      <c r="CE165" s="275"/>
      <c r="CF165" s="275"/>
      <c r="CG165" s="438"/>
      <c r="CH165" s="436"/>
      <c r="CI165" s="275"/>
      <c r="CJ165" s="275"/>
      <c r="CK165" s="275"/>
      <c r="CL165" s="275"/>
      <c r="CM165" s="275"/>
      <c r="CN165" s="275"/>
      <c r="CO165" s="442"/>
      <c r="CP165" s="443"/>
      <c r="CQ165" s="429">
        <f t="shared" si="23"/>
        <v>0</v>
      </c>
      <c r="CR165" s="430"/>
    </row>
    <row r="166" spans="1:96" ht="25.5" customHeight="1" x14ac:dyDescent="0.2">
      <c r="A166" s="410">
        <f t="shared" si="24"/>
        <v>151</v>
      </c>
      <c r="B166" s="280"/>
      <c r="C166" s="280"/>
      <c r="D166" s="411"/>
      <c r="E166" s="254"/>
      <c r="F166" s="277"/>
      <c r="G166" s="450"/>
      <c r="H166" s="451"/>
      <c r="I166" s="433" t="str">
        <f t="shared" si="18"/>
        <v/>
      </c>
      <c r="J166" s="434">
        <f t="shared" si="19"/>
        <v>0</v>
      </c>
      <c r="K166" s="452"/>
      <c r="L166" s="276"/>
      <c r="M166" s="435"/>
      <c r="N166" s="417" t="str">
        <f t="shared" si="20"/>
        <v/>
      </c>
      <c r="O166" s="418" t="str">
        <f>IF('Data Set up'!$G$40="JUNE",IF(OR($N166=7,$N166=8,$N166=9),1,IF(OR($N166=10,$N166=11,$N166=12),2,IF(OR($N166=1,$N166=2,$N166=3),3,IF(OR($N166=4,$N166=5,$N166=6),4,"")))),IF(OR($N166=9,$N166=10,$N166=11),1,IF(OR($N166=12,$N166=1,$N166=2),2,IF(OR($N166=3,$N166=4,$N166=5),3,IF(OR($N166=6,$N166=7,$N166=8),4,"")))))</f>
        <v/>
      </c>
      <c r="P166" s="445"/>
      <c r="Q166" s="291"/>
      <c r="R166" s="291"/>
      <c r="S166" s="275"/>
      <c r="T166" s="275"/>
      <c r="U166" s="275"/>
      <c r="V166" s="275"/>
      <c r="W166" s="275"/>
      <c r="X166" s="275"/>
      <c r="Y166" s="275"/>
      <c r="Z166" s="275"/>
      <c r="AA166" s="275"/>
      <c r="AB166" s="275"/>
      <c r="AC166" s="275"/>
      <c r="AD166" s="275"/>
      <c r="AE166" s="275"/>
      <c r="AF166" s="275"/>
      <c r="AG166" s="275"/>
      <c r="AH166" s="438"/>
      <c r="AI166" s="439">
        <f t="shared" si="21"/>
        <v>0</v>
      </c>
      <c r="AJ166" s="263"/>
      <c r="AK166" s="263"/>
      <c r="AL166" s="263"/>
      <c r="AM166" s="263"/>
      <c r="AN166" s="263"/>
      <c r="AO166" s="263"/>
      <c r="AP166" s="263"/>
      <c r="AQ166" s="436"/>
      <c r="AR166" s="275"/>
      <c r="AS166" s="275"/>
      <c r="AT166" s="275"/>
      <c r="AU166" s="275"/>
      <c r="AV166" s="275"/>
      <c r="AW166" s="275"/>
      <c r="AX166" s="275"/>
      <c r="AY166" s="437"/>
      <c r="AZ166" s="440">
        <f t="shared" si="22"/>
        <v>0</v>
      </c>
      <c r="BA166" s="275"/>
      <c r="BB166" s="275"/>
      <c r="BC166" s="275"/>
      <c r="BD166" s="275"/>
      <c r="BE166" s="275"/>
      <c r="BF166" s="275"/>
      <c r="BG166" s="275"/>
      <c r="BH166" s="436"/>
      <c r="BI166" s="275"/>
      <c r="BJ166" s="275"/>
      <c r="BK166" s="291"/>
      <c r="BL166" s="291"/>
      <c r="BM166" s="275"/>
      <c r="BN166" s="275"/>
      <c r="BO166" s="438"/>
      <c r="BP166" s="436"/>
      <c r="BQ166" s="275"/>
      <c r="BR166" s="275"/>
      <c r="BS166" s="275"/>
      <c r="BT166" s="275"/>
      <c r="BU166" s="275"/>
      <c r="BV166" s="275"/>
      <c r="BW166" s="275"/>
      <c r="BX166" s="438"/>
      <c r="BY166" s="436"/>
      <c r="BZ166" s="275"/>
      <c r="CA166" s="275"/>
      <c r="CB166" s="275"/>
      <c r="CC166" s="275"/>
      <c r="CD166" s="275"/>
      <c r="CE166" s="275"/>
      <c r="CF166" s="275"/>
      <c r="CG166" s="438"/>
      <c r="CH166" s="436"/>
      <c r="CI166" s="275"/>
      <c r="CJ166" s="275"/>
      <c r="CK166" s="275"/>
      <c r="CL166" s="275"/>
      <c r="CM166" s="275"/>
      <c r="CN166" s="275"/>
      <c r="CO166" s="442"/>
      <c r="CP166" s="443"/>
      <c r="CQ166" s="429">
        <f t="shared" si="23"/>
        <v>0</v>
      </c>
      <c r="CR166" s="430"/>
    </row>
    <row r="167" spans="1:96" ht="25.5" customHeight="1" x14ac:dyDescent="0.2">
      <c r="A167" s="410">
        <f t="shared" si="24"/>
        <v>152</v>
      </c>
      <c r="B167" s="280"/>
      <c r="C167" s="280"/>
      <c r="D167" s="411"/>
      <c r="E167" s="254"/>
      <c r="F167" s="277"/>
      <c r="G167" s="450"/>
      <c r="H167" s="451"/>
      <c r="I167" s="433" t="str">
        <f t="shared" si="18"/>
        <v/>
      </c>
      <c r="J167" s="434">
        <f t="shared" si="19"/>
        <v>0</v>
      </c>
      <c r="K167" s="452"/>
      <c r="L167" s="276"/>
      <c r="M167" s="435"/>
      <c r="N167" s="417" t="str">
        <f t="shared" si="20"/>
        <v/>
      </c>
      <c r="O167" s="418" t="str">
        <f>IF('Data Set up'!$G$40="JUNE",IF(OR($N167=7,$N167=8,$N167=9),1,IF(OR($N167=10,$N167=11,$N167=12),2,IF(OR($N167=1,$N167=2,$N167=3),3,IF(OR($N167=4,$N167=5,$N167=6),4,"")))),IF(OR($N167=9,$N167=10,$N167=11),1,IF(OR($N167=12,$N167=1,$N167=2),2,IF(OR($N167=3,$N167=4,$N167=5),3,IF(OR($N167=6,$N167=7,$N167=8),4,"")))))</f>
        <v/>
      </c>
      <c r="P167" s="445"/>
      <c r="Q167" s="291"/>
      <c r="R167" s="291"/>
      <c r="S167" s="275"/>
      <c r="T167" s="275"/>
      <c r="U167" s="275"/>
      <c r="V167" s="275"/>
      <c r="W167" s="275"/>
      <c r="X167" s="275"/>
      <c r="Y167" s="275"/>
      <c r="Z167" s="275"/>
      <c r="AA167" s="275"/>
      <c r="AB167" s="275"/>
      <c r="AC167" s="275"/>
      <c r="AD167" s="275"/>
      <c r="AE167" s="275"/>
      <c r="AF167" s="275"/>
      <c r="AG167" s="275"/>
      <c r="AH167" s="438"/>
      <c r="AI167" s="439">
        <f t="shared" si="21"/>
        <v>0</v>
      </c>
      <c r="AJ167" s="263"/>
      <c r="AK167" s="263"/>
      <c r="AL167" s="263"/>
      <c r="AM167" s="263"/>
      <c r="AN167" s="263"/>
      <c r="AO167" s="263"/>
      <c r="AP167" s="263"/>
      <c r="AQ167" s="436"/>
      <c r="AR167" s="275"/>
      <c r="AS167" s="275"/>
      <c r="AT167" s="275"/>
      <c r="AU167" s="275"/>
      <c r="AV167" s="275"/>
      <c r="AW167" s="275"/>
      <c r="AX167" s="275"/>
      <c r="AY167" s="437"/>
      <c r="AZ167" s="440">
        <f t="shared" si="22"/>
        <v>0</v>
      </c>
      <c r="BA167" s="275"/>
      <c r="BB167" s="275"/>
      <c r="BC167" s="275"/>
      <c r="BD167" s="275"/>
      <c r="BE167" s="275"/>
      <c r="BF167" s="275"/>
      <c r="BG167" s="275"/>
      <c r="BH167" s="436"/>
      <c r="BI167" s="275"/>
      <c r="BJ167" s="275"/>
      <c r="BK167" s="291"/>
      <c r="BL167" s="291"/>
      <c r="BM167" s="275"/>
      <c r="BN167" s="275"/>
      <c r="BO167" s="438"/>
      <c r="BP167" s="436"/>
      <c r="BQ167" s="275"/>
      <c r="BR167" s="275"/>
      <c r="BS167" s="275"/>
      <c r="BT167" s="275"/>
      <c r="BU167" s="275"/>
      <c r="BV167" s="275"/>
      <c r="BW167" s="275"/>
      <c r="BX167" s="438"/>
      <c r="BY167" s="436"/>
      <c r="BZ167" s="275"/>
      <c r="CA167" s="275"/>
      <c r="CB167" s="275"/>
      <c r="CC167" s="275"/>
      <c r="CD167" s="275"/>
      <c r="CE167" s="275"/>
      <c r="CF167" s="275"/>
      <c r="CG167" s="438"/>
      <c r="CH167" s="436"/>
      <c r="CI167" s="275"/>
      <c r="CJ167" s="275"/>
      <c r="CK167" s="275"/>
      <c r="CL167" s="275"/>
      <c r="CM167" s="275"/>
      <c r="CN167" s="275"/>
      <c r="CO167" s="442"/>
      <c r="CP167" s="443"/>
      <c r="CQ167" s="429">
        <f t="shared" si="23"/>
        <v>0</v>
      </c>
      <c r="CR167" s="430"/>
    </row>
    <row r="168" spans="1:96" ht="25.5" customHeight="1" x14ac:dyDescent="0.2">
      <c r="A168" s="410">
        <f t="shared" si="24"/>
        <v>153</v>
      </c>
      <c r="B168" s="280"/>
      <c r="C168" s="280"/>
      <c r="D168" s="411"/>
      <c r="E168" s="254"/>
      <c r="F168" s="277"/>
      <c r="G168" s="450"/>
      <c r="H168" s="451"/>
      <c r="I168" s="433" t="str">
        <f t="shared" si="18"/>
        <v/>
      </c>
      <c r="J168" s="434">
        <f t="shared" si="19"/>
        <v>0</v>
      </c>
      <c r="K168" s="452"/>
      <c r="L168" s="276"/>
      <c r="M168" s="435"/>
      <c r="N168" s="417" t="str">
        <f t="shared" si="20"/>
        <v/>
      </c>
      <c r="O168" s="418" t="str">
        <f>IF('Data Set up'!$G$40="JUNE",IF(OR($N168=7,$N168=8,$N168=9),1,IF(OR($N168=10,$N168=11,$N168=12),2,IF(OR($N168=1,$N168=2,$N168=3),3,IF(OR($N168=4,$N168=5,$N168=6),4,"")))),IF(OR($N168=9,$N168=10,$N168=11),1,IF(OR($N168=12,$N168=1,$N168=2),2,IF(OR($N168=3,$N168=4,$N168=5),3,IF(OR($N168=6,$N168=7,$N168=8),4,"")))))</f>
        <v/>
      </c>
      <c r="P168" s="445"/>
      <c r="Q168" s="291"/>
      <c r="R168" s="291"/>
      <c r="S168" s="275"/>
      <c r="T168" s="275"/>
      <c r="U168" s="275"/>
      <c r="V168" s="275"/>
      <c r="W168" s="275"/>
      <c r="X168" s="275"/>
      <c r="Y168" s="275"/>
      <c r="Z168" s="275"/>
      <c r="AA168" s="275"/>
      <c r="AB168" s="275"/>
      <c r="AC168" s="275"/>
      <c r="AD168" s="275"/>
      <c r="AE168" s="275"/>
      <c r="AF168" s="275"/>
      <c r="AG168" s="275"/>
      <c r="AH168" s="438"/>
      <c r="AI168" s="439">
        <f t="shared" si="21"/>
        <v>0</v>
      </c>
      <c r="AJ168" s="263"/>
      <c r="AK168" s="263"/>
      <c r="AL168" s="263"/>
      <c r="AM168" s="263"/>
      <c r="AN168" s="263"/>
      <c r="AO168" s="263"/>
      <c r="AP168" s="263"/>
      <c r="AQ168" s="436"/>
      <c r="AR168" s="275"/>
      <c r="AS168" s="275"/>
      <c r="AT168" s="275"/>
      <c r="AU168" s="275"/>
      <c r="AV168" s="275"/>
      <c r="AW168" s="275"/>
      <c r="AX168" s="275"/>
      <c r="AY168" s="437"/>
      <c r="AZ168" s="440">
        <f t="shared" si="22"/>
        <v>0</v>
      </c>
      <c r="BA168" s="275"/>
      <c r="BB168" s="275"/>
      <c r="BC168" s="275"/>
      <c r="BD168" s="275"/>
      <c r="BE168" s="275"/>
      <c r="BF168" s="275"/>
      <c r="BG168" s="275"/>
      <c r="BH168" s="436"/>
      <c r="BI168" s="275"/>
      <c r="BJ168" s="275"/>
      <c r="BK168" s="291"/>
      <c r="BL168" s="291"/>
      <c r="BM168" s="275"/>
      <c r="BN168" s="275"/>
      <c r="BO168" s="438"/>
      <c r="BP168" s="436"/>
      <c r="BQ168" s="275"/>
      <c r="BR168" s="275"/>
      <c r="BS168" s="275"/>
      <c r="BT168" s="275"/>
      <c r="BU168" s="275"/>
      <c r="BV168" s="275"/>
      <c r="BW168" s="275"/>
      <c r="BX168" s="438"/>
      <c r="BY168" s="436"/>
      <c r="BZ168" s="275"/>
      <c r="CA168" s="275"/>
      <c r="CB168" s="275"/>
      <c r="CC168" s="275"/>
      <c r="CD168" s="275"/>
      <c r="CE168" s="275"/>
      <c r="CF168" s="275"/>
      <c r="CG168" s="438"/>
      <c r="CH168" s="436"/>
      <c r="CI168" s="275"/>
      <c r="CJ168" s="275"/>
      <c r="CK168" s="275"/>
      <c r="CL168" s="275"/>
      <c r="CM168" s="275"/>
      <c r="CN168" s="275"/>
      <c r="CO168" s="442"/>
      <c r="CP168" s="443"/>
      <c r="CQ168" s="429">
        <f t="shared" si="23"/>
        <v>0</v>
      </c>
      <c r="CR168" s="430"/>
    </row>
    <row r="169" spans="1:96" ht="25.5" customHeight="1" x14ac:dyDescent="0.2">
      <c r="A169" s="410">
        <f t="shared" si="24"/>
        <v>154</v>
      </c>
      <c r="B169" s="280"/>
      <c r="C169" s="280"/>
      <c r="D169" s="411"/>
      <c r="E169" s="254"/>
      <c r="F169" s="277"/>
      <c r="G169" s="450"/>
      <c r="H169" s="451"/>
      <c r="I169" s="433" t="str">
        <f t="shared" si="18"/>
        <v/>
      </c>
      <c r="J169" s="434">
        <f t="shared" si="19"/>
        <v>0</v>
      </c>
      <c r="K169" s="452"/>
      <c r="L169" s="276"/>
      <c r="M169" s="435"/>
      <c r="N169" s="417" t="str">
        <f t="shared" si="20"/>
        <v/>
      </c>
      <c r="O169" s="418" t="str">
        <f>IF('Data Set up'!$G$40="JUNE",IF(OR($N169=7,$N169=8,$N169=9),1,IF(OR($N169=10,$N169=11,$N169=12),2,IF(OR($N169=1,$N169=2,$N169=3),3,IF(OR($N169=4,$N169=5,$N169=6),4,"")))),IF(OR($N169=9,$N169=10,$N169=11),1,IF(OR($N169=12,$N169=1,$N169=2),2,IF(OR($N169=3,$N169=4,$N169=5),3,IF(OR($N169=6,$N169=7,$N169=8),4,"")))))</f>
        <v/>
      </c>
      <c r="P169" s="445"/>
      <c r="Q169" s="291"/>
      <c r="R169" s="291"/>
      <c r="S169" s="275"/>
      <c r="T169" s="275"/>
      <c r="U169" s="275"/>
      <c r="V169" s="275"/>
      <c r="W169" s="275"/>
      <c r="X169" s="275"/>
      <c r="Y169" s="275"/>
      <c r="Z169" s="275"/>
      <c r="AA169" s="275"/>
      <c r="AB169" s="275"/>
      <c r="AC169" s="275"/>
      <c r="AD169" s="275"/>
      <c r="AE169" s="275"/>
      <c r="AF169" s="275"/>
      <c r="AG169" s="275"/>
      <c r="AH169" s="438"/>
      <c r="AI169" s="439">
        <f t="shared" si="21"/>
        <v>0</v>
      </c>
      <c r="AJ169" s="263"/>
      <c r="AK169" s="263"/>
      <c r="AL169" s="263"/>
      <c r="AM169" s="263"/>
      <c r="AN169" s="263"/>
      <c r="AO169" s="263"/>
      <c r="AP169" s="263"/>
      <c r="AQ169" s="436"/>
      <c r="AR169" s="275"/>
      <c r="AS169" s="275"/>
      <c r="AT169" s="275"/>
      <c r="AU169" s="275"/>
      <c r="AV169" s="275"/>
      <c r="AW169" s="275"/>
      <c r="AX169" s="275"/>
      <c r="AY169" s="437"/>
      <c r="AZ169" s="440">
        <f t="shared" si="22"/>
        <v>0</v>
      </c>
      <c r="BA169" s="275"/>
      <c r="BB169" s="275"/>
      <c r="BC169" s="275"/>
      <c r="BD169" s="275"/>
      <c r="BE169" s="275"/>
      <c r="BF169" s="275"/>
      <c r="BG169" s="275"/>
      <c r="BH169" s="436"/>
      <c r="BI169" s="275"/>
      <c r="BJ169" s="275"/>
      <c r="BK169" s="291"/>
      <c r="BL169" s="291"/>
      <c r="BM169" s="275"/>
      <c r="BN169" s="275"/>
      <c r="BO169" s="438"/>
      <c r="BP169" s="436"/>
      <c r="BQ169" s="275"/>
      <c r="BR169" s="275"/>
      <c r="BS169" s="275"/>
      <c r="BT169" s="275"/>
      <c r="BU169" s="275"/>
      <c r="BV169" s="275"/>
      <c r="BW169" s="275"/>
      <c r="BX169" s="438"/>
      <c r="BY169" s="436"/>
      <c r="BZ169" s="275"/>
      <c r="CA169" s="275"/>
      <c r="CB169" s="275"/>
      <c r="CC169" s="275"/>
      <c r="CD169" s="275"/>
      <c r="CE169" s="275"/>
      <c r="CF169" s="275"/>
      <c r="CG169" s="438"/>
      <c r="CH169" s="436"/>
      <c r="CI169" s="275"/>
      <c r="CJ169" s="275"/>
      <c r="CK169" s="275"/>
      <c r="CL169" s="275"/>
      <c r="CM169" s="275"/>
      <c r="CN169" s="275"/>
      <c r="CO169" s="442"/>
      <c r="CP169" s="443"/>
      <c r="CQ169" s="429">
        <f t="shared" si="23"/>
        <v>0</v>
      </c>
      <c r="CR169" s="430"/>
    </row>
    <row r="170" spans="1:96" ht="25.5" customHeight="1" x14ac:dyDescent="0.2">
      <c r="A170" s="410">
        <f t="shared" si="24"/>
        <v>155</v>
      </c>
      <c r="B170" s="280"/>
      <c r="C170" s="280"/>
      <c r="D170" s="411"/>
      <c r="E170" s="254"/>
      <c r="F170" s="277"/>
      <c r="G170" s="450"/>
      <c r="H170" s="451"/>
      <c r="I170" s="433" t="str">
        <f t="shared" si="18"/>
        <v/>
      </c>
      <c r="J170" s="434">
        <f t="shared" si="19"/>
        <v>0</v>
      </c>
      <c r="K170" s="452"/>
      <c r="L170" s="276"/>
      <c r="M170" s="435"/>
      <c r="N170" s="417" t="str">
        <f t="shared" si="20"/>
        <v/>
      </c>
      <c r="O170" s="418" t="str">
        <f>IF('Data Set up'!$G$40="JUNE",IF(OR($N170=7,$N170=8,$N170=9),1,IF(OR($N170=10,$N170=11,$N170=12),2,IF(OR($N170=1,$N170=2,$N170=3),3,IF(OR($N170=4,$N170=5,$N170=6),4,"")))),IF(OR($N170=9,$N170=10,$N170=11),1,IF(OR($N170=12,$N170=1,$N170=2),2,IF(OR($N170=3,$N170=4,$N170=5),3,IF(OR($N170=6,$N170=7,$N170=8),4,"")))))</f>
        <v/>
      </c>
      <c r="P170" s="445"/>
      <c r="Q170" s="291"/>
      <c r="R170" s="291"/>
      <c r="S170" s="275"/>
      <c r="T170" s="275"/>
      <c r="U170" s="275"/>
      <c r="V170" s="275"/>
      <c r="W170" s="275"/>
      <c r="X170" s="275"/>
      <c r="Y170" s="275"/>
      <c r="Z170" s="275"/>
      <c r="AA170" s="275"/>
      <c r="AB170" s="275"/>
      <c r="AC170" s="275"/>
      <c r="AD170" s="275"/>
      <c r="AE170" s="275"/>
      <c r="AF170" s="275"/>
      <c r="AG170" s="275"/>
      <c r="AH170" s="438"/>
      <c r="AI170" s="439">
        <f t="shared" si="21"/>
        <v>0</v>
      </c>
      <c r="AJ170" s="263"/>
      <c r="AK170" s="263"/>
      <c r="AL170" s="263"/>
      <c r="AM170" s="263"/>
      <c r="AN170" s="263"/>
      <c r="AO170" s="263"/>
      <c r="AP170" s="263"/>
      <c r="AQ170" s="436"/>
      <c r="AR170" s="275"/>
      <c r="AS170" s="275"/>
      <c r="AT170" s="275"/>
      <c r="AU170" s="275"/>
      <c r="AV170" s="275"/>
      <c r="AW170" s="275"/>
      <c r="AX170" s="275"/>
      <c r="AY170" s="437"/>
      <c r="AZ170" s="440">
        <f t="shared" si="22"/>
        <v>0</v>
      </c>
      <c r="BA170" s="275"/>
      <c r="BB170" s="275"/>
      <c r="BC170" s="275"/>
      <c r="BD170" s="275"/>
      <c r="BE170" s="275"/>
      <c r="BF170" s="275"/>
      <c r="BG170" s="275"/>
      <c r="BH170" s="436"/>
      <c r="BI170" s="275"/>
      <c r="BJ170" s="275"/>
      <c r="BK170" s="291"/>
      <c r="BL170" s="291"/>
      <c r="BM170" s="275"/>
      <c r="BN170" s="275"/>
      <c r="BO170" s="438"/>
      <c r="BP170" s="436"/>
      <c r="BQ170" s="275"/>
      <c r="BR170" s="275"/>
      <c r="BS170" s="275"/>
      <c r="BT170" s="275"/>
      <c r="BU170" s="275"/>
      <c r="BV170" s="275"/>
      <c r="BW170" s="275"/>
      <c r="BX170" s="438"/>
      <c r="BY170" s="436"/>
      <c r="BZ170" s="275"/>
      <c r="CA170" s="275"/>
      <c r="CB170" s="275"/>
      <c r="CC170" s="275"/>
      <c r="CD170" s="275"/>
      <c r="CE170" s="275"/>
      <c r="CF170" s="275"/>
      <c r="CG170" s="438"/>
      <c r="CH170" s="436"/>
      <c r="CI170" s="275"/>
      <c r="CJ170" s="275"/>
      <c r="CK170" s="275"/>
      <c r="CL170" s="275"/>
      <c r="CM170" s="275"/>
      <c r="CN170" s="275"/>
      <c r="CO170" s="442"/>
      <c r="CP170" s="443"/>
      <c r="CQ170" s="429">
        <f t="shared" si="23"/>
        <v>0</v>
      </c>
      <c r="CR170" s="430"/>
    </row>
    <row r="171" spans="1:96" ht="25.5" customHeight="1" x14ac:dyDescent="0.2">
      <c r="A171" s="410">
        <f t="shared" si="24"/>
        <v>156</v>
      </c>
      <c r="B171" s="280"/>
      <c r="C171" s="280"/>
      <c r="D171" s="411"/>
      <c r="E171" s="254"/>
      <c r="F171" s="277"/>
      <c r="G171" s="450"/>
      <c r="H171" s="451"/>
      <c r="I171" s="433" t="str">
        <f t="shared" si="18"/>
        <v/>
      </c>
      <c r="J171" s="434">
        <f t="shared" si="19"/>
        <v>0</v>
      </c>
      <c r="K171" s="452"/>
      <c r="L171" s="276"/>
      <c r="M171" s="435"/>
      <c r="N171" s="417" t="str">
        <f t="shared" si="20"/>
        <v/>
      </c>
      <c r="O171" s="418" t="str">
        <f>IF('Data Set up'!$G$40="JUNE",IF(OR($N171=7,$N171=8,$N171=9),1,IF(OR($N171=10,$N171=11,$N171=12),2,IF(OR($N171=1,$N171=2,$N171=3),3,IF(OR($N171=4,$N171=5,$N171=6),4,"")))),IF(OR($N171=9,$N171=10,$N171=11),1,IF(OR($N171=12,$N171=1,$N171=2),2,IF(OR($N171=3,$N171=4,$N171=5),3,IF(OR($N171=6,$N171=7,$N171=8),4,"")))))</f>
        <v/>
      </c>
      <c r="P171" s="445"/>
      <c r="Q171" s="291"/>
      <c r="R171" s="291"/>
      <c r="S171" s="275"/>
      <c r="T171" s="275"/>
      <c r="U171" s="275"/>
      <c r="V171" s="275"/>
      <c r="W171" s="275"/>
      <c r="X171" s="275"/>
      <c r="Y171" s="275"/>
      <c r="Z171" s="275"/>
      <c r="AA171" s="275"/>
      <c r="AB171" s="275"/>
      <c r="AC171" s="275"/>
      <c r="AD171" s="275"/>
      <c r="AE171" s="275"/>
      <c r="AF171" s="275"/>
      <c r="AG171" s="275"/>
      <c r="AH171" s="438"/>
      <c r="AI171" s="439">
        <f t="shared" si="21"/>
        <v>0</v>
      </c>
      <c r="AJ171" s="263"/>
      <c r="AK171" s="263"/>
      <c r="AL171" s="263"/>
      <c r="AM171" s="263"/>
      <c r="AN171" s="263"/>
      <c r="AO171" s="263"/>
      <c r="AP171" s="263"/>
      <c r="AQ171" s="436"/>
      <c r="AR171" s="275"/>
      <c r="AS171" s="275"/>
      <c r="AT171" s="275"/>
      <c r="AU171" s="275"/>
      <c r="AV171" s="275"/>
      <c r="AW171" s="275"/>
      <c r="AX171" s="275"/>
      <c r="AY171" s="437"/>
      <c r="AZ171" s="440">
        <f t="shared" si="22"/>
        <v>0</v>
      </c>
      <c r="BA171" s="275"/>
      <c r="BB171" s="275"/>
      <c r="BC171" s="275"/>
      <c r="BD171" s="275"/>
      <c r="BE171" s="275"/>
      <c r="BF171" s="275"/>
      <c r="BG171" s="275"/>
      <c r="BH171" s="436"/>
      <c r="BI171" s="275"/>
      <c r="BJ171" s="275"/>
      <c r="BK171" s="291"/>
      <c r="BL171" s="291"/>
      <c r="BM171" s="275"/>
      <c r="BN171" s="275"/>
      <c r="BO171" s="438"/>
      <c r="BP171" s="436"/>
      <c r="BQ171" s="275"/>
      <c r="BR171" s="275"/>
      <c r="BS171" s="275"/>
      <c r="BT171" s="275"/>
      <c r="BU171" s="275"/>
      <c r="BV171" s="275"/>
      <c r="BW171" s="275"/>
      <c r="BX171" s="438"/>
      <c r="BY171" s="436"/>
      <c r="BZ171" s="275"/>
      <c r="CA171" s="275"/>
      <c r="CB171" s="275"/>
      <c r="CC171" s="275"/>
      <c r="CD171" s="275"/>
      <c r="CE171" s="275"/>
      <c r="CF171" s="275"/>
      <c r="CG171" s="438"/>
      <c r="CH171" s="436"/>
      <c r="CI171" s="275"/>
      <c r="CJ171" s="275"/>
      <c r="CK171" s="275"/>
      <c r="CL171" s="275"/>
      <c r="CM171" s="275"/>
      <c r="CN171" s="275"/>
      <c r="CO171" s="442"/>
      <c r="CP171" s="443"/>
      <c r="CQ171" s="429">
        <f t="shared" si="23"/>
        <v>0</v>
      </c>
      <c r="CR171" s="430"/>
    </row>
    <row r="172" spans="1:96" ht="25.5" customHeight="1" x14ac:dyDescent="0.2">
      <c r="A172" s="410">
        <f t="shared" si="24"/>
        <v>157</v>
      </c>
      <c r="B172" s="280"/>
      <c r="C172" s="280"/>
      <c r="D172" s="411"/>
      <c r="E172" s="254"/>
      <c r="F172" s="277"/>
      <c r="G172" s="450"/>
      <c r="H172" s="451"/>
      <c r="I172" s="433" t="str">
        <f t="shared" si="18"/>
        <v/>
      </c>
      <c r="J172" s="434">
        <f t="shared" si="19"/>
        <v>0</v>
      </c>
      <c r="K172" s="452"/>
      <c r="L172" s="276"/>
      <c r="M172" s="435"/>
      <c r="N172" s="417" t="str">
        <f t="shared" si="20"/>
        <v/>
      </c>
      <c r="O172" s="418" t="str">
        <f>IF('Data Set up'!$G$40="JUNE",IF(OR($N172=7,$N172=8,$N172=9),1,IF(OR($N172=10,$N172=11,$N172=12),2,IF(OR($N172=1,$N172=2,$N172=3),3,IF(OR($N172=4,$N172=5,$N172=6),4,"")))),IF(OR($N172=9,$N172=10,$N172=11),1,IF(OR($N172=12,$N172=1,$N172=2),2,IF(OR($N172=3,$N172=4,$N172=5),3,IF(OR($N172=6,$N172=7,$N172=8),4,"")))))</f>
        <v/>
      </c>
      <c r="P172" s="445"/>
      <c r="Q172" s="291"/>
      <c r="R172" s="291"/>
      <c r="S172" s="275"/>
      <c r="T172" s="275"/>
      <c r="U172" s="275"/>
      <c r="V172" s="275"/>
      <c r="W172" s="275"/>
      <c r="X172" s="275"/>
      <c r="Y172" s="275"/>
      <c r="Z172" s="275"/>
      <c r="AA172" s="275"/>
      <c r="AB172" s="275"/>
      <c r="AC172" s="275"/>
      <c r="AD172" s="275"/>
      <c r="AE172" s="275"/>
      <c r="AF172" s="275"/>
      <c r="AG172" s="275"/>
      <c r="AH172" s="438"/>
      <c r="AI172" s="439">
        <f t="shared" si="21"/>
        <v>0</v>
      </c>
      <c r="AJ172" s="263"/>
      <c r="AK172" s="263"/>
      <c r="AL172" s="263"/>
      <c r="AM172" s="263"/>
      <c r="AN172" s="263"/>
      <c r="AO172" s="263"/>
      <c r="AP172" s="263"/>
      <c r="AQ172" s="436"/>
      <c r="AR172" s="275"/>
      <c r="AS172" s="275"/>
      <c r="AT172" s="275"/>
      <c r="AU172" s="275"/>
      <c r="AV172" s="275"/>
      <c r="AW172" s="275"/>
      <c r="AX172" s="275"/>
      <c r="AY172" s="437"/>
      <c r="AZ172" s="440">
        <f t="shared" si="22"/>
        <v>0</v>
      </c>
      <c r="BA172" s="275"/>
      <c r="BB172" s="275"/>
      <c r="BC172" s="275"/>
      <c r="BD172" s="275"/>
      <c r="BE172" s="275"/>
      <c r="BF172" s="275"/>
      <c r="BG172" s="275"/>
      <c r="BH172" s="436"/>
      <c r="BI172" s="275"/>
      <c r="BJ172" s="275"/>
      <c r="BK172" s="291"/>
      <c r="BL172" s="291"/>
      <c r="BM172" s="275"/>
      <c r="BN172" s="275"/>
      <c r="BO172" s="438"/>
      <c r="BP172" s="436"/>
      <c r="BQ172" s="275"/>
      <c r="BR172" s="275"/>
      <c r="BS172" s="275"/>
      <c r="BT172" s="275"/>
      <c r="BU172" s="275"/>
      <c r="BV172" s="275"/>
      <c r="BW172" s="275"/>
      <c r="BX172" s="438"/>
      <c r="BY172" s="436"/>
      <c r="BZ172" s="275"/>
      <c r="CA172" s="275"/>
      <c r="CB172" s="275"/>
      <c r="CC172" s="275"/>
      <c r="CD172" s="275"/>
      <c r="CE172" s="275"/>
      <c r="CF172" s="275"/>
      <c r="CG172" s="438"/>
      <c r="CH172" s="436"/>
      <c r="CI172" s="275"/>
      <c r="CJ172" s="275"/>
      <c r="CK172" s="275"/>
      <c r="CL172" s="275"/>
      <c r="CM172" s="275"/>
      <c r="CN172" s="275"/>
      <c r="CO172" s="442"/>
      <c r="CP172" s="443"/>
      <c r="CQ172" s="429">
        <f t="shared" si="23"/>
        <v>0</v>
      </c>
      <c r="CR172" s="430"/>
    </row>
    <row r="173" spans="1:96" ht="25.5" customHeight="1" x14ac:dyDescent="0.2">
      <c r="A173" s="410">
        <f t="shared" si="24"/>
        <v>158</v>
      </c>
      <c r="B173" s="280"/>
      <c r="C173" s="280"/>
      <c r="D173" s="411"/>
      <c r="E173" s="254"/>
      <c r="F173" s="277"/>
      <c r="G173" s="450"/>
      <c r="H173" s="451"/>
      <c r="I173" s="433" t="str">
        <f t="shared" si="18"/>
        <v/>
      </c>
      <c r="J173" s="434">
        <f t="shared" si="19"/>
        <v>0</v>
      </c>
      <c r="K173" s="452"/>
      <c r="L173" s="276"/>
      <c r="M173" s="435"/>
      <c r="N173" s="417" t="str">
        <f t="shared" si="20"/>
        <v/>
      </c>
      <c r="O173" s="418" t="str">
        <f>IF('Data Set up'!$G$40="JUNE",IF(OR($N173=7,$N173=8,$N173=9),1,IF(OR($N173=10,$N173=11,$N173=12),2,IF(OR($N173=1,$N173=2,$N173=3),3,IF(OR($N173=4,$N173=5,$N173=6),4,"")))),IF(OR($N173=9,$N173=10,$N173=11),1,IF(OR($N173=12,$N173=1,$N173=2),2,IF(OR($N173=3,$N173=4,$N173=5),3,IF(OR($N173=6,$N173=7,$N173=8),4,"")))))</f>
        <v/>
      </c>
      <c r="P173" s="445"/>
      <c r="Q173" s="291"/>
      <c r="R173" s="291"/>
      <c r="S173" s="275"/>
      <c r="T173" s="275"/>
      <c r="U173" s="275"/>
      <c r="V173" s="275"/>
      <c r="W173" s="275"/>
      <c r="X173" s="275"/>
      <c r="Y173" s="275"/>
      <c r="Z173" s="275"/>
      <c r="AA173" s="275"/>
      <c r="AB173" s="275"/>
      <c r="AC173" s="275"/>
      <c r="AD173" s="275"/>
      <c r="AE173" s="275"/>
      <c r="AF173" s="275"/>
      <c r="AG173" s="275"/>
      <c r="AH173" s="438"/>
      <c r="AI173" s="439">
        <f t="shared" si="21"/>
        <v>0</v>
      </c>
      <c r="AJ173" s="263"/>
      <c r="AK173" s="263"/>
      <c r="AL173" s="263"/>
      <c r="AM173" s="263"/>
      <c r="AN173" s="263"/>
      <c r="AO173" s="263"/>
      <c r="AP173" s="263"/>
      <c r="AQ173" s="436"/>
      <c r="AR173" s="275"/>
      <c r="AS173" s="275"/>
      <c r="AT173" s="275"/>
      <c r="AU173" s="275"/>
      <c r="AV173" s="275"/>
      <c r="AW173" s="275"/>
      <c r="AX173" s="275"/>
      <c r="AY173" s="437"/>
      <c r="AZ173" s="440">
        <f t="shared" si="22"/>
        <v>0</v>
      </c>
      <c r="BA173" s="275"/>
      <c r="BB173" s="275"/>
      <c r="BC173" s="275"/>
      <c r="BD173" s="275"/>
      <c r="BE173" s="275"/>
      <c r="BF173" s="275"/>
      <c r="BG173" s="275"/>
      <c r="BH173" s="436"/>
      <c r="BI173" s="275"/>
      <c r="BJ173" s="275"/>
      <c r="BK173" s="291"/>
      <c r="BL173" s="291"/>
      <c r="BM173" s="275"/>
      <c r="BN173" s="275"/>
      <c r="BO173" s="438"/>
      <c r="BP173" s="436"/>
      <c r="BQ173" s="275"/>
      <c r="BR173" s="275"/>
      <c r="BS173" s="275"/>
      <c r="BT173" s="275"/>
      <c r="BU173" s="275"/>
      <c r="BV173" s="275"/>
      <c r="BW173" s="275"/>
      <c r="BX173" s="438"/>
      <c r="BY173" s="436"/>
      <c r="BZ173" s="275"/>
      <c r="CA173" s="275"/>
      <c r="CB173" s="275"/>
      <c r="CC173" s="275"/>
      <c r="CD173" s="275"/>
      <c r="CE173" s="275"/>
      <c r="CF173" s="275"/>
      <c r="CG173" s="438"/>
      <c r="CH173" s="436"/>
      <c r="CI173" s="275"/>
      <c r="CJ173" s="275"/>
      <c r="CK173" s="275"/>
      <c r="CL173" s="275"/>
      <c r="CM173" s="275"/>
      <c r="CN173" s="275"/>
      <c r="CO173" s="442"/>
      <c r="CP173" s="443"/>
      <c r="CQ173" s="429">
        <f t="shared" si="23"/>
        <v>0</v>
      </c>
      <c r="CR173" s="430"/>
    </row>
    <row r="174" spans="1:96" ht="25.5" customHeight="1" x14ac:dyDescent="0.2">
      <c r="A174" s="410">
        <f t="shared" si="24"/>
        <v>159</v>
      </c>
      <c r="B174" s="280"/>
      <c r="C174" s="280"/>
      <c r="D174" s="411"/>
      <c r="E174" s="254"/>
      <c r="F174" s="277"/>
      <c r="G174" s="450"/>
      <c r="H174" s="451"/>
      <c r="I174" s="433" t="str">
        <f t="shared" si="18"/>
        <v/>
      </c>
      <c r="J174" s="434">
        <f t="shared" si="19"/>
        <v>0</v>
      </c>
      <c r="K174" s="452"/>
      <c r="L174" s="276"/>
      <c r="M174" s="435"/>
      <c r="N174" s="417" t="str">
        <f t="shared" si="20"/>
        <v/>
      </c>
      <c r="O174" s="418" t="str">
        <f>IF('Data Set up'!$G$40="JUNE",IF(OR($N174=7,$N174=8,$N174=9),1,IF(OR($N174=10,$N174=11,$N174=12),2,IF(OR($N174=1,$N174=2,$N174=3),3,IF(OR($N174=4,$N174=5,$N174=6),4,"")))),IF(OR($N174=9,$N174=10,$N174=11),1,IF(OR($N174=12,$N174=1,$N174=2),2,IF(OR($N174=3,$N174=4,$N174=5),3,IF(OR($N174=6,$N174=7,$N174=8),4,"")))))</f>
        <v/>
      </c>
      <c r="P174" s="445"/>
      <c r="Q174" s="291"/>
      <c r="R174" s="291"/>
      <c r="S174" s="275"/>
      <c r="T174" s="275"/>
      <c r="U174" s="275"/>
      <c r="V174" s="275"/>
      <c r="W174" s="275"/>
      <c r="X174" s="275"/>
      <c r="Y174" s="275"/>
      <c r="Z174" s="275"/>
      <c r="AA174" s="275"/>
      <c r="AB174" s="275"/>
      <c r="AC174" s="275"/>
      <c r="AD174" s="275"/>
      <c r="AE174" s="275"/>
      <c r="AF174" s="275"/>
      <c r="AG174" s="275"/>
      <c r="AH174" s="438"/>
      <c r="AI174" s="439">
        <f t="shared" si="21"/>
        <v>0</v>
      </c>
      <c r="AJ174" s="263"/>
      <c r="AK174" s="263"/>
      <c r="AL174" s="263"/>
      <c r="AM174" s="263"/>
      <c r="AN174" s="263"/>
      <c r="AO174" s="263"/>
      <c r="AP174" s="263"/>
      <c r="AQ174" s="436"/>
      <c r="AR174" s="275"/>
      <c r="AS174" s="275"/>
      <c r="AT174" s="275"/>
      <c r="AU174" s="275"/>
      <c r="AV174" s="275"/>
      <c r="AW174" s="275"/>
      <c r="AX174" s="275"/>
      <c r="AY174" s="437"/>
      <c r="AZ174" s="440">
        <f t="shared" si="22"/>
        <v>0</v>
      </c>
      <c r="BA174" s="275"/>
      <c r="BB174" s="275"/>
      <c r="BC174" s="275"/>
      <c r="BD174" s="275"/>
      <c r="BE174" s="275"/>
      <c r="BF174" s="275"/>
      <c r="BG174" s="275"/>
      <c r="BH174" s="436"/>
      <c r="BI174" s="275"/>
      <c r="BJ174" s="275"/>
      <c r="BK174" s="291"/>
      <c r="BL174" s="291"/>
      <c r="BM174" s="275"/>
      <c r="BN174" s="275"/>
      <c r="BO174" s="438"/>
      <c r="BP174" s="436"/>
      <c r="BQ174" s="275"/>
      <c r="BR174" s="275"/>
      <c r="BS174" s="275"/>
      <c r="BT174" s="275"/>
      <c r="BU174" s="275"/>
      <c r="BV174" s="275"/>
      <c r="BW174" s="275"/>
      <c r="BX174" s="438"/>
      <c r="BY174" s="436"/>
      <c r="BZ174" s="275"/>
      <c r="CA174" s="275"/>
      <c r="CB174" s="275"/>
      <c r="CC174" s="275"/>
      <c r="CD174" s="275"/>
      <c r="CE174" s="275"/>
      <c r="CF174" s="275"/>
      <c r="CG174" s="438"/>
      <c r="CH174" s="436"/>
      <c r="CI174" s="275"/>
      <c r="CJ174" s="275"/>
      <c r="CK174" s="275"/>
      <c r="CL174" s="275"/>
      <c r="CM174" s="275"/>
      <c r="CN174" s="275"/>
      <c r="CO174" s="442"/>
      <c r="CP174" s="443"/>
      <c r="CQ174" s="429">
        <f t="shared" si="23"/>
        <v>0</v>
      </c>
      <c r="CR174" s="430"/>
    </row>
    <row r="175" spans="1:96" ht="25.5" customHeight="1" x14ac:dyDescent="0.2">
      <c r="A175" s="410">
        <f t="shared" si="24"/>
        <v>160</v>
      </c>
      <c r="B175" s="280"/>
      <c r="C175" s="280"/>
      <c r="D175" s="411"/>
      <c r="E175" s="254"/>
      <c r="F175" s="277"/>
      <c r="G175" s="450"/>
      <c r="H175" s="451"/>
      <c r="I175" s="433" t="str">
        <f t="shared" si="18"/>
        <v/>
      </c>
      <c r="J175" s="434">
        <f t="shared" si="19"/>
        <v>0</v>
      </c>
      <c r="K175" s="452"/>
      <c r="L175" s="276"/>
      <c r="M175" s="435"/>
      <c r="N175" s="417" t="str">
        <f t="shared" si="20"/>
        <v/>
      </c>
      <c r="O175" s="418" t="str">
        <f>IF('Data Set up'!$G$40="JUNE",IF(OR($N175=7,$N175=8,$N175=9),1,IF(OR($N175=10,$N175=11,$N175=12),2,IF(OR($N175=1,$N175=2,$N175=3),3,IF(OR($N175=4,$N175=5,$N175=6),4,"")))),IF(OR($N175=9,$N175=10,$N175=11),1,IF(OR($N175=12,$N175=1,$N175=2),2,IF(OR($N175=3,$N175=4,$N175=5),3,IF(OR($N175=6,$N175=7,$N175=8),4,"")))))</f>
        <v/>
      </c>
      <c r="P175" s="445"/>
      <c r="Q175" s="291"/>
      <c r="R175" s="291"/>
      <c r="S175" s="275"/>
      <c r="T175" s="275"/>
      <c r="U175" s="275"/>
      <c r="V175" s="275"/>
      <c r="W175" s="275"/>
      <c r="X175" s="275"/>
      <c r="Y175" s="275"/>
      <c r="Z175" s="275"/>
      <c r="AA175" s="275"/>
      <c r="AB175" s="275"/>
      <c r="AC175" s="275"/>
      <c r="AD175" s="275"/>
      <c r="AE175" s="275"/>
      <c r="AF175" s="275"/>
      <c r="AG175" s="275"/>
      <c r="AH175" s="438"/>
      <c r="AI175" s="439">
        <f t="shared" si="21"/>
        <v>0</v>
      </c>
      <c r="AJ175" s="263"/>
      <c r="AK175" s="263"/>
      <c r="AL175" s="263"/>
      <c r="AM175" s="263"/>
      <c r="AN175" s="263"/>
      <c r="AO175" s="263"/>
      <c r="AP175" s="263"/>
      <c r="AQ175" s="436"/>
      <c r="AR175" s="275"/>
      <c r="AS175" s="275"/>
      <c r="AT175" s="275"/>
      <c r="AU175" s="275"/>
      <c r="AV175" s="275"/>
      <c r="AW175" s="275"/>
      <c r="AX175" s="275"/>
      <c r="AY175" s="437"/>
      <c r="AZ175" s="440">
        <f t="shared" si="22"/>
        <v>0</v>
      </c>
      <c r="BA175" s="275"/>
      <c r="BB175" s="275"/>
      <c r="BC175" s="275"/>
      <c r="BD175" s="275"/>
      <c r="BE175" s="275"/>
      <c r="BF175" s="275"/>
      <c r="BG175" s="275"/>
      <c r="BH175" s="436"/>
      <c r="BI175" s="275"/>
      <c r="BJ175" s="275"/>
      <c r="BK175" s="291"/>
      <c r="BL175" s="291"/>
      <c r="BM175" s="275"/>
      <c r="BN175" s="275"/>
      <c r="BO175" s="438"/>
      <c r="BP175" s="436"/>
      <c r="BQ175" s="275"/>
      <c r="BR175" s="275"/>
      <c r="BS175" s="275"/>
      <c r="BT175" s="275"/>
      <c r="BU175" s="275"/>
      <c r="BV175" s="275"/>
      <c r="BW175" s="275"/>
      <c r="BX175" s="438"/>
      <c r="BY175" s="436"/>
      <c r="BZ175" s="275"/>
      <c r="CA175" s="275"/>
      <c r="CB175" s="275"/>
      <c r="CC175" s="275"/>
      <c r="CD175" s="275"/>
      <c r="CE175" s="275"/>
      <c r="CF175" s="275"/>
      <c r="CG175" s="438"/>
      <c r="CH175" s="436"/>
      <c r="CI175" s="275"/>
      <c r="CJ175" s="275"/>
      <c r="CK175" s="275"/>
      <c r="CL175" s="275"/>
      <c r="CM175" s="275"/>
      <c r="CN175" s="275"/>
      <c r="CO175" s="442"/>
      <c r="CP175" s="443"/>
      <c r="CQ175" s="429">
        <f t="shared" si="23"/>
        <v>0</v>
      </c>
      <c r="CR175" s="430"/>
    </row>
    <row r="176" spans="1:96" ht="25.5" customHeight="1" x14ac:dyDescent="0.2">
      <c r="A176" s="410">
        <f t="shared" si="24"/>
        <v>161</v>
      </c>
      <c r="B176" s="280"/>
      <c r="C176" s="280"/>
      <c r="D176" s="411"/>
      <c r="E176" s="254"/>
      <c r="F176" s="277"/>
      <c r="G176" s="450"/>
      <c r="H176" s="451"/>
      <c r="I176" s="433" t="str">
        <f t="shared" si="18"/>
        <v/>
      </c>
      <c r="J176" s="434">
        <f t="shared" si="19"/>
        <v>0</v>
      </c>
      <c r="K176" s="452"/>
      <c r="L176" s="276"/>
      <c r="M176" s="435"/>
      <c r="N176" s="417" t="str">
        <f t="shared" si="20"/>
        <v/>
      </c>
      <c r="O176" s="418" t="str">
        <f>IF('Data Set up'!$G$40="JUNE",IF(OR($N176=7,$N176=8,$N176=9),1,IF(OR($N176=10,$N176=11,$N176=12),2,IF(OR($N176=1,$N176=2,$N176=3),3,IF(OR($N176=4,$N176=5,$N176=6),4,"")))),IF(OR($N176=9,$N176=10,$N176=11),1,IF(OR($N176=12,$N176=1,$N176=2),2,IF(OR($N176=3,$N176=4,$N176=5),3,IF(OR($N176=6,$N176=7,$N176=8),4,"")))))</f>
        <v/>
      </c>
      <c r="P176" s="445"/>
      <c r="Q176" s="291"/>
      <c r="R176" s="291"/>
      <c r="S176" s="275"/>
      <c r="T176" s="275"/>
      <c r="U176" s="275"/>
      <c r="V176" s="275"/>
      <c r="W176" s="275"/>
      <c r="X176" s="275"/>
      <c r="Y176" s="275"/>
      <c r="Z176" s="275"/>
      <c r="AA176" s="275"/>
      <c r="AB176" s="275"/>
      <c r="AC176" s="275"/>
      <c r="AD176" s="275"/>
      <c r="AE176" s="275"/>
      <c r="AF176" s="275"/>
      <c r="AG176" s="275"/>
      <c r="AH176" s="438"/>
      <c r="AI176" s="439">
        <f t="shared" si="21"/>
        <v>0</v>
      </c>
      <c r="AJ176" s="263"/>
      <c r="AK176" s="263"/>
      <c r="AL176" s="263"/>
      <c r="AM176" s="263"/>
      <c r="AN176" s="263"/>
      <c r="AO176" s="263"/>
      <c r="AP176" s="263"/>
      <c r="AQ176" s="436"/>
      <c r="AR176" s="275"/>
      <c r="AS176" s="275"/>
      <c r="AT176" s="275"/>
      <c r="AU176" s="275"/>
      <c r="AV176" s="275"/>
      <c r="AW176" s="275"/>
      <c r="AX176" s="275"/>
      <c r="AY176" s="437"/>
      <c r="AZ176" s="440">
        <f t="shared" si="22"/>
        <v>0</v>
      </c>
      <c r="BA176" s="275"/>
      <c r="BB176" s="275"/>
      <c r="BC176" s="275"/>
      <c r="BD176" s="275"/>
      <c r="BE176" s="275"/>
      <c r="BF176" s="275"/>
      <c r="BG176" s="275"/>
      <c r="BH176" s="436"/>
      <c r="BI176" s="275"/>
      <c r="BJ176" s="275"/>
      <c r="BK176" s="291"/>
      <c r="BL176" s="291"/>
      <c r="BM176" s="275"/>
      <c r="BN176" s="275"/>
      <c r="BO176" s="438"/>
      <c r="BP176" s="436"/>
      <c r="BQ176" s="275"/>
      <c r="BR176" s="275"/>
      <c r="BS176" s="275"/>
      <c r="BT176" s="275"/>
      <c r="BU176" s="275"/>
      <c r="BV176" s="275"/>
      <c r="BW176" s="275"/>
      <c r="BX176" s="438"/>
      <c r="BY176" s="436"/>
      <c r="BZ176" s="275"/>
      <c r="CA176" s="275"/>
      <c r="CB176" s="275"/>
      <c r="CC176" s="275"/>
      <c r="CD176" s="275"/>
      <c r="CE176" s="275"/>
      <c r="CF176" s="275"/>
      <c r="CG176" s="438"/>
      <c r="CH176" s="436"/>
      <c r="CI176" s="275"/>
      <c r="CJ176" s="275"/>
      <c r="CK176" s="275"/>
      <c r="CL176" s="275"/>
      <c r="CM176" s="275"/>
      <c r="CN176" s="275"/>
      <c r="CO176" s="442"/>
      <c r="CP176" s="443"/>
      <c r="CQ176" s="429">
        <f t="shared" si="23"/>
        <v>0</v>
      </c>
      <c r="CR176" s="430"/>
    </row>
    <row r="177" spans="1:96" ht="25.5" customHeight="1" x14ac:dyDescent="0.2">
      <c r="A177" s="410">
        <f t="shared" si="24"/>
        <v>162</v>
      </c>
      <c r="B177" s="280"/>
      <c r="C177" s="280"/>
      <c r="D177" s="411"/>
      <c r="E177" s="254"/>
      <c r="F177" s="277"/>
      <c r="G177" s="450"/>
      <c r="H177" s="451"/>
      <c r="I177" s="433" t="str">
        <f t="shared" si="18"/>
        <v/>
      </c>
      <c r="J177" s="434">
        <f t="shared" si="19"/>
        <v>0</v>
      </c>
      <c r="K177" s="452"/>
      <c r="L177" s="276"/>
      <c r="M177" s="435"/>
      <c r="N177" s="417" t="str">
        <f t="shared" si="20"/>
        <v/>
      </c>
      <c r="O177" s="418" t="str">
        <f>IF('Data Set up'!$G$40="JUNE",IF(OR($N177=7,$N177=8,$N177=9),1,IF(OR($N177=10,$N177=11,$N177=12),2,IF(OR($N177=1,$N177=2,$N177=3),3,IF(OR($N177=4,$N177=5,$N177=6),4,"")))),IF(OR($N177=9,$N177=10,$N177=11),1,IF(OR($N177=12,$N177=1,$N177=2),2,IF(OR($N177=3,$N177=4,$N177=5),3,IF(OR($N177=6,$N177=7,$N177=8),4,"")))))</f>
        <v/>
      </c>
      <c r="P177" s="445"/>
      <c r="Q177" s="291"/>
      <c r="R177" s="291"/>
      <c r="S177" s="275"/>
      <c r="T177" s="275"/>
      <c r="U177" s="275"/>
      <c r="V177" s="275"/>
      <c r="W177" s="275"/>
      <c r="X177" s="275"/>
      <c r="Y177" s="275"/>
      <c r="Z177" s="275"/>
      <c r="AA177" s="275"/>
      <c r="AB177" s="275"/>
      <c r="AC177" s="275"/>
      <c r="AD177" s="275"/>
      <c r="AE177" s="275"/>
      <c r="AF177" s="275"/>
      <c r="AG177" s="275"/>
      <c r="AH177" s="438"/>
      <c r="AI177" s="439">
        <f t="shared" si="21"/>
        <v>0</v>
      </c>
      <c r="AJ177" s="263"/>
      <c r="AK177" s="263"/>
      <c r="AL177" s="263"/>
      <c r="AM177" s="263"/>
      <c r="AN177" s="263"/>
      <c r="AO177" s="263"/>
      <c r="AP177" s="263"/>
      <c r="AQ177" s="436"/>
      <c r="AR177" s="275"/>
      <c r="AS177" s="275"/>
      <c r="AT177" s="275"/>
      <c r="AU177" s="275"/>
      <c r="AV177" s="275"/>
      <c r="AW177" s="275"/>
      <c r="AX177" s="275"/>
      <c r="AY177" s="437"/>
      <c r="AZ177" s="440">
        <f t="shared" si="22"/>
        <v>0</v>
      </c>
      <c r="BA177" s="275"/>
      <c r="BB177" s="275"/>
      <c r="BC177" s="275"/>
      <c r="BD177" s="275"/>
      <c r="BE177" s="275"/>
      <c r="BF177" s="275"/>
      <c r="BG177" s="275"/>
      <c r="BH177" s="436"/>
      <c r="BI177" s="275"/>
      <c r="BJ177" s="275"/>
      <c r="BK177" s="291"/>
      <c r="BL177" s="291"/>
      <c r="BM177" s="275"/>
      <c r="BN177" s="275"/>
      <c r="BO177" s="438"/>
      <c r="BP177" s="436"/>
      <c r="BQ177" s="275"/>
      <c r="BR177" s="275"/>
      <c r="BS177" s="275"/>
      <c r="BT177" s="275"/>
      <c r="BU177" s="275"/>
      <c r="BV177" s="275"/>
      <c r="BW177" s="275"/>
      <c r="BX177" s="438"/>
      <c r="BY177" s="436"/>
      <c r="BZ177" s="275"/>
      <c r="CA177" s="275"/>
      <c r="CB177" s="275"/>
      <c r="CC177" s="275"/>
      <c r="CD177" s="275"/>
      <c r="CE177" s="275"/>
      <c r="CF177" s="275"/>
      <c r="CG177" s="438"/>
      <c r="CH177" s="436"/>
      <c r="CI177" s="275"/>
      <c r="CJ177" s="275"/>
      <c r="CK177" s="275"/>
      <c r="CL177" s="275"/>
      <c r="CM177" s="275"/>
      <c r="CN177" s="275"/>
      <c r="CO177" s="442"/>
      <c r="CP177" s="443"/>
      <c r="CQ177" s="429">
        <f t="shared" si="23"/>
        <v>0</v>
      </c>
      <c r="CR177" s="430"/>
    </row>
    <row r="178" spans="1:96" ht="25.5" customHeight="1" x14ac:dyDescent="0.2">
      <c r="A178" s="410">
        <f t="shared" si="24"/>
        <v>163</v>
      </c>
      <c r="B178" s="280"/>
      <c r="C178" s="280"/>
      <c r="D178" s="411"/>
      <c r="E178" s="254"/>
      <c r="F178" s="277"/>
      <c r="G178" s="450"/>
      <c r="H178" s="451"/>
      <c r="I178" s="433" t="str">
        <f t="shared" si="18"/>
        <v/>
      </c>
      <c r="J178" s="434">
        <f t="shared" si="19"/>
        <v>0</v>
      </c>
      <c r="K178" s="452"/>
      <c r="L178" s="276"/>
      <c r="M178" s="435"/>
      <c r="N178" s="417" t="str">
        <f t="shared" si="20"/>
        <v/>
      </c>
      <c r="O178" s="418" t="str">
        <f>IF('Data Set up'!$G$40="JUNE",IF(OR($N178=7,$N178=8,$N178=9),1,IF(OR($N178=10,$N178=11,$N178=12),2,IF(OR($N178=1,$N178=2,$N178=3),3,IF(OR($N178=4,$N178=5,$N178=6),4,"")))),IF(OR($N178=9,$N178=10,$N178=11),1,IF(OR($N178=12,$N178=1,$N178=2),2,IF(OR($N178=3,$N178=4,$N178=5),3,IF(OR($N178=6,$N178=7,$N178=8),4,"")))))</f>
        <v/>
      </c>
      <c r="P178" s="445"/>
      <c r="Q178" s="291"/>
      <c r="R178" s="291"/>
      <c r="S178" s="275"/>
      <c r="T178" s="275"/>
      <c r="U178" s="275"/>
      <c r="V178" s="275"/>
      <c r="W178" s="275"/>
      <c r="X178" s="275"/>
      <c r="Y178" s="275"/>
      <c r="Z178" s="275"/>
      <c r="AA178" s="275"/>
      <c r="AB178" s="275"/>
      <c r="AC178" s="275"/>
      <c r="AD178" s="275"/>
      <c r="AE178" s="275"/>
      <c r="AF178" s="275"/>
      <c r="AG178" s="275"/>
      <c r="AH178" s="438"/>
      <c r="AI178" s="439">
        <f t="shared" si="21"/>
        <v>0</v>
      </c>
      <c r="AJ178" s="263"/>
      <c r="AK178" s="263"/>
      <c r="AL178" s="263"/>
      <c r="AM178" s="263"/>
      <c r="AN178" s="263"/>
      <c r="AO178" s="263"/>
      <c r="AP178" s="263"/>
      <c r="AQ178" s="436"/>
      <c r="AR178" s="275"/>
      <c r="AS178" s="275"/>
      <c r="AT178" s="275"/>
      <c r="AU178" s="275"/>
      <c r="AV178" s="275"/>
      <c r="AW178" s="275"/>
      <c r="AX178" s="275"/>
      <c r="AY178" s="437"/>
      <c r="AZ178" s="440">
        <f t="shared" si="22"/>
        <v>0</v>
      </c>
      <c r="BA178" s="275"/>
      <c r="BB178" s="275"/>
      <c r="BC178" s="275"/>
      <c r="BD178" s="275"/>
      <c r="BE178" s="275"/>
      <c r="BF178" s="275"/>
      <c r="BG178" s="275"/>
      <c r="BH178" s="436"/>
      <c r="BI178" s="275"/>
      <c r="BJ178" s="275"/>
      <c r="BK178" s="291"/>
      <c r="BL178" s="291"/>
      <c r="BM178" s="275"/>
      <c r="BN178" s="275"/>
      <c r="BO178" s="438"/>
      <c r="BP178" s="436"/>
      <c r="BQ178" s="275"/>
      <c r="BR178" s="275"/>
      <c r="BS178" s="275"/>
      <c r="BT178" s="275"/>
      <c r="BU178" s="275"/>
      <c r="BV178" s="275"/>
      <c r="BW178" s="275"/>
      <c r="BX178" s="438"/>
      <c r="BY178" s="436"/>
      <c r="BZ178" s="275"/>
      <c r="CA178" s="275"/>
      <c r="CB178" s="275"/>
      <c r="CC178" s="275"/>
      <c r="CD178" s="275"/>
      <c r="CE178" s="275"/>
      <c r="CF178" s="275"/>
      <c r="CG178" s="438"/>
      <c r="CH178" s="436"/>
      <c r="CI178" s="275"/>
      <c r="CJ178" s="275"/>
      <c r="CK178" s="275"/>
      <c r="CL178" s="275"/>
      <c r="CM178" s="275"/>
      <c r="CN178" s="275"/>
      <c r="CO178" s="442"/>
      <c r="CP178" s="443"/>
      <c r="CQ178" s="429">
        <f t="shared" si="23"/>
        <v>0</v>
      </c>
      <c r="CR178" s="430"/>
    </row>
    <row r="179" spans="1:96" ht="25.5" customHeight="1" x14ac:dyDescent="0.2">
      <c r="A179" s="410">
        <f t="shared" si="24"/>
        <v>164</v>
      </c>
      <c r="B179" s="280"/>
      <c r="C179" s="280"/>
      <c r="D179" s="411"/>
      <c r="E179" s="254"/>
      <c r="F179" s="277"/>
      <c r="G179" s="450"/>
      <c r="H179" s="451"/>
      <c r="I179" s="433" t="str">
        <f t="shared" si="18"/>
        <v/>
      </c>
      <c r="J179" s="434">
        <f t="shared" si="19"/>
        <v>0</v>
      </c>
      <c r="K179" s="452"/>
      <c r="L179" s="276"/>
      <c r="M179" s="435"/>
      <c r="N179" s="417" t="str">
        <f t="shared" si="20"/>
        <v/>
      </c>
      <c r="O179" s="418" t="str">
        <f>IF('Data Set up'!$G$40="JUNE",IF(OR($N179=7,$N179=8,$N179=9),1,IF(OR($N179=10,$N179=11,$N179=12),2,IF(OR($N179=1,$N179=2,$N179=3),3,IF(OR($N179=4,$N179=5,$N179=6),4,"")))),IF(OR($N179=9,$N179=10,$N179=11),1,IF(OR($N179=12,$N179=1,$N179=2),2,IF(OR($N179=3,$N179=4,$N179=5),3,IF(OR($N179=6,$N179=7,$N179=8),4,"")))))</f>
        <v/>
      </c>
      <c r="P179" s="445"/>
      <c r="Q179" s="291"/>
      <c r="R179" s="291"/>
      <c r="S179" s="275"/>
      <c r="T179" s="275"/>
      <c r="U179" s="275"/>
      <c r="V179" s="275"/>
      <c r="W179" s="275"/>
      <c r="X179" s="275"/>
      <c r="Y179" s="275"/>
      <c r="Z179" s="275"/>
      <c r="AA179" s="275"/>
      <c r="AB179" s="275"/>
      <c r="AC179" s="275"/>
      <c r="AD179" s="275"/>
      <c r="AE179" s="275"/>
      <c r="AF179" s="275"/>
      <c r="AG179" s="275"/>
      <c r="AH179" s="438"/>
      <c r="AI179" s="439">
        <f t="shared" si="21"/>
        <v>0</v>
      </c>
      <c r="AJ179" s="263"/>
      <c r="AK179" s="263"/>
      <c r="AL179" s="263"/>
      <c r="AM179" s="263"/>
      <c r="AN179" s="263"/>
      <c r="AO179" s="263"/>
      <c r="AP179" s="263"/>
      <c r="AQ179" s="436"/>
      <c r="AR179" s="275"/>
      <c r="AS179" s="275"/>
      <c r="AT179" s="275"/>
      <c r="AU179" s="275"/>
      <c r="AV179" s="275"/>
      <c r="AW179" s="275"/>
      <c r="AX179" s="275"/>
      <c r="AY179" s="437"/>
      <c r="AZ179" s="440">
        <f t="shared" si="22"/>
        <v>0</v>
      </c>
      <c r="BA179" s="275"/>
      <c r="BB179" s="275"/>
      <c r="BC179" s="275"/>
      <c r="BD179" s="275"/>
      <c r="BE179" s="275"/>
      <c r="BF179" s="275"/>
      <c r="BG179" s="275"/>
      <c r="BH179" s="436"/>
      <c r="BI179" s="275"/>
      <c r="BJ179" s="275"/>
      <c r="BK179" s="291"/>
      <c r="BL179" s="291"/>
      <c r="BM179" s="275"/>
      <c r="BN179" s="275"/>
      <c r="BO179" s="438"/>
      <c r="BP179" s="436"/>
      <c r="BQ179" s="275"/>
      <c r="BR179" s="275"/>
      <c r="BS179" s="275"/>
      <c r="BT179" s="275"/>
      <c r="BU179" s="275"/>
      <c r="BV179" s="275"/>
      <c r="BW179" s="275"/>
      <c r="BX179" s="438"/>
      <c r="BY179" s="436"/>
      <c r="BZ179" s="275"/>
      <c r="CA179" s="275"/>
      <c r="CB179" s="275"/>
      <c r="CC179" s="275"/>
      <c r="CD179" s="275"/>
      <c r="CE179" s="275"/>
      <c r="CF179" s="275"/>
      <c r="CG179" s="438"/>
      <c r="CH179" s="436"/>
      <c r="CI179" s="275"/>
      <c r="CJ179" s="275"/>
      <c r="CK179" s="275"/>
      <c r="CL179" s="275"/>
      <c r="CM179" s="275"/>
      <c r="CN179" s="275"/>
      <c r="CO179" s="442"/>
      <c r="CP179" s="443"/>
      <c r="CQ179" s="429">
        <f t="shared" si="23"/>
        <v>0</v>
      </c>
      <c r="CR179" s="430"/>
    </row>
    <row r="180" spans="1:96" ht="25.5" customHeight="1" x14ac:dyDescent="0.2">
      <c r="A180" s="410">
        <f t="shared" si="24"/>
        <v>165</v>
      </c>
      <c r="B180" s="280"/>
      <c r="C180" s="280"/>
      <c r="D180" s="411"/>
      <c r="E180" s="254"/>
      <c r="F180" s="277"/>
      <c r="G180" s="450"/>
      <c r="H180" s="451"/>
      <c r="I180" s="433" t="str">
        <f t="shared" si="18"/>
        <v/>
      </c>
      <c r="J180" s="434">
        <f t="shared" si="19"/>
        <v>0</v>
      </c>
      <c r="K180" s="452"/>
      <c r="L180" s="276"/>
      <c r="M180" s="435"/>
      <c r="N180" s="417" t="str">
        <f t="shared" si="20"/>
        <v/>
      </c>
      <c r="O180" s="418" t="str">
        <f>IF('Data Set up'!$G$40="JUNE",IF(OR($N180=7,$N180=8,$N180=9),1,IF(OR($N180=10,$N180=11,$N180=12),2,IF(OR($N180=1,$N180=2,$N180=3),3,IF(OR($N180=4,$N180=5,$N180=6),4,"")))),IF(OR($N180=9,$N180=10,$N180=11),1,IF(OR($N180=12,$N180=1,$N180=2),2,IF(OR($N180=3,$N180=4,$N180=5),3,IF(OR($N180=6,$N180=7,$N180=8),4,"")))))</f>
        <v/>
      </c>
      <c r="P180" s="445"/>
      <c r="Q180" s="291"/>
      <c r="R180" s="291"/>
      <c r="S180" s="275"/>
      <c r="T180" s="275"/>
      <c r="U180" s="275"/>
      <c r="V180" s="275"/>
      <c r="W180" s="275"/>
      <c r="X180" s="275"/>
      <c r="Y180" s="275"/>
      <c r="Z180" s="275"/>
      <c r="AA180" s="275"/>
      <c r="AB180" s="275"/>
      <c r="AC180" s="275"/>
      <c r="AD180" s="275"/>
      <c r="AE180" s="275"/>
      <c r="AF180" s="275"/>
      <c r="AG180" s="275"/>
      <c r="AH180" s="438"/>
      <c r="AI180" s="439">
        <f t="shared" si="21"/>
        <v>0</v>
      </c>
      <c r="AJ180" s="263"/>
      <c r="AK180" s="263"/>
      <c r="AL180" s="263"/>
      <c r="AM180" s="263"/>
      <c r="AN180" s="263"/>
      <c r="AO180" s="263"/>
      <c r="AP180" s="263"/>
      <c r="AQ180" s="436"/>
      <c r="AR180" s="275"/>
      <c r="AS180" s="275"/>
      <c r="AT180" s="275"/>
      <c r="AU180" s="275"/>
      <c r="AV180" s="275"/>
      <c r="AW180" s="275"/>
      <c r="AX180" s="275"/>
      <c r="AY180" s="437"/>
      <c r="AZ180" s="440">
        <f t="shared" si="22"/>
        <v>0</v>
      </c>
      <c r="BA180" s="275"/>
      <c r="BB180" s="275"/>
      <c r="BC180" s="275"/>
      <c r="BD180" s="275"/>
      <c r="BE180" s="275"/>
      <c r="BF180" s="275"/>
      <c r="BG180" s="275"/>
      <c r="BH180" s="436"/>
      <c r="BI180" s="275"/>
      <c r="BJ180" s="275"/>
      <c r="BK180" s="291"/>
      <c r="BL180" s="291"/>
      <c r="BM180" s="275"/>
      <c r="BN180" s="275"/>
      <c r="BO180" s="438"/>
      <c r="BP180" s="436"/>
      <c r="BQ180" s="275"/>
      <c r="BR180" s="275"/>
      <c r="BS180" s="275"/>
      <c r="BT180" s="275"/>
      <c r="BU180" s="275"/>
      <c r="BV180" s="275"/>
      <c r="BW180" s="275"/>
      <c r="BX180" s="438"/>
      <c r="BY180" s="436"/>
      <c r="BZ180" s="275"/>
      <c r="CA180" s="275"/>
      <c r="CB180" s="275"/>
      <c r="CC180" s="275"/>
      <c r="CD180" s="275"/>
      <c r="CE180" s="275"/>
      <c r="CF180" s="275"/>
      <c r="CG180" s="438"/>
      <c r="CH180" s="436"/>
      <c r="CI180" s="275"/>
      <c r="CJ180" s="275"/>
      <c r="CK180" s="275"/>
      <c r="CL180" s="275"/>
      <c r="CM180" s="275"/>
      <c r="CN180" s="275"/>
      <c r="CO180" s="442"/>
      <c r="CP180" s="443"/>
      <c r="CQ180" s="429">
        <f t="shared" si="23"/>
        <v>0</v>
      </c>
      <c r="CR180" s="430"/>
    </row>
    <row r="181" spans="1:96" ht="25.5" customHeight="1" x14ac:dyDescent="0.2">
      <c r="A181" s="410">
        <f t="shared" si="24"/>
        <v>166</v>
      </c>
      <c r="B181" s="280"/>
      <c r="C181" s="280"/>
      <c r="D181" s="411"/>
      <c r="E181" s="254"/>
      <c r="F181" s="277"/>
      <c r="G181" s="450"/>
      <c r="H181" s="451"/>
      <c r="I181" s="433" t="str">
        <f t="shared" si="18"/>
        <v/>
      </c>
      <c r="J181" s="434">
        <f t="shared" si="19"/>
        <v>0</v>
      </c>
      <c r="K181" s="452"/>
      <c r="L181" s="276"/>
      <c r="M181" s="435"/>
      <c r="N181" s="417" t="str">
        <f t="shared" si="20"/>
        <v/>
      </c>
      <c r="O181" s="418" t="str">
        <f>IF('Data Set up'!$G$40="JUNE",IF(OR($N181=7,$N181=8,$N181=9),1,IF(OR($N181=10,$N181=11,$N181=12),2,IF(OR($N181=1,$N181=2,$N181=3),3,IF(OR($N181=4,$N181=5,$N181=6),4,"")))),IF(OR($N181=9,$N181=10,$N181=11),1,IF(OR($N181=12,$N181=1,$N181=2),2,IF(OR($N181=3,$N181=4,$N181=5),3,IF(OR($N181=6,$N181=7,$N181=8),4,"")))))</f>
        <v/>
      </c>
      <c r="P181" s="445"/>
      <c r="Q181" s="291"/>
      <c r="R181" s="291"/>
      <c r="S181" s="275"/>
      <c r="T181" s="275"/>
      <c r="U181" s="275"/>
      <c r="V181" s="275"/>
      <c r="W181" s="275"/>
      <c r="X181" s="275"/>
      <c r="Y181" s="275"/>
      <c r="Z181" s="275"/>
      <c r="AA181" s="275"/>
      <c r="AB181" s="275"/>
      <c r="AC181" s="275"/>
      <c r="AD181" s="275"/>
      <c r="AE181" s="275"/>
      <c r="AF181" s="275"/>
      <c r="AG181" s="275"/>
      <c r="AH181" s="438"/>
      <c r="AI181" s="439">
        <f t="shared" si="21"/>
        <v>0</v>
      </c>
      <c r="AJ181" s="263"/>
      <c r="AK181" s="263"/>
      <c r="AL181" s="263"/>
      <c r="AM181" s="263"/>
      <c r="AN181" s="263"/>
      <c r="AO181" s="263"/>
      <c r="AP181" s="263"/>
      <c r="AQ181" s="436"/>
      <c r="AR181" s="275"/>
      <c r="AS181" s="275"/>
      <c r="AT181" s="275"/>
      <c r="AU181" s="275"/>
      <c r="AV181" s="275"/>
      <c r="AW181" s="275"/>
      <c r="AX181" s="275"/>
      <c r="AY181" s="437"/>
      <c r="AZ181" s="440">
        <f t="shared" si="22"/>
        <v>0</v>
      </c>
      <c r="BA181" s="275"/>
      <c r="BB181" s="275"/>
      <c r="BC181" s="275"/>
      <c r="BD181" s="275"/>
      <c r="BE181" s="275"/>
      <c r="BF181" s="275"/>
      <c r="BG181" s="275"/>
      <c r="BH181" s="436"/>
      <c r="BI181" s="275"/>
      <c r="BJ181" s="275"/>
      <c r="BK181" s="291"/>
      <c r="BL181" s="291"/>
      <c r="BM181" s="275"/>
      <c r="BN181" s="275"/>
      <c r="BO181" s="438"/>
      <c r="BP181" s="436"/>
      <c r="BQ181" s="275"/>
      <c r="BR181" s="275"/>
      <c r="BS181" s="275"/>
      <c r="BT181" s="275"/>
      <c r="BU181" s="275"/>
      <c r="BV181" s="275"/>
      <c r="BW181" s="275"/>
      <c r="BX181" s="438"/>
      <c r="BY181" s="436"/>
      <c r="BZ181" s="275"/>
      <c r="CA181" s="275"/>
      <c r="CB181" s="275"/>
      <c r="CC181" s="275"/>
      <c r="CD181" s="275"/>
      <c r="CE181" s="275"/>
      <c r="CF181" s="275"/>
      <c r="CG181" s="438"/>
      <c r="CH181" s="436"/>
      <c r="CI181" s="275"/>
      <c r="CJ181" s="275"/>
      <c r="CK181" s="275"/>
      <c r="CL181" s="275"/>
      <c r="CM181" s="275"/>
      <c r="CN181" s="275"/>
      <c r="CO181" s="442"/>
      <c r="CP181" s="443"/>
      <c r="CQ181" s="429">
        <f t="shared" si="23"/>
        <v>0</v>
      </c>
      <c r="CR181" s="430"/>
    </row>
    <row r="182" spans="1:96" ht="25.5" customHeight="1" x14ac:dyDescent="0.2">
      <c r="A182" s="410">
        <f t="shared" si="24"/>
        <v>167</v>
      </c>
      <c r="B182" s="280"/>
      <c r="C182" s="280"/>
      <c r="D182" s="411"/>
      <c r="E182" s="254"/>
      <c r="F182" s="277"/>
      <c r="G182" s="450"/>
      <c r="H182" s="451"/>
      <c r="I182" s="433" t="str">
        <f t="shared" si="18"/>
        <v/>
      </c>
      <c r="J182" s="434">
        <f t="shared" si="19"/>
        <v>0</v>
      </c>
      <c r="K182" s="452"/>
      <c r="L182" s="276"/>
      <c r="M182" s="435"/>
      <c r="N182" s="417" t="str">
        <f t="shared" si="20"/>
        <v/>
      </c>
      <c r="O182" s="418" t="str">
        <f>IF('Data Set up'!$G$40="JUNE",IF(OR($N182=7,$N182=8,$N182=9),1,IF(OR($N182=10,$N182=11,$N182=12),2,IF(OR($N182=1,$N182=2,$N182=3),3,IF(OR($N182=4,$N182=5,$N182=6),4,"")))),IF(OR($N182=9,$N182=10,$N182=11),1,IF(OR($N182=12,$N182=1,$N182=2),2,IF(OR($N182=3,$N182=4,$N182=5),3,IF(OR($N182=6,$N182=7,$N182=8),4,"")))))</f>
        <v/>
      </c>
      <c r="P182" s="445"/>
      <c r="Q182" s="291"/>
      <c r="R182" s="291"/>
      <c r="S182" s="275"/>
      <c r="T182" s="275"/>
      <c r="U182" s="275"/>
      <c r="V182" s="275"/>
      <c r="W182" s="275"/>
      <c r="X182" s="275"/>
      <c r="Y182" s="275"/>
      <c r="Z182" s="275"/>
      <c r="AA182" s="275"/>
      <c r="AB182" s="275"/>
      <c r="AC182" s="275"/>
      <c r="AD182" s="275"/>
      <c r="AE182" s="275"/>
      <c r="AF182" s="275"/>
      <c r="AG182" s="275"/>
      <c r="AH182" s="438"/>
      <c r="AI182" s="439">
        <f t="shared" si="21"/>
        <v>0</v>
      </c>
      <c r="AJ182" s="263"/>
      <c r="AK182" s="263"/>
      <c r="AL182" s="263"/>
      <c r="AM182" s="263"/>
      <c r="AN182" s="263"/>
      <c r="AO182" s="263"/>
      <c r="AP182" s="263"/>
      <c r="AQ182" s="436"/>
      <c r="AR182" s="275"/>
      <c r="AS182" s="275"/>
      <c r="AT182" s="275"/>
      <c r="AU182" s="275"/>
      <c r="AV182" s="275"/>
      <c r="AW182" s="275"/>
      <c r="AX182" s="275"/>
      <c r="AY182" s="437"/>
      <c r="AZ182" s="440">
        <f t="shared" si="22"/>
        <v>0</v>
      </c>
      <c r="BA182" s="275"/>
      <c r="BB182" s="275"/>
      <c r="BC182" s="275"/>
      <c r="BD182" s="275"/>
      <c r="BE182" s="275"/>
      <c r="BF182" s="275"/>
      <c r="BG182" s="275"/>
      <c r="BH182" s="436"/>
      <c r="BI182" s="275"/>
      <c r="BJ182" s="275"/>
      <c r="BK182" s="291"/>
      <c r="BL182" s="291"/>
      <c r="BM182" s="275"/>
      <c r="BN182" s="275"/>
      <c r="BO182" s="438"/>
      <c r="BP182" s="436"/>
      <c r="BQ182" s="275"/>
      <c r="BR182" s="275"/>
      <c r="BS182" s="275"/>
      <c r="BT182" s="275"/>
      <c r="BU182" s="275"/>
      <c r="BV182" s="275"/>
      <c r="BW182" s="275"/>
      <c r="BX182" s="438"/>
      <c r="BY182" s="436"/>
      <c r="BZ182" s="275"/>
      <c r="CA182" s="275"/>
      <c r="CB182" s="275"/>
      <c r="CC182" s="275"/>
      <c r="CD182" s="275"/>
      <c r="CE182" s="275"/>
      <c r="CF182" s="275"/>
      <c r="CG182" s="438"/>
      <c r="CH182" s="436"/>
      <c r="CI182" s="275"/>
      <c r="CJ182" s="275"/>
      <c r="CK182" s="275"/>
      <c r="CL182" s="275"/>
      <c r="CM182" s="275"/>
      <c r="CN182" s="275"/>
      <c r="CO182" s="442"/>
      <c r="CP182" s="443"/>
      <c r="CQ182" s="429">
        <f t="shared" si="23"/>
        <v>0</v>
      </c>
      <c r="CR182" s="430"/>
    </row>
    <row r="183" spans="1:96" ht="25.5" customHeight="1" x14ac:dyDescent="0.2">
      <c r="A183" s="410">
        <f t="shared" si="24"/>
        <v>168</v>
      </c>
      <c r="B183" s="280"/>
      <c r="C183" s="280"/>
      <c r="D183" s="411"/>
      <c r="E183" s="254"/>
      <c r="F183" s="277"/>
      <c r="G183" s="450"/>
      <c r="H183" s="451"/>
      <c r="I183" s="433" t="str">
        <f t="shared" si="18"/>
        <v/>
      </c>
      <c r="J183" s="434">
        <f t="shared" si="19"/>
        <v>0</v>
      </c>
      <c r="K183" s="452"/>
      <c r="L183" s="276"/>
      <c r="M183" s="435"/>
      <c r="N183" s="417" t="str">
        <f t="shared" si="20"/>
        <v/>
      </c>
      <c r="O183" s="418" t="str">
        <f>IF('Data Set up'!$G$40="JUNE",IF(OR($N183=7,$N183=8,$N183=9),1,IF(OR($N183=10,$N183=11,$N183=12),2,IF(OR($N183=1,$N183=2,$N183=3),3,IF(OR($N183=4,$N183=5,$N183=6),4,"")))),IF(OR($N183=9,$N183=10,$N183=11),1,IF(OR($N183=12,$N183=1,$N183=2),2,IF(OR($N183=3,$N183=4,$N183=5),3,IF(OR($N183=6,$N183=7,$N183=8),4,"")))))</f>
        <v/>
      </c>
      <c r="P183" s="445"/>
      <c r="Q183" s="291"/>
      <c r="R183" s="291"/>
      <c r="S183" s="275"/>
      <c r="T183" s="275"/>
      <c r="U183" s="275"/>
      <c r="V183" s="275"/>
      <c r="W183" s="275"/>
      <c r="X183" s="275"/>
      <c r="Y183" s="275"/>
      <c r="Z183" s="275"/>
      <c r="AA183" s="275"/>
      <c r="AB183" s="275"/>
      <c r="AC183" s="275"/>
      <c r="AD183" s="275"/>
      <c r="AE183" s="275"/>
      <c r="AF183" s="275"/>
      <c r="AG183" s="275"/>
      <c r="AH183" s="438"/>
      <c r="AI183" s="439">
        <f t="shared" si="21"/>
        <v>0</v>
      </c>
      <c r="AJ183" s="263"/>
      <c r="AK183" s="263"/>
      <c r="AL183" s="263"/>
      <c r="AM183" s="263"/>
      <c r="AN183" s="263"/>
      <c r="AO183" s="263"/>
      <c r="AP183" s="263"/>
      <c r="AQ183" s="436"/>
      <c r="AR183" s="275"/>
      <c r="AS183" s="275"/>
      <c r="AT183" s="275"/>
      <c r="AU183" s="275"/>
      <c r="AV183" s="275"/>
      <c r="AW183" s="275"/>
      <c r="AX183" s="275"/>
      <c r="AY183" s="437"/>
      <c r="AZ183" s="440">
        <f t="shared" si="22"/>
        <v>0</v>
      </c>
      <c r="BA183" s="275"/>
      <c r="BB183" s="275"/>
      <c r="BC183" s="275"/>
      <c r="BD183" s="275"/>
      <c r="BE183" s="275"/>
      <c r="BF183" s="275"/>
      <c r="BG183" s="275"/>
      <c r="BH183" s="436"/>
      <c r="BI183" s="275"/>
      <c r="BJ183" s="275"/>
      <c r="BK183" s="291"/>
      <c r="BL183" s="291"/>
      <c r="BM183" s="275"/>
      <c r="BN183" s="275"/>
      <c r="BO183" s="438"/>
      <c r="BP183" s="436"/>
      <c r="BQ183" s="275"/>
      <c r="BR183" s="275"/>
      <c r="BS183" s="275"/>
      <c r="BT183" s="275"/>
      <c r="BU183" s="275"/>
      <c r="BV183" s="275"/>
      <c r="BW183" s="275"/>
      <c r="BX183" s="438"/>
      <c r="BY183" s="436"/>
      <c r="BZ183" s="275"/>
      <c r="CA183" s="275"/>
      <c r="CB183" s="275"/>
      <c r="CC183" s="275"/>
      <c r="CD183" s="275"/>
      <c r="CE183" s="275"/>
      <c r="CF183" s="275"/>
      <c r="CG183" s="438"/>
      <c r="CH183" s="436"/>
      <c r="CI183" s="275"/>
      <c r="CJ183" s="275"/>
      <c r="CK183" s="275"/>
      <c r="CL183" s="275"/>
      <c r="CM183" s="275"/>
      <c r="CN183" s="275"/>
      <c r="CO183" s="442"/>
      <c r="CP183" s="443"/>
      <c r="CQ183" s="429">
        <f t="shared" si="23"/>
        <v>0</v>
      </c>
      <c r="CR183" s="430"/>
    </row>
    <row r="184" spans="1:96" ht="25.5" customHeight="1" x14ac:dyDescent="0.2">
      <c r="A184" s="410">
        <f t="shared" si="24"/>
        <v>169</v>
      </c>
      <c r="B184" s="280"/>
      <c r="C184" s="280"/>
      <c r="D184" s="411"/>
      <c r="E184" s="254"/>
      <c r="F184" s="277"/>
      <c r="G184" s="450"/>
      <c r="H184" s="451"/>
      <c r="I184" s="433" t="str">
        <f t="shared" si="18"/>
        <v/>
      </c>
      <c r="J184" s="434">
        <f t="shared" si="19"/>
        <v>0</v>
      </c>
      <c r="K184" s="452"/>
      <c r="L184" s="276"/>
      <c r="M184" s="435"/>
      <c r="N184" s="417" t="str">
        <f t="shared" si="20"/>
        <v/>
      </c>
      <c r="O184" s="418" t="str">
        <f>IF('Data Set up'!$G$40="JUNE",IF(OR($N184=7,$N184=8,$N184=9),1,IF(OR($N184=10,$N184=11,$N184=12),2,IF(OR($N184=1,$N184=2,$N184=3),3,IF(OR($N184=4,$N184=5,$N184=6),4,"")))),IF(OR($N184=9,$N184=10,$N184=11),1,IF(OR($N184=12,$N184=1,$N184=2),2,IF(OR($N184=3,$N184=4,$N184=5),3,IF(OR($N184=6,$N184=7,$N184=8),4,"")))))</f>
        <v/>
      </c>
      <c r="P184" s="445"/>
      <c r="Q184" s="291"/>
      <c r="R184" s="291"/>
      <c r="S184" s="275"/>
      <c r="T184" s="275"/>
      <c r="U184" s="275"/>
      <c r="V184" s="275"/>
      <c r="W184" s="275"/>
      <c r="X184" s="275"/>
      <c r="Y184" s="275"/>
      <c r="Z184" s="275"/>
      <c r="AA184" s="275"/>
      <c r="AB184" s="275"/>
      <c r="AC184" s="275"/>
      <c r="AD184" s="275"/>
      <c r="AE184" s="275"/>
      <c r="AF184" s="275"/>
      <c r="AG184" s="275"/>
      <c r="AH184" s="438"/>
      <c r="AI184" s="439">
        <f t="shared" si="21"/>
        <v>0</v>
      </c>
      <c r="AJ184" s="263"/>
      <c r="AK184" s="263"/>
      <c r="AL184" s="263"/>
      <c r="AM184" s="263"/>
      <c r="AN184" s="263"/>
      <c r="AO184" s="263"/>
      <c r="AP184" s="263"/>
      <c r="AQ184" s="436"/>
      <c r="AR184" s="275"/>
      <c r="AS184" s="275"/>
      <c r="AT184" s="275"/>
      <c r="AU184" s="275"/>
      <c r="AV184" s="275"/>
      <c r="AW184" s="275"/>
      <c r="AX184" s="275"/>
      <c r="AY184" s="437"/>
      <c r="AZ184" s="440">
        <f t="shared" si="22"/>
        <v>0</v>
      </c>
      <c r="BA184" s="275"/>
      <c r="BB184" s="275"/>
      <c r="BC184" s="275"/>
      <c r="BD184" s="275"/>
      <c r="BE184" s="275"/>
      <c r="BF184" s="275"/>
      <c r="BG184" s="275"/>
      <c r="BH184" s="436"/>
      <c r="BI184" s="275"/>
      <c r="BJ184" s="275"/>
      <c r="BK184" s="291"/>
      <c r="BL184" s="291"/>
      <c r="BM184" s="275"/>
      <c r="BN184" s="275"/>
      <c r="BO184" s="438"/>
      <c r="BP184" s="436"/>
      <c r="BQ184" s="275"/>
      <c r="BR184" s="275"/>
      <c r="BS184" s="275"/>
      <c r="BT184" s="275"/>
      <c r="BU184" s="275"/>
      <c r="BV184" s="275"/>
      <c r="BW184" s="275"/>
      <c r="BX184" s="438"/>
      <c r="BY184" s="436"/>
      <c r="BZ184" s="275"/>
      <c r="CA184" s="275"/>
      <c r="CB184" s="275"/>
      <c r="CC184" s="275"/>
      <c r="CD184" s="275"/>
      <c r="CE184" s="275"/>
      <c r="CF184" s="275"/>
      <c r="CG184" s="438"/>
      <c r="CH184" s="436"/>
      <c r="CI184" s="275"/>
      <c r="CJ184" s="275"/>
      <c r="CK184" s="275"/>
      <c r="CL184" s="275"/>
      <c r="CM184" s="275"/>
      <c r="CN184" s="275"/>
      <c r="CO184" s="442"/>
      <c r="CP184" s="443"/>
      <c r="CQ184" s="429">
        <f t="shared" si="23"/>
        <v>0</v>
      </c>
      <c r="CR184" s="430"/>
    </row>
    <row r="185" spans="1:96" ht="25.5" customHeight="1" x14ac:dyDescent="0.2">
      <c r="A185" s="410">
        <f t="shared" si="24"/>
        <v>170</v>
      </c>
      <c r="B185" s="280"/>
      <c r="C185" s="280"/>
      <c r="D185" s="411"/>
      <c r="E185" s="254"/>
      <c r="F185" s="277"/>
      <c r="G185" s="450"/>
      <c r="H185" s="451"/>
      <c r="I185" s="433" t="str">
        <f t="shared" si="18"/>
        <v/>
      </c>
      <c r="J185" s="434">
        <f t="shared" si="19"/>
        <v>0</v>
      </c>
      <c r="K185" s="452"/>
      <c r="L185" s="276"/>
      <c r="M185" s="435"/>
      <c r="N185" s="417" t="str">
        <f t="shared" si="20"/>
        <v/>
      </c>
      <c r="O185" s="418" t="str">
        <f>IF('Data Set up'!$G$40="JUNE",IF(OR($N185=7,$N185=8,$N185=9),1,IF(OR($N185=10,$N185=11,$N185=12),2,IF(OR($N185=1,$N185=2,$N185=3),3,IF(OR($N185=4,$N185=5,$N185=6),4,"")))),IF(OR($N185=9,$N185=10,$N185=11),1,IF(OR($N185=12,$N185=1,$N185=2),2,IF(OR($N185=3,$N185=4,$N185=5),3,IF(OR($N185=6,$N185=7,$N185=8),4,"")))))</f>
        <v/>
      </c>
      <c r="P185" s="445"/>
      <c r="Q185" s="291"/>
      <c r="R185" s="291"/>
      <c r="S185" s="275"/>
      <c r="T185" s="275"/>
      <c r="U185" s="275"/>
      <c r="V185" s="275"/>
      <c r="W185" s="275"/>
      <c r="X185" s="275"/>
      <c r="Y185" s="275"/>
      <c r="Z185" s="275"/>
      <c r="AA185" s="275"/>
      <c r="AB185" s="275"/>
      <c r="AC185" s="275"/>
      <c r="AD185" s="275"/>
      <c r="AE185" s="275"/>
      <c r="AF185" s="275"/>
      <c r="AG185" s="275"/>
      <c r="AH185" s="438"/>
      <c r="AI185" s="439">
        <f t="shared" si="21"/>
        <v>0</v>
      </c>
      <c r="AJ185" s="263"/>
      <c r="AK185" s="263"/>
      <c r="AL185" s="263"/>
      <c r="AM185" s="263"/>
      <c r="AN185" s="263"/>
      <c r="AO185" s="263"/>
      <c r="AP185" s="263"/>
      <c r="AQ185" s="436"/>
      <c r="AR185" s="275"/>
      <c r="AS185" s="275"/>
      <c r="AT185" s="275"/>
      <c r="AU185" s="275"/>
      <c r="AV185" s="275"/>
      <c r="AW185" s="275"/>
      <c r="AX185" s="275"/>
      <c r="AY185" s="437"/>
      <c r="AZ185" s="440">
        <f t="shared" si="22"/>
        <v>0</v>
      </c>
      <c r="BA185" s="275"/>
      <c r="BB185" s="275"/>
      <c r="BC185" s="275"/>
      <c r="BD185" s="275"/>
      <c r="BE185" s="275"/>
      <c r="BF185" s="275"/>
      <c r="BG185" s="275"/>
      <c r="BH185" s="436"/>
      <c r="BI185" s="275"/>
      <c r="BJ185" s="275"/>
      <c r="BK185" s="291"/>
      <c r="BL185" s="291"/>
      <c r="BM185" s="275"/>
      <c r="BN185" s="275"/>
      <c r="BO185" s="438"/>
      <c r="BP185" s="436"/>
      <c r="BQ185" s="275"/>
      <c r="BR185" s="275"/>
      <c r="BS185" s="275"/>
      <c r="BT185" s="275"/>
      <c r="BU185" s="275"/>
      <c r="BV185" s="275"/>
      <c r="BW185" s="275"/>
      <c r="BX185" s="438"/>
      <c r="BY185" s="436"/>
      <c r="BZ185" s="275"/>
      <c r="CA185" s="275"/>
      <c r="CB185" s="275"/>
      <c r="CC185" s="275"/>
      <c r="CD185" s="275"/>
      <c r="CE185" s="275"/>
      <c r="CF185" s="275"/>
      <c r="CG185" s="438"/>
      <c r="CH185" s="436"/>
      <c r="CI185" s="275"/>
      <c r="CJ185" s="275"/>
      <c r="CK185" s="275"/>
      <c r="CL185" s="275"/>
      <c r="CM185" s="275"/>
      <c r="CN185" s="275"/>
      <c r="CO185" s="442"/>
      <c r="CP185" s="443"/>
      <c r="CQ185" s="429">
        <f t="shared" si="23"/>
        <v>0</v>
      </c>
      <c r="CR185" s="430"/>
    </row>
    <row r="186" spans="1:96" ht="25.5" customHeight="1" x14ac:dyDescent="0.2">
      <c r="A186" s="410">
        <f t="shared" si="24"/>
        <v>171</v>
      </c>
      <c r="B186" s="280"/>
      <c r="C186" s="280"/>
      <c r="D186" s="411"/>
      <c r="E186" s="254"/>
      <c r="F186" s="277"/>
      <c r="G186" s="450"/>
      <c r="H186" s="451"/>
      <c r="I186" s="433" t="str">
        <f t="shared" si="18"/>
        <v/>
      </c>
      <c r="J186" s="434">
        <f t="shared" si="19"/>
        <v>0</v>
      </c>
      <c r="K186" s="452"/>
      <c r="L186" s="276"/>
      <c r="M186" s="435"/>
      <c r="N186" s="417" t="str">
        <f t="shared" si="20"/>
        <v/>
      </c>
      <c r="O186" s="418" t="str">
        <f>IF('Data Set up'!$G$40="JUNE",IF(OR($N186=7,$N186=8,$N186=9),1,IF(OR($N186=10,$N186=11,$N186=12),2,IF(OR($N186=1,$N186=2,$N186=3),3,IF(OR($N186=4,$N186=5,$N186=6),4,"")))),IF(OR($N186=9,$N186=10,$N186=11),1,IF(OR($N186=12,$N186=1,$N186=2),2,IF(OR($N186=3,$N186=4,$N186=5),3,IF(OR($N186=6,$N186=7,$N186=8),4,"")))))</f>
        <v/>
      </c>
      <c r="P186" s="445"/>
      <c r="Q186" s="291"/>
      <c r="R186" s="291"/>
      <c r="S186" s="275"/>
      <c r="T186" s="275"/>
      <c r="U186" s="275"/>
      <c r="V186" s="275"/>
      <c r="W186" s="275"/>
      <c r="X186" s="275"/>
      <c r="Y186" s="275"/>
      <c r="Z186" s="275"/>
      <c r="AA186" s="275"/>
      <c r="AB186" s="275"/>
      <c r="AC186" s="275"/>
      <c r="AD186" s="275"/>
      <c r="AE186" s="275"/>
      <c r="AF186" s="275"/>
      <c r="AG186" s="275"/>
      <c r="AH186" s="438"/>
      <c r="AI186" s="439">
        <f t="shared" si="21"/>
        <v>0</v>
      </c>
      <c r="AJ186" s="263"/>
      <c r="AK186" s="263"/>
      <c r="AL186" s="263"/>
      <c r="AM186" s="263"/>
      <c r="AN186" s="263"/>
      <c r="AO186" s="263"/>
      <c r="AP186" s="263"/>
      <c r="AQ186" s="436"/>
      <c r="AR186" s="275"/>
      <c r="AS186" s="275"/>
      <c r="AT186" s="275"/>
      <c r="AU186" s="275"/>
      <c r="AV186" s="275"/>
      <c r="AW186" s="275"/>
      <c r="AX186" s="275"/>
      <c r="AY186" s="437"/>
      <c r="AZ186" s="440">
        <f t="shared" si="22"/>
        <v>0</v>
      </c>
      <c r="BA186" s="275"/>
      <c r="BB186" s="275"/>
      <c r="BC186" s="275"/>
      <c r="BD186" s="275"/>
      <c r="BE186" s="275"/>
      <c r="BF186" s="275"/>
      <c r="BG186" s="275"/>
      <c r="BH186" s="436"/>
      <c r="BI186" s="275"/>
      <c r="BJ186" s="275"/>
      <c r="BK186" s="291"/>
      <c r="BL186" s="291"/>
      <c r="BM186" s="275"/>
      <c r="BN186" s="275"/>
      <c r="BO186" s="438"/>
      <c r="BP186" s="436"/>
      <c r="BQ186" s="275"/>
      <c r="BR186" s="275"/>
      <c r="BS186" s="275"/>
      <c r="BT186" s="275"/>
      <c r="BU186" s="275"/>
      <c r="BV186" s="275"/>
      <c r="BW186" s="275"/>
      <c r="BX186" s="438"/>
      <c r="BY186" s="436"/>
      <c r="BZ186" s="275"/>
      <c r="CA186" s="275"/>
      <c r="CB186" s="275"/>
      <c r="CC186" s="275"/>
      <c r="CD186" s="275"/>
      <c r="CE186" s="275"/>
      <c r="CF186" s="275"/>
      <c r="CG186" s="438"/>
      <c r="CH186" s="436"/>
      <c r="CI186" s="275"/>
      <c r="CJ186" s="275"/>
      <c r="CK186" s="275"/>
      <c r="CL186" s="275"/>
      <c r="CM186" s="275"/>
      <c r="CN186" s="275"/>
      <c r="CO186" s="442"/>
      <c r="CP186" s="443"/>
      <c r="CQ186" s="429">
        <f t="shared" si="23"/>
        <v>0</v>
      </c>
      <c r="CR186" s="430"/>
    </row>
    <row r="187" spans="1:96" ht="25.5" customHeight="1" x14ac:dyDescent="0.2">
      <c r="A187" s="410">
        <f t="shared" si="24"/>
        <v>172</v>
      </c>
      <c r="B187" s="280"/>
      <c r="C187" s="280"/>
      <c r="D187" s="411"/>
      <c r="E187" s="254"/>
      <c r="F187" s="277"/>
      <c r="G187" s="450"/>
      <c r="H187" s="451"/>
      <c r="I187" s="433" t="str">
        <f t="shared" si="18"/>
        <v/>
      </c>
      <c r="J187" s="434">
        <f t="shared" si="19"/>
        <v>0</v>
      </c>
      <c r="K187" s="452"/>
      <c r="L187" s="276"/>
      <c r="M187" s="435"/>
      <c r="N187" s="417" t="str">
        <f t="shared" si="20"/>
        <v/>
      </c>
      <c r="O187" s="418" t="str">
        <f>IF('Data Set up'!$G$40="JUNE",IF(OR($N187=7,$N187=8,$N187=9),1,IF(OR($N187=10,$N187=11,$N187=12),2,IF(OR($N187=1,$N187=2,$N187=3),3,IF(OR($N187=4,$N187=5,$N187=6),4,"")))),IF(OR($N187=9,$N187=10,$N187=11),1,IF(OR($N187=12,$N187=1,$N187=2),2,IF(OR($N187=3,$N187=4,$N187=5),3,IF(OR($N187=6,$N187=7,$N187=8),4,"")))))</f>
        <v/>
      </c>
      <c r="P187" s="445"/>
      <c r="Q187" s="291"/>
      <c r="R187" s="291"/>
      <c r="S187" s="275"/>
      <c r="T187" s="275"/>
      <c r="U187" s="275"/>
      <c r="V187" s="275"/>
      <c r="W187" s="275"/>
      <c r="X187" s="275"/>
      <c r="Y187" s="275"/>
      <c r="Z187" s="275"/>
      <c r="AA187" s="275"/>
      <c r="AB187" s="275"/>
      <c r="AC187" s="275"/>
      <c r="AD187" s="275"/>
      <c r="AE187" s="275"/>
      <c r="AF187" s="275"/>
      <c r="AG187" s="275"/>
      <c r="AH187" s="438"/>
      <c r="AI187" s="439">
        <f t="shared" si="21"/>
        <v>0</v>
      </c>
      <c r="AJ187" s="263"/>
      <c r="AK187" s="263"/>
      <c r="AL187" s="263"/>
      <c r="AM187" s="263"/>
      <c r="AN187" s="263"/>
      <c r="AO187" s="263"/>
      <c r="AP187" s="263"/>
      <c r="AQ187" s="436"/>
      <c r="AR187" s="275"/>
      <c r="AS187" s="275"/>
      <c r="AT187" s="275"/>
      <c r="AU187" s="275"/>
      <c r="AV187" s="275"/>
      <c r="AW187" s="275"/>
      <c r="AX187" s="275"/>
      <c r="AY187" s="437"/>
      <c r="AZ187" s="440">
        <f t="shared" si="22"/>
        <v>0</v>
      </c>
      <c r="BA187" s="275"/>
      <c r="BB187" s="275"/>
      <c r="BC187" s="275"/>
      <c r="BD187" s="275"/>
      <c r="BE187" s="275"/>
      <c r="BF187" s="275"/>
      <c r="BG187" s="275"/>
      <c r="BH187" s="436"/>
      <c r="BI187" s="275"/>
      <c r="BJ187" s="275"/>
      <c r="BK187" s="291"/>
      <c r="BL187" s="291"/>
      <c r="BM187" s="275"/>
      <c r="BN187" s="275"/>
      <c r="BO187" s="438"/>
      <c r="BP187" s="436"/>
      <c r="BQ187" s="275"/>
      <c r="BR187" s="275"/>
      <c r="BS187" s="275"/>
      <c r="BT187" s="275"/>
      <c r="BU187" s="275"/>
      <c r="BV187" s="275"/>
      <c r="BW187" s="275"/>
      <c r="BX187" s="438"/>
      <c r="BY187" s="436"/>
      <c r="BZ187" s="275"/>
      <c r="CA187" s="275"/>
      <c r="CB187" s="275"/>
      <c r="CC187" s="275"/>
      <c r="CD187" s="275"/>
      <c r="CE187" s="275"/>
      <c r="CF187" s="275"/>
      <c r="CG187" s="438"/>
      <c r="CH187" s="436"/>
      <c r="CI187" s="275"/>
      <c r="CJ187" s="275"/>
      <c r="CK187" s="275"/>
      <c r="CL187" s="275"/>
      <c r="CM187" s="275"/>
      <c r="CN187" s="275"/>
      <c r="CO187" s="442"/>
      <c r="CP187" s="443"/>
      <c r="CQ187" s="429">
        <f t="shared" si="23"/>
        <v>0</v>
      </c>
      <c r="CR187" s="430"/>
    </row>
    <row r="188" spans="1:96" ht="25.5" customHeight="1" x14ac:dyDescent="0.2">
      <c r="A188" s="410">
        <f t="shared" si="24"/>
        <v>173</v>
      </c>
      <c r="B188" s="280"/>
      <c r="C188" s="280"/>
      <c r="D188" s="411"/>
      <c r="E188" s="254"/>
      <c r="F188" s="277"/>
      <c r="G188" s="450"/>
      <c r="H188" s="451"/>
      <c r="I188" s="433" t="str">
        <f t="shared" si="18"/>
        <v/>
      </c>
      <c r="J188" s="434">
        <f t="shared" si="19"/>
        <v>0</v>
      </c>
      <c r="K188" s="452"/>
      <c r="L188" s="276"/>
      <c r="M188" s="435"/>
      <c r="N188" s="417" t="str">
        <f t="shared" si="20"/>
        <v/>
      </c>
      <c r="O188" s="418" t="str">
        <f>IF('Data Set up'!$G$40="JUNE",IF(OR($N188=7,$N188=8,$N188=9),1,IF(OR($N188=10,$N188=11,$N188=12),2,IF(OR($N188=1,$N188=2,$N188=3),3,IF(OR($N188=4,$N188=5,$N188=6),4,"")))),IF(OR($N188=9,$N188=10,$N188=11),1,IF(OR($N188=12,$N188=1,$N188=2),2,IF(OR($N188=3,$N188=4,$N188=5),3,IF(OR($N188=6,$N188=7,$N188=8),4,"")))))</f>
        <v/>
      </c>
      <c r="P188" s="445"/>
      <c r="Q188" s="291"/>
      <c r="R188" s="291"/>
      <c r="S188" s="275"/>
      <c r="T188" s="275"/>
      <c r="U188" s="275"/>
      <c r="V188" s="275"/>
      <c r="W188" s="275"/>
      <c r="X188" s="275"/>
      <c r="Y188" s="275"/>
      <c r="Z188" s="275"/>
      <c r="AA188" s="275"/>
      <c r="AB188" s="275"/>
      <c r="AC188" s="275"/>
      <c r="AD188" s="275"/>
      <c r="AE188" s="275"/>
      <c r="AF188" s="275"/>
      <c r="AG188" s="275"/>
      <c r="AH188" s="438"/>
      <c r="AI188" s="439">
        <f t="shared" si="21"/>
        <v>0</v>
      </c>
      <c r="AJ188" s="263"/>
      <c r="AK188" s="263"/>
      <c r="AL188" s="263"/>
      <c r="AM188" s="263"/>
      <c r="AN188" s="263"/>
      <c r="AO188" s="263"/>
      <c r="AP188" s="263"/>
      <c r="AQ188" s="436"/>
      <c r="AR188" s="275"/>
      <c r="AS188" s="275"/>
      <c r="AT188" s="275"/>
      <c r="AU188" s="275"/>
      <c r="AV188" s="275"/>
      <c r="AW188" s="275"/>
      <c r="AX188" s="275"/>
      <c r="AY188" s="437"/>
      <c r="AZ188" s="440">
        <f t="shared" si="22"/>
        <v>0</v>
      </c>
      <c r="BA188" s="275"/>
      <c r="BB188" s="275"/>
      <c r="BC188" s="275"/>
      <c r="BD188" s="275"/>
      <c r="BE188" s="275"/>
      <c r="BF188" s="275"/>
      <c r="BG188" s="275"/>
      <c r="BH188" s="436"/>
      <c r="BI188" s="275"/>
      <c r="BJ188" s="275"/>
      <c r="BK188" s="291"/>
      <c r="BL188" s="291"/>
      <c r="BM188" s="275"/>
      <c r="BN188" s="275"/>
      <c r="BO188" s="438"/>
      <c r="BP188" s="436"/>
      <c r="BQ188" s="275"/>
      <c r="BR188" s="275"/>
      <c r="BS188" s="275"/>
      <c r="BT188" s="275"/>
      <c r="BU188" s="275"/>
      <c r="BV188" s="275"/>
      <c r="BW188" s="275"/>
      <c r="BX188" s="438"/>
      <c r="BY188" s="436"/>
      <c r="BZ188" s="275"/>
      <c r="CA188" s="275"/>
      <c r="CB188" s="275"/>
      <c r="CC188" s="275"/>
      <c r="CD188" s="275"/>
      <c r="CE188" s="275"/>
      <c r="CF188" s="275"/>
      <c r="CG188" s="438"/>
      <c r="CH188" s="436"/>
      <c r="CI188" s="275"/>
      <c r="CJ188" s="275"/>
      <c r="CK188" s="275"/>
      <c r="CL188" s="275"/>
      <c r="CM188" s="275"/>
      <c r="CN188" s="275"/>
      <c r="CO188" s="442"/>
      <c r="CP188" s="443"/>
      <c r="CQ188" s="429">
        <f t="shared" si="23"/>
        <v>0</v>
      </c>
      <c r="CR188" s="430"/>
    </row>
    <row r="189" spans="1:96" ht="25.5" customHeight="1" x14ac:dyDescent="0.2">
      <c r="A189" s="410">
        <f t="shared" si="24"/>
        <v>174</v>
      </c>
      <c r="B189" s="280"/>
      <c r="C189" s="280"/>
      <c r="D189" s="411"/>
      <c r="E189" s="254"/>
      <c r="F189" s="277"/>
      <c r="G189" s="450"/>
      <c r="H189" s="451"/>
      <c r="I189" s="433" t="str">
        <f t="shared" si="18"/>
        <v/>
      </c>
      <c r="J189" s="434">
        <f t="shared" si="19"/>
        <v>0</v>
      </c>
      <c r="K189" s="452"/>
      <c r="L189" s="276"/>
      <c r="M189" s="435"/>
      <c r="N189" s="417" t="str">
        <f t="shared" si="20"/>
        <v/>
      </c>
      <c r="O189" s="418" t="str">
        <f>IF('Data Set up'!$G$40="JUNE",IF(OR($N189=7,$N189=8,$N189=9),1,IF(OR($N189=10,$N189=11,$N189=12),2,IF(OR($N189=1,$N189=2,$N189=3),3,IF(OR($N189=4,$N189=5,$N189=6),4,"")))),IF(OR($N189=9,$N189=10,$N189=11),1,IF(OR($N189=12,$N189=1,$N189=2),2,IF(OR($N189=3,$N189=4,$N189=5),3,IF(OR($N189=6,$N189=7,$N189=8),4,"")))))</f>
        <v/>
      </c>
      <c r="P189" s="445"/>
      <c r="Q189" s="291"/>
      <c r="R189" s="291"/>
      <c r="S189" s="275"/>
      <c r="T189" s="275"/>
      <c r="U189" s="275"/>
      <c r="V189" s="275"/>
      <c r="W189" s="275"/>
      <c r="X189" s="275"/>
      <c r="Y189" s="275"/>
      <c r="Z189" s="275"/>
      <c r="AA189" s="275"/>
      <c r="AB189" s="275"/>
      <c r="AC189" s="275"/>
      <c r="AD189" s="275"/>
      <c r="AE189" s="275"/>
      <c r="AF189" s="275"/>
      <c r="AG189" s="275"/>
      <c r="AH189" s="438"/>
      <c r="AI189" s="439">
        <f t="shared" si="21"/>
        <v>0</v>
      </c>
      <c r="AJ189" s="263"/>
      <c r="AK189" s="263"/>
      <c r="AL189" s="263"/>
      <c r="AM189" s="263"/>
      <c r="AN189" s="263"/>
      <c r="AO189" s="263"/>
      <c r="AP189" s="263"/>
      <c r="AQ189" s="436"/>
      <c r="AR189" s="275"/>
      <c r="AS189" s="275"/>
      <c r="AT189" s="275"/>
      <c r="AU189" s="275"/>
      <c r="AV189" s="275"/>
      <c r="AW189" s="275"/>
      <c r="AX189" s="275"/>
      <c r="AY189" s="437"/>
      <c r="AZ189" s="440">
        <f t="shared" si="22"/>
        <v>0</v>
      </c>
      <c r="BA189" s="275"/>
      <c r="BB189" s="275"/>
      <c r="BC189" s="275"/>
      <c r="BD189" s="275"/>
      <c r="BE189" s="275"/>
      <c r="BF189" s="275"/>
      <c r="BG189" s="275"/>
      <c r="BH189" s="436"/>
      <c r="BI189" s="275"/>
      <c r="BJ189" s="275"/>
      <c r="BK189" s="291"/>
      <c r="BL189" s="291"/>
      <c r="BM189" s="275"/>
      <c r="BN189" s="275"/>
      <c r="BO189" s="438"/>
      <c r="BP189" s="436"/>
      <c r="BQ189" s="275"/>
      <c r="BR189" s="275"/>
      <c r="BS189" s="275"/>
      <c r="BT189" s="275"/>
      <c r="BU189" s="275"/>
      <c r="BV189" s="275"/>
      <c r="BW189" s="275"/>
      <c r="BX189" s="438"/>
      <c r="BY189" s="436"/>
      <c r="BZ189" s="275"/>
      <c r="CA189" s="275"/>
      <c r="CB189" s="275"/>
      <c r="CC189" s="275"/>
      <c r="CD189" s="275"/>
      <c r="CE189" s="275"/>
      <c r="CF189" s="275"/>
      <c r="CG189" s="438"/>
      <c r="CH189" s="436"/>
      <c r="CI189" s="275"/>
      <c r="CJ189" s="275"/>
      <c r="CK189" s="275"/>
      <c r="CL189" s="275"/>
      <c r="CM189" s="275"/>
      <c r="CN189" s="275"/>
      <c r="CO189" s="442"/>
      <c r="CP189" s="443"/>
      <c r="CQ189" s="429">
        <f t="shared" si="23"/>
        <v>0</v>
      </c>
      <c r="CR189" s="430"/>
    </row>
    <row r="190" spans="1:96" ht="25.5" customHeight="1" x14ac:dyDescent="0.2">
      <c r="A190" s="410">
        <f t="shared" si="24"/>
        <v>175</v>
      </c>
      <c r="B190" s="280"/>
      <c r="C190" s="453"/>
      <c r="D190" s="411"/>
      <c r="E190" s="254"/>
      <c r="F190" s="277"/>
      <c r="G190" s="450"/>
      <c r="H190" s="451"/>
      <c r="I190" s="433" t="str">
        <f t="shared" si="18"/>
        <v/>
      </c>
      <c r="J190" s="434">
        <f t="shared" si="19"/>
        <v>0</v>
      </c>
      <c r="K190" s="452"/>
      <c r="L190" s="276"/>
      <c r="M190" s="435"/>
      <c r="N190" s="417" t="str">
        <f t="shared" si="20"/>
        <v/>
      </c>
      <c r="O190" s="418" t="str">
        <f>IF('Data Set up'!$G$40="JUNE",IF(OR($N190=7,$N190=8,$N190=9),1,IF(OR($N190=10,$N190=11,$N190=12),2,IF(OR($N190=1,$N190=2,$N190=3),3,IF(OR($N190=4,$N190=5,$N190=6),4,"")))),IF(OR($N190=9,$N190=10,$N190=11),1,IF(OR($N190=12,$N190=1,$N190=2),2,IF(OR($N190=3,$N190=4,$N190=5),3,IF(OR($N190=6,$N190=7,$N190=8),4,"")))))</f>
        <v/>
      </c>
      <c r="P190" s="445"/>
      <c r="Q190" s="291"/>
      <c r="R190" s="291"/>
      <c r="S190" s="275"/>
      <c r="T190" s="275"/>
      <c r="U190" s="275"/>
      <c r="V190" s="275"/>
      <c r="W190" s="275"/>
      <c r="X190" s="275"/>
      <c r="Y190" s="275"/>
      <c r="Z190" s="275"/>
      <c r="AA190" s="275"/>
      <c r="AB190" s="275"/>
      <c r="AC190" s="275"/>
      <c r="AD190" s="275"/>
      <c r="AE190" s="275"/>
      <c r="AF190" s="275"/>
      <c r="AG190" s="275"/>
      <c r="AH190" s="438"/>
      <c r="AI190" s="439">
        <f t="shared" si="21"/>
        <v>0</v>
      </c>
      <c r="AJ190" s="263"/>
      <c r="AK190" s="263"/>
      <c r="AL190" s="263"/>
      <c r="AM190" s="263"/>
      <c r="AN190" s="263"/>
      <c r="AO190" s="263"/>
      <c r="AP190" s="263"/>
      <c r="AQ190" s="436"/>
      <c r="AR190" s="275"/>
      <c r="AS190" s="275"/>
      <c r="AT190" s="275"/>
      <c r="AU190" s="275"/>
      <c r="AV190" s="275"/>
      <c r="AW190" s="275"/>
      <c r="AX190" s="275"/>
      <c r="AY190" s="437"/>
      <c r="AZ190" s="440">
        <f t="shared" si="22"/>
        <v>0</v>
      </c>
      <c r="BA190" s="275"/>
      <c r="BB190" s="275"/>
      <c r="BC190" s="275"/>
      <c r="BD190" s="275"/>
      <c r="BE190" s="275"/>
      <c r="BF190" s="275"/>
      <c r="BG190" s="275"/>
      <c r="BH190" s="436"/>
      <c r="BI190" s="275"/>
      <c r="BJ190" s="275"/>
      <c r="BK190" s="291"/>
      <c r="BL190" s="291"/>
      <c r="BM190" s="275"/>
      <c r="BN190" s="275"/>
      <c r="BO190" s="438"/>
      <c r="BP190" s="436"/>
      <c r="BQ190" s="275"/>
      <c r="BR190" s="275"/>
      <c r="BS190" s="275"/>
      <c r="BT190" s="275"/>
      <c r="BU190" s="275"/>
      <c r="BV190" s="275"/>
      <c r="BW190" s="275"/>
      <c r="BX190" s="438"/>
      <c r="BY190" s="436"/>
      <c r="BZ190" s="275"/>
      <c r="CA190" s="275"/>
      <c r="CB190" s="275"/>
      <c r="CC190" s="275"/>
      <c r="CD190" s="275"/>
      <c r="CE190" s="275"/>
      <c r="CF190" s="275"/>
      <c r="CG190" s="438"/>
      <c r="CH190" s="436"/>
      <c r="CI190" s="275"/>
      <c r="CJ190" s="275"/>
      <c r="CK190" s="275"/>
      <c r="CL190" s="275"/>
      <c r="CM190" s="275"/>
      <c r="CN190" s="275"/>
      <c r="CO190" s="442"/>
      <c r="CP190" s="443"/>
      <c r="CQ190" s="429">
        <f t="shared" si="23"/>
        <v>0</v>
      </c>
      <c r="CR190" s="430"/>
    </row>
    <row r="191" spans="1:96" ht="25.5" customHeight="1" x14ac:dyDescent="0.2">
      <c r="A191" s="410">
        <f t="shared" si="24"/>
        <v>176</v>
      </c>
      <c r="B191" s="280"/>
      <c r="C191" s="453"/>
      <c r="D191" s="411"/>
      <c r="E191" s="254"/>
      <c r="F191" s="277"/>
      <c r="G191" s="450"/>
      <c r="H191" s="451"/>
      <c r="I191" s="433" t="str">
        <f t="shared" si="18"/>
        <v/>
      </c>
      <c r="J191" s="434">
        <f t="shared" si="19"/>
        <v>0</v>
      </c>
      <c r="K191" s="452"/>
      <c r="L191" s="276"/>
      <c r="M191" s="435"/>
      <c r="N191" s="417" t="str">
        <f t="shared" si="20"/>
        <v/>
      </c>
      <c r="O191" s="418" t="str">
        <f>IF('Data Set up'!$G$40="JUNE",IF(OR($N191=7,$N191=8,$N191=9),1,IF(OR($N191=10,$N191=11,$N191=12),2,IF(OR($N191=1,$N191=2,$N191=3),3,IF(OR($N191=4,$N191=5,$N191=6),4,"")))),IF(OR($N191=9,$N191=10,$N191=11),1,IF(OR($N191=12,$N191=1,$N191=2),2,IF(OR($N191=3,$N191=4,$N191=5),3,IF(OR($N191=6,$N191=7,$N191=8),4,"")))))</f>
        <v/>
      </c>
      <c r="P191" s="445"/>
      <c r="Q191" s="291"/>
      <c r="R191" s="291"/>
      <c r="S191" s="275"/>
      <c r="T191" s="275"/>
      <c r="U191" s="275"/>
      <c r="V191" s="275"/>
      <c r="W191" s="275"/>
      <c r="X191" s="275"/>
      <c r="Y191" s="275"/>
      <c r="Z191" s="275"/>
      <c r="AA191" s="275"/>
      <c r="AB191" s="275"/>
      <c r="AC191" s="275"/>
      <c r="AD191" s="275"/>
      <c r="AE191" s="275"/>
      <c r="AF191" s="275"/>
      <c r="AG191" s="275"/>
      <c r="AH191" s="438"/>
      <c r="AI191" s="439">
        <f t="shared" si="21"/>
        <v>0</v>
      </c>
      <c r="AJ191" s="263"/>
      <c r="AK191" s="263"/>
      <c r="AL191" s="263"/>
      <c r="AM191" s="263"/>
      <c r="AN191" s="263"/>
      <c r="AO191" s="263"/>
      <c r="AP191" s="263"/>
      <c r="AQ191" s="436"/>
      <c r="AR191" s="275"/>
      <c r="AS191" s="275"/>
      <c r="AT191" s="275"/>
      <c r="AU191" s="275"/>
      <c r="AV191" s="275"/>
      <c r="AW191" s="275"/>
      <c r="AX191" s="275"/>
      <c r="AY191" s="437"/>
      <c r="AZ191" s="440">
        <f t="shared" si="22"/>
        <v>0</v>
      </c>
      <c r="BA191" s="275"/>
      <c r="BB191" s="275"/>
      <c r="BC191" s="275"/>
      <c r="BD191" s="275"/>
      <c r="BE191" s="275"/>
      <c r="BF191" s="275"/>
      <c r="BG191" s="275"/>
      <c r="BH191" s="436"/>
      <c r="BI191" s="275"/>
      <c r="BJ191" s="275"/>
      <c r="BK191" s="291"/>
      <c r="BL191" s="291"/>
      <c r="BM191" s="275"/>
      <c r="BN191" s="275"/>
      <c r="BO191" s="438"/>
      <c r="BP191" s="436"/>
      <c r="BQ191" s="275"/>
      <c r="BR191" s="275"/>
      <c r="BS191" s="275"/>
      <c r="BT191" s="275"/>
      <c r="BU191" s="275"/>
      <c r="BV191" s="275"/>
      <c r="BW191" s="275"/>
      <c r="BX191" s="438"/>
      <c r="BY191" s="436"/>
      <c r="BZ191" s="275"/>
      <c r="CA191" s="275"/>
      <c r="CB191" s="275"/>
      <c r="CC191" s="275"/>
      <c r="CD191" s="275"/>
      <c r="CE191" s="275"/>
      <c r="CF191" s="275"/>
      <c r="CG191" s="438"/>
      <c r="CH191" s="436"/>
      <c r="CI191" s="275"/>
      <c r="CJ191" s="275"/>
      <c r="CK191" s="275"/>
      <c r="CL191" s="275"/>
      <c r="CM191" s="275"/>
      <c r="CN191" s="275"/>
      <c r="CO191" s="442"/>
      <c r="CP191" s="443"/>
      <c r="CQ191" s="429">
        <f t="shared" si="23"/>
        <v>0</v>
      </c>
      <c r="CR191" s="430"/>
    </row>
    <row r="192" spans="1:96" ht="25.5" customHeight="1" x14ac:dyDescent="0.2">
      <c r="A192" s="410">
        <f t="shared" si="24"/>
        <v>177</v>
      </c>
      <c r="B192" s="280"/>
      <c r="C192" s="453"/>
      <c r="D192" s="411"/>
      <c r="E192" s="254"/>
      <c r="F192" s="277"/>
      <c r="G192" s="450"/>
      <c r="H192" s="451"/>
      <c r="I192" s="433" t="str">
        <f t="shared" si="18"/>
        <v/>
      </c>
      <c r="J192" s="434">
        <f t="shared" si="19"/>
        <v>0</v>
      </c>
      <c r="K192" s="452"/>
      <c r="L192" s="276"/>
      <c r="M192" s="435"/>
      <c r="N192" s="417" t="str">
        <f t="shared" si="20"/>
        <v/>
      </c>
      <c r="O192" s="418" t="str">
        <f>IF('Data Set up'!$G$40="JUNE",IF(OR($N192=7,$N192=8,$N192=9),1,IF(OR($N192=10,$N192=11,$N192=12),2,IF(OR($N192=1,$N192=2,$N192=3),3,IF(OR($N192=4,$N192=5,$N192=6),4,"")))),IF(OR($N192=9,$N192=10,$N192=11),1,IF(OR($N192=12,$N192=1,$N192=2),2,IF(OR($N192=3,$N192=4,$N192=5),3,IF(OR($N192=6,$N192=7,$N192=8),4,"")))))</f>
        <v/>
      </c>
      <c r="P192" s="445"/>
      <c r="Q192" s="291"/>
      <c r="R192" s="291"/>
      <c r="S192" s="275"/>
      <c r="T192" s="275"/>
      <c r="U192" s="275"/>
      <c r="V192" s="275"/>
      <c r="W192" s="275"/>
      <c r="X192" s="275"/>
      <c r="Y192" s="275"/>
      <c r="Z192" s="275"/>
      <c r="AA192" s="275"/>
      <c r="AB192" s="275"/>
      <c r="AC192" s="275"/>
      <c r="AD192" s="275"/>
      <c r="AE192" s="275"/>
      <c r="AF192" s="275"/>
      <c r="AG192" s="275"/>
      <c r="AH192" s="438"/>
      <c r="AI192" s="439">
        <f t="shared" si="21"/>
        <v>0</v>
      </c>
      <c r="AJ192" s="263"/>
      <c r="AK192" s="263"/>
      <c r="AL192" s="263"/>
      <c r="AM192" s="263"/>
      <c r="AN192" s="263"/>
      <c r="AO192" s="263"/>
      <c r="AP192" s="263"/>
      <c r="AQ192" s="436"/>
      <c r="AR192" s="275"/>
      <c r="AS192" s="275"/>
      <c r="AT192" s="275"/>
      <c r="AU192" s="275"/>
      <c r="AV192" s="275"/>
      <c r="AW192" s="275"/>
      <c r="AX192" s="275"/>
      <c r="AY192" s="437"/>
      <c r="AZ192" s="440">
        <f t="shared" si="22"/>
        <v>0</v>
      </c>
      <c r="BA192" s="275"/>
      <c r="BB192" s="275"/>
      <c r="BC192" s="275"/>
      <c r="BD192" s="275"/>
      <c r="BE192" s="275"/>
      <c r="BF192" s="275"/>
      <c r="BG192" s="275"/>
      <c r="BH192" s="436"/>
      <c r="BI192" s="275"/>
      <c r="BJ192" s="275"/>
      <c r="BK192" s="291"/>
      <c r="BL192" s="291"/>
      <c r="BM192" s="275"/>
      <c r="BN192" s="275"/>
      <c r="BO192" s="438"/>
      <c r="BP192" s="436"/>
      <c r="BQ192" s="275"/>
      <c r="BR192" s="275"/>
      <c r="BS192" s="275"/>
      <c r="BT192" s="275"/>
      <c r="BU192" s="275"/>
      <c r="BV192" s="275"/>
      <c r="BW192" s="275"/>
      <c r="BX192" s="438"/>
      <c r="BY192" s="436"/>
      <c r="BZ192" s="275"/>
      <c r="CA192" s="275"/>
      <c r="CB192" s="275"/>
      <c r="CC192" s="275"/>
      <c r="CD192" s="275"/>
      <c r="CE192" s="275"/>
      <c r="CF192" s="275"/>
      <c r="CG192" s="438"/>
      <c r="CH192" s="436"/>
      <c r="CI192" s="275"/>
      <c r="CJ192" s="275"/>
      <c r="CK192" s="275"/>
      <c r="CL192" s="275"/>
      <c r="CM192" s="275"/>
      <c r="CN192" s="275"/>
      <c r="CO192" s="442"/>
      <c r="CP192" s="443"/>
      <c r="CQ192" s="429">
        <f t="shared" si="23"/>
        <v>0</v>
      </c>
      <c r="CR192" s="430"/>
    </row>
    <row r="193" spans="1:96" ht="25.5" customHeight="1" x14ac:dyDescent="0.2">
      <c r="A193" s="410">
        <f t="shared" si="24"/>
        <v>178</v>
      </c>
      <c r="B193" s="280"/>
      <c r="C193" s="453"/>
      <c r="D193" s="411"/>
      <c r="E193" s="254"/>
      <c r="F193" s="277"/>
      <c r="G193" s="450"/>
      <c r="H193" s="451"/>
      <c r="I193" s="433" t="str">
        <f t="shared" si="18"/>
        <v/>
      </c>
      <c r="J193" s="434">
        <f t="shared" si="19"/>
        <v>0</v>
      </c>
      <c r="K193" s="452"/>
      <c r="L193" s="276"/>
      <c r="M193" s="435"/>
      <c r="N193" s="417" t="str">
        <f t="shared" si="20"/>
        <v/>
      </c>
      <c r="O193" s="418" t="str">
        <f>IF('Data Set up'!$G$40="JUNE",IF(OR($N193=7,$N193=8,$N193=9),1,IF(OR($N193=10,$N193=11,$N193=12),2,IF(OR($N193=1,$N193=2,$N193=3),3,IF(OR($N193=4,$N193=5,$N193=6),4,"")))),IF(OR($N193=9,$N193=10,$N193=11),1,IF(OR($N193=12,$N193=1,$N193=2),2,IF(OR($N193=3,$N193=4,$N193=5),3,IF(OR($N193=6,$N193=7,$N193=8),4,"")))))</f>
        <v/>
      </c>
      <c r="P193" s="445"/>
      <c r="Q193" s="291"/>
      <c r="R193" s="291"/>
      <c r="S193" s="275"/>
      <c r="T193" s="275"/>
      <c r="U193" s="275"/>
      <c r="V193" s="275"/>
      <c r="W193" s="275"/>
      <c r="X193" s="275"/>
      <c r="Y193" s="275"/>
      <c r="Z193" s="275"/>
      <c r="AA193" s="275"/>
      <c r="AB193" s="275"/>
      <c r="AC193" s="275"/>
      <c r="AD193" s="275"/>
      <c r="AE193" s="275"/>
      <c r="AF193" s="275"/>
      <c r="AG193" s="275"/>
      <c r="AH193" s="438"/>
      <c r="AI193" s="439">
        <f t="shared" si="21"/>
        <v>0</v>
      </c>
      <c r="AJ193" s="263"/>
      <c r="AK193" s="263"/>
      <c r="AL193" s="263"/>
      <c r="AM193" s="263"/>
      <c r="AN193" s="263"/>
      <c r="AO193" s="263"/>
      <c r="AP193" s="263"/>
      <c r="AQ193" s="436"/>
      <c r="AR193" s="275"/>
      <c r="AS193" s="275"/>
      <c r="AT193" s="275"/>
      <c r="AU193" s="275"/>
      <c r="AV193" s="275"/>
      <c r="AW193" s="275"/>
      <c r="AX193" s="275"/>
      <c r="AY193" s="437"/>
      <c r="AZ193" s="440">
        <f t="shared" si="22"/>
        <v>0</v>
      </c>
      <c r="BA193" s="275"/>
      <c r="BB193" s="275"/>
      <c r="BC193" s="275"/>
      <c r="BD193" s="275"/>
      <c r="BE193" s="275"/>
      <c r="BF193" s="275"/>
      <c r="BG193" s="275"/>
      <c r="BH193" s="436"/>
      <c r="BI193" s="275"/>
      <c r="BJ193" s="275"/>
      <c r="BK193" s="291"/>
      <c r="BL193" s="291"/>
      <c r="BM193" s="275"/>
      <c r="BN193" s="275"/>
      <c r="BO193" s="438"/>
      <c r="BP193" s="436"/>
      <c r="BQ193" s="275"/>
      <c r="BR193" s="275"/>
      <c r="BS193" s="275"/>
      <c r="BT193" s="275"/>
      <c r="BU193" s="275"/>
      <c r="BV193" s="275"/>
      <c r="BW193" s="275"/>
      <c r="BX193" s="438"/>
      <c r="BY193" s="436"/>
      <c r="BZ193" s="275"/>
      <c r="CA193" s="275"/>
      <c r="CB193" s="275"/>
      <c r="CC193" s="275"/>
      <c r="CD193" s="275"/>
      <c r="CE193" s="275"/>
      <c r="CF193" s="275"/>
      <c r="CG193" s="438"/>
      <c r="CH193" s="436"/>
      <c r="CI193" s="275"/>
      <c r="CJ193" s="275"/>
      <c r="CK193" s="275"/>
      <c r="CL193" s="275"/>
      <c r="CM193" s="275"/>
      <c r="CN193" s="275"/>
      <c r="CO193" s="442"/>
      <c r="CP193" s="443"/>
      <c r="CQ193" s="429">
        <f t="shared" si="23"/>
        <v>0</v>
      </c>
      <c r="CR193" s="430"/>
    </row>
    <row r="194" spans="1:96" ht="25.5" customHeight="1" x14ac:dyDescent="0.2">
      <c r="A194" s="410">
        <f t="shared" si="24"/>
        <v>179</v>
      </c>
      <c r="B194" s="280"/>
      <c r="C194" s="453"/>
      <c r="D194" s="411"/>
      <c r="E194" s="254"/>
      <c r="F194" s="277"/>
      <c r="G194" s="450"/>
      <c r="H194" s="451"/>
      <c r="I194" s="433" t="str">
        <f t="shared" si="18"/>
        <v/>
      </c>
      <c r="J194" s="434">
        <f t="shared" si="19"/>
        <v>0</v>
      </c>
      <c r="K194" s="452"/>
      <c r="L194" s="276"/>
      <c r="M194" s="435"/>
      <c r="N194" s="417" t="str">
        <f t="shared" si="20"/>
        <v/>
      </c>
      <c r="O194" s="418" t="str">
        <f>IF('Data Set up'!$G$40="JUNE",IF(OR($N194=7,$N194=8,$N194=9),1,IF(OR($N194=10,$N194=11,$N194=12),2,IF(OR($N194=1,$N194=2,$N194=3),3,IF(OR($N194=4,$N194=5,$N194=6),4,"")))),IF(OR($N194=9,$N194=10,$N194=11),1,IF(OR($N194=12,$N194=1,$N194=2),2,IF(OR($N194=3,$N194=4,$N194=5),3,IF(OR($N194=6,$N194=7,$N194=8),4,"")))))</f>
        <v/>
      </c>
      <c r="P194" s="445"/>
      <c r="Q194" s="291"/>
      <c r="R194" s="291"/>
      <c r="S194" s="275"/>
      <c r="T194" s="275"/>
      <c r="U194" s="275"/>
      <c r="V194" s="275"/>
      <c r="W194" s="275"/>
      <c r="X194" s="275"/>
      <c r="Y194" s="275"/>
      <c r="Z194" s="275"/>
      <c r="AA194" s="275"/>
      <c r="AB194" s="275"/>
      <c r="AC194" s="275"/>
      <c r="AD194" s="275"/>
      <c r="AE194" s="275"/>
      <c r="AF194" s="275"/>
      <c r="AG194" s="275"/>
      <c r="AH194" s="438"/>
      <c r="AI194" s="439">
        <f t="shared" si="21"/>
        <v>0</v>
      </c>
      <c r="AJ194" s="263"/>
      <c r="AK194" s="263"/>
      <c r="AL194" s="263"/>
      <c r="AM194" s="263"/>
      <c r="AN194" s="263"/>
      <c r="AO194" s="263"/>
      <c r="AP194" s="263"/>
      <c r="AQ194" s="436"/>
      <c r="AR194" s="275"/>
      <c r="AS194" s="275"/>
      <c r="AT194" s="275"/>
      <c r="AU194" s="275"/>
      <c r="AV194" s="275"/>
      <c r="AW194" s="275"/>
      <c r="AX194" s="275"/>
      <c r="AY194" s="437"/>
      <c r="AZ194" s="440">
        <f t="shared" si="22"/>
        <v>0</v>
      </c>
      <c r="BA194" s="275"/>
      <c r="BB194" s="275"/>
      <c r="BC194" s="275"/>
      <c r="BD194" s="275"/>
      <c r="BE194" s="275"/>
      <c r="BF194" s="275"/>
      <c r="BG194" s="275"/>
      <c r="BH194" s="436"/>
      <c r="BI194" s="275"/>
      <c r="BJ194" s="275"/>
      <c r="BK194" s="291"/>
      <c r="BL194" s="291"/>
      <c r="BM194" s="275"/>
      <c r="BN194" s="275"/>
      <c r="BO194" s="438"/>
      <c r="BP194" s="436"/>
      <c r="BQ194" s="275"/>
      <c r="BR194" s="275"/>
      <c r="BS194" s="275"/>
      <c r="BT194" s="275"/>
      <c r="BU194" s="275"/>
      <c r="BV194" s="275"/>
      <c r="BW194" s="275"/>
      <c r="BX194" s="438"/>
      <c r="BY194" s="436"/>
      <c r="BZ194" s="275"/>
      <c r="CA194" s="275"/>
      <c r="CB194" s="275"/>
      <c r="CC194" s="275"/>
      <c r="CD194" s="275"/>
      <c r="CE194" s="275"/>
      <c r="CF194" s="275"/>
      <c r="CG194" s="438"/>
      <c r="CH194" s="436"/>
      <c r="CI194" s="275"/>
      <c r="CJ194" s="275"/>
      <c r="CK194" s="275"/>
      <c r="CL194" s="275"/>
      <c r="CM194" s="275"/>
      <c r="CN194" s="275"/>
      <c r="CO194" s="442"/>
      <c r="CP194" s="443"/>
      <c r="CQ194" s="429">
        <f t="shared" si="23"/>
        <v>0</v>
      </c>
      <c r="CR194" s="430"/>
    </row>
    <row r="195" spans="1:96" ht="25.5" customHeight="1" x14ac:dyDescent="0.2">
      <c r="A195" s="410">
        <f t="shared" si="24"/>
        <v>180</v>
      </c>
      <c r="B195" s="280"/>
      <c r="C195" s="453"/>
      <c r="D195" s="411"/>
      <c r="E195" s="254"/>
      <c r="F195" s="277"/>
      <c r="G195" s="450"/>
      <c r="H195" s="451"/>
      <c r="I195" s="433" t="str">
        <f t="shared" si="18"/>
        <v/>
      </c>
      <c r="J195" s="434">
        <f t="shared" si="19"/>
        <v>0</v>
      </c>
      <c r="K195" s="452"/>
      <c r="L195" s="276"/>
      <c r="M195" s="435"/>
      <c r="N195" s="417" t="str">
        <f t="shared" si="20"/>
        <v/>
      </c>
      <c r="O195" s="418" t="str">
        <f>IF('Data Set up'!$G$40="JUNE",IF(OR($N195=7,$N195=8,$N195=9),1,IF(OR($N195=10,$N195=11,$N195=12),2,IF(OR($N195=1,$N195=2,$N195=3),3,IF(OR($N195=4,$N195=5,$N195=6),4,"")))),IF(OR($N195=9,$N195=10,$N195=11),1,IF(OR($N195=12,$N195=1,$N195=2),2,IF(OR($N195=3,$N195=4,$N195=5),3,IF(OR($N195=6,$N195=7,$N195=8),4,"")))))</f>
        <v/>
      </c>
      <c r="P195" s="445"/>
      <c r="Q195" s="291"/>
      <c r="R195" s="291"/>
      <c r="S195" s="275"/>
      <c r="T195" s="275"/>
      <c r="U195" s="275"/>
      <c r="V195" s="275"/>
      <c r="W195" s="275"/>
      <c r="X195" s="275"/>
      <c r="Y195" s="275"/>
      <c r="Z195" s="275"/>
      <c r="AA195" s="275"/>
      <c r="AB195" s="275"/>
      <c r="AC195" s="275"/>
      <c r="AD195" s="275"/>
      <c r="AE195" s="275"/>
      <c r="AF195" s="275"/>
      <c r="AG195" s="275"/>
      <c r="AH195" s="438"/>
      <c r="AI195" s="439">
        <f t="shared" si="21"/>
        <v>0</v>
      </c>
      <c r="AJ195" s="263"/>
      <c r="AK195" s="263"/>
      <c r="AL195" s="263"/>
      <c r="AM195" s="263"/>
      <c r="AN195" s="263"/>
      <c r="AO195" s="263"/>
      <c r="AP195" s="263"/>
      <c r="AQ195" s="436"/>
      <c r="AR195" s="275"/>
      <c r="AS195" s="275"/>
      <c r="AT195" s="275"/>
      <c r="AU195" s="275"/>
      <c r="AV195" s="275"/>
      <c r="AW195" s="275"/>
      <c r="AX195" s="275"/>
      <c r="AY195" s="437"/>
      <c r="AZ195" s="440">
        <f t="shared" si="22"/>
        <v>0</v>
      </c>
      <c r="BA195" s="275"/>
      <c r="BB195" s="275"/>
      <c r="BC195" s="275"/>
      <c r="BD195" s="275"/>
      <c r="BE195" s="275"/>
      <c r="BF195" s="275"/>
      <c r="BG195" s="275"/>
      <c r="BH195" s="436"/>
      <c r="BI195" s="275"/>
      <c r="BJ195" s="275"/>
      <c r="BK195" s="291"/>
      <c r="BL195" s="291"/>
      <c r="BM195" s="275"/>
      <c r="BN195" s="275"/>
      <c r="BO195" s="438"/>
      <c r="BP195" s="436"/>
      <c r="BQ195" s="275"/>
      <c r="BR195" s="275"/>
      <c r="BS195" s="275"/>
      <c r="BT195" s="275"/>
      <c r="BU195" s="275"/>
      <c r="BV195" s="275"/>
      <c r="BW195" s="275"/>
      <c r="BX195" s="438"/>
      <c r="BY195" s="436"/>
      <c r="BZ195" s="275"/>
      <c r="CA195" s="275"/>
      <c r="CB195" s="275"/>
      <c r="CC195" s="275"/>
      <c r="CD195" s="275"/>
      <c r="CE195" s="275"/>
      <c r="CF195" s="275"/>
      <c r="CG195" s="438"/>
      <c r="CH195" s="436"/>
      <c r="CI195" s="275"/>
      <c r="CJ195" s="275"/>
      <c r="CK195" s="275"/>
      <c r="CL195" s="275"/>
      <c r="CM195" s="275"/>
      <c r="CN195" s="275"/>
      <c r="CO195" s="442"/>
      <c r="CP195" s="443"/>
      <c r="CQ195" s="429">
        <f t="shared" si="23"/>
        <v>0</v>
      </c>
      <c r="CR195" s="430"/>
    </row>
    <row r="196" spans="1:96" ht="25.5" customHeight="1" x14ac:dyDescent="0.2">
      <c r="A196" s="410">
        <f t="shared" si="24"/>
        <v>181</v>
      </c>
      <c r="B196" s="280"/>
      <c r="C196" s="453"/>
      <c r="D196" s="411"/>
      <c r="E196" s="254"/>
      <c r="F196" s="277"/>
      <c r="G196" s="450"/>
      <c r="H196" s="451"/>
      <c r="I196" s="433" t="str">
        <f t="shared" si="18"/>
        <v/>
      </c>
      <c r="J196" s="434">
        <f t="shared" si="19"/>
        <v>0</v>
      </c>
      <c r="K196" s="452"/>
      <c r="L196" s="276"/>
      <c r="M196" s="435"/>
      <c r="N196" s="417" t="str">
        <f t="shared" si="20"/>
        <v/>
      </c>
      <c r="O196" s="418" t="str">
        <f>IF('Data Set up'!$G$40="JUNE",IF(OR($N196=7,$N196=8,$N196=9),1,IF(OR($N196=10,$N196=11,$N196=12),2,IF(OR($N196=1,$N196=2,$N196=3),3,IF(OR($N196=4,$N196=5,$N196=6),4,"")))),IF(OR($N196=9,$N196=10,$N196=11),1,IF(OR($N196=12,$N196=1,$N196=2),2,IF(OR($N196=3,$N196=4,$N196=5),3,IF(OR($N196=6,$N196=7,$N196=8),4,"")))))</f>
        <v/>
      </c>
      <c r="P196" s="445"/>
      <c r="Q196" s="291"/>
      <c r="R196" s="291"/>
      <c r="S196" s="275"/>
      <c r="T196" s="275"/>
      <c r="U196" s="275"/>
      <c r="V196" s="275"/>
      <c r="W196" s="275"/>
      <c r="X196" s="275"/>
      <c r="Y196" s="275"/>
      <c r="Z196" s="275"/>
      <c r="AA196" s="275"/>
      <c r="AB196" s="275"/>
      <c r="AC196" s="275"/>
      <c r="AD196" s="275"/>
      <c r="AE196" s="275"/>
      <c r="AF196" s="275"/>
      <c r="AG196" s="275"/>
      <c r="AH196" s="438"/>
      <c r="AI196" s="439">
        <f t="shared" si="21"/>
        <v>0</v>
      </c>
      <c r="AJ196" s="263"/>
      <c r="AK196" s="263"/>
      <c r="AL196" s="263"/>
      <c r="AM196" s="263"/>
      <c r="AN196" s="263"/>
      <c r="AO196" s="263"/>
      <c r="AP196" s="263"/>
      <c r="AQ196" s="436"/>
      <c r="AR196" s="275"/>
      <c r="AS196" s="275"/>
      <c r="AT196" s="275"/>
      <c r="AU196" s="275"/>
      <c r="AV196" s="275"/>
      <c r="AW196" s="275"/>
      <c r="AX196" s="275"/>
      <c r="AY196" s="437"/>
      <c r="AZ196" s="440">
        <f t="shared" si="22"/>
        <v>0</v>
      </c>
      <c r="BA196" s="275"/>
      <c r="BB196" s="275"/>
      <c r="BC196" s="275"/>
      <c r="BD196" s="275"/>
      <c r="BE196" s="275"/>
      <c r="BF196" s="275"/>
      <c r="BG196" s="275"/>
      <c r="BH196" s="436"/>
      <c r="BI196" s="275"/>
      <c r="BJ196" s="275"/>
      <c r="BK196" s="291"/>
      <c r="BL196" s="291"/>
      <c r="BM196" s="275"/>
      <c r="BN196" s="275"/>
      <c r="BO196" s="438"/>
      <c r="BP196" s="436"/>
      <c r="BQ196" s="275"/>
      <c r="BR196" s="275"/>
      <c r="BS196" s="275"/>
      <c r="BT196" s="275"/>
      <c r="BU196" s="275"/>
      <c r="BV196" s="275"/>
      <c r="BW196" s="275"/>
      <c r="BX196" s="438"/>
      <c r="BY196" s="436"/>
      <c r="BZ196" s="275"/>
      <c r="CA196" s="275"/>
      <c r="CB196" s="275"/>
      <c r="CC196" s="275"/>
      <c r="CD196" s="275"/>
      <c r="CE196" s="275"/>
      <c r="CF196" s="275"/>
      <c r="CG196" s="438"/>
      <c r="CH196" s="436"/>
      <c r="CI196" s="275"/>
      <c r="CJ196" s="275"/>
      <c r="CK196" s="275"/>
      <c r="CL196" s="275"/>
      <c r="CM196" s="275"/>
      <c r="CN196" s="275"/>
      <c r="CO196" s="442"/>
      <c r="CP196" s="443"/>
      <c r="CQ196" s="429">
        <f t="shared" si="23"/>
        <v>0</v>
      </c>
      <c r="CR196" s="430"/>
    </row>
    <row r="197" spans="1:96" ht="25.5" customHeight="1" x14ac:dyDescent="0.2">
      <c r="A197" s="410">
        <f t="shared" si="24"/>
        <v>182</v>
      </c>
      <c r="B197" s="280"/>
      <c r="C197" s="453"/>
      <c r="D197" s="411"/>
      <c r="E197" s="254"/>
      <c r="F197" s="277"/>
      <c r="G197" s="450"/>
      <c r="H197" s="451"/>
      <c r="I197" s="433" t="str">
        <f t="shared" si="18"/>
        <v/>
      </c>
      <c r="J197" s="434">
        <f t="shared" si="19"/>
        <v>0</v>
      </c>
      <c r="K197" s="452"/>
      <c r="L197" s="276"/>
      <c r="M197" s="435"/>
      <c r="N197" s="417" t="str">
        <f t="shared" si="20"/>
        <v/>
      </c>
      <c r="O197" s="418" t="str">
        <f>IF('Data Set up'!$G$40="JUNE",IF(OR($N197=7,$N197=8,$N197=9),1,IF(OR($N197=10,$N197=11,$N197=12),2,IF(OR($N197=1,$N197=2,$N197=3),3,IF(OR($N197=4,$N197=5,$N197=6),4,"")))),IF(OR($N197=9,$N197=10,$N197=11),1,IF(OR($N197=12,$N197=1,$N197=2),2,IF(OR($N197=3,$N197=4,$N197=5),3,IF(OR($N197=6,$N197=7,$N197=8),4,"")))))</f>
        <v/>
      </c>
      <c r="P197" s="445"/>
      <c r="Q197" s="291"/>
      <c r="R197" s="291"/>
      <c r="S197" s="275"/>
      <c r="T197" s="275"/>
      <c r="U197" s="275"/>
      <c r="V197" s="275"/>
      <c r="W197" s="275"/>
      <c r="X197" s="275"/>
      <c r="Y197" s="275"/>
      <c r="Z197" s="275"/>
      <c r="AA197" s="275"/>
      <c r="AB197" s="275"/>
      <c r="AC197" s="275"/>
      <c r="AD197" s="275"/>
      <c r="AE197" s="275"/>
      <c r="AF197" s="275"/>
      <c r="AG197" s="275"/>
      <c r="AH197" s="438"/>
      <c r="AI197" s="439">
        <f t="shared" si="21"/>
        <v>0</v>
      </c>
      <c r="AJ197" s="263"/>
      <c r="AK197" s="263"/>
      <c r="AL197" s="263"/>
      <c r="AM197" s="263"/>
      <c r="AN197" s="263"/>
      <c r="AO197" s="263"/>
      <c r="AP197" s="263"/>
      <c r="AQ197" s="436"/>
      <c r="AR197" s="275"/>
      <c r="AS197" s="275"/>
      <c r="AT197" s="275"/>
      <c r="AU197" s="275"/>
      <c r="AV197" s="275"/>
      <c r="AW197" s="275"/>
      <c r="AX197" s="275"/>
      <c r="AY197" s="437"/>
      <c r="AZ197" s="440">
        <f t="shared" si="22"/>
        <v>0</v>
      </c>
      <c r="BA197" s="275"/>
      <c r="BB197" s="275"/>
      <c r="BC197" s="275"/>
      <c r="BD197" s="275"/>
      <c r="BE197" s="275"/>
      <c r="BF197" s="275"/>
      <c r="BG197" s="275"/>
      <c r="BH197" s="436"/>
      <c r="BI197" s="275"/>
      <c r="BJ197" s="275"/>
      <c r="BK197" s="291"/>
      <c r="BL197" s="291"/>
      <c r="BM197" s="275"/>
      <c r="BN197" s="275"/>
      <c r="BO197" s="438"/>
      <c r="BP197" s="436"/>
      <c r="BQ197" s="275"/>
      <c r="BR197" s="275"/>
      <c r="BS197" s="275"/>
      <c r="BT197" s="275"/>
      <c r="BU197" s="275"/>
      <c r="BV197" s="275"/>
      <c r="BW197" s="275"/>
      <c r="BX197" s="438"/>
      <c r="BY197" s="436"/>
      <c r="BZ197" s="275"/>
      <c r="CA197" s="275"/>
      <c r="CB197" s="275"/>
      <c r="CC197" s="275"/>
      <c r="CD197" s="275"/>
      <c r="CE197" s="275"/>
      <c r="CF197" s="275"/>
      <c r="CG197" s="438"/>
      <c r="CH197" s="436"/>
      <c r="CI197" s="275"/>
      <c r="CJ197" s="275"/>
      <c r="CK197" s="275"/>
      <c r="CL197" s="275"/>
      <c r="CM197" s="275"/>
      <c r="CN197" s="275"/>
      <c r="CO197" s="442"/>
      <c r="CP197" s="443"/>
      <c r="CQ197" s="429">
        <f t="shared" si="23"/>
        <v>0</v>
      </c>
      <c r="CR197" s="430"/>
    </row>
    <row r="198" spans="1:96" ht="25.5" customHeight="1" x14ac:dyDescent="0.2">
      <c r="A198" s="410">
        <f t="shared" si="24"/>
        <v>183</v>
      </c>
      <c r="B198" s="280"/>
      <c r="C198" s="453"/>
      <c r="D198" s="411"/>
      <c r="E198" s="254"/>
      <c r="F198" s="277"/>
      <c r="G198" s="450"/>
      <c r="H198" s="451"/>
      <c r="I198" s="433" t="str">
        <f t="shared" si="18"/>
        <v/>
      </c>
      <c r="J198" s="434">
        <f t="shared" si="19"/>
        <v>0</v>
      </c>
      <c r="K198" s="452"/>
      <c r="L198" s="276"/>
      <c r="M198" s="435"/>
      <c r="N198" s="417" t="str">
        <f t="shared" si="20"/>
        <v/>
      </c>
      <c r="O198" s="418" t="str">
        <f>IF('Data Set up'!$G$40="JUNE",IF(OR($N198=7,$N198=8,$N198=9),1,IF(OR($N198=10,$N198=11,$N198=12),2,IF(OR($N198=1,$N198=2,$N198=3),3,IF(OR($N198=4,$N198=5,$N198=6),4,"")))),IF(OR($N198=9,$N198=10,$N198=11),1,IF(OR($N198=12,$N198=1,$N198=2),2,IF(OR($N198=3,$N198=4,$N198=5),3,IF(OR($N198=6,$N198=7,$N198=8),4,"")))))</f>
        <v/>
      </c>
      <c r="P198" s="445"/>
      <c r="Q198" s="291"/>
      <c r="R198" s="291"/>
      <c r="S198" s="275"/>
      <c r="T198" s="275"/>
      <c r="U198" s="275"/>
      <c r="V198" s="275"/>
      <c r="W198" s="275"/>
      <c r="X198" s="275"/>
      <c r="Y198" s="275"/>
      <c r="Z198" s="275"/>
      <c r="AA198" s="275"/>
      <c r="AB198" s="275"/>
      <c r="AC198" s="275"/>
      <c r="AD198" s="275"/>
      <c r="AE198" s="275"/>
      <c r="AF198" s="275"/>
      <c r="AG198" s="275"/>
      <c r="AH198" s="438"/>
      <c r="AI198" s="439">
        <f t="shared" si="21"/>
        <v>0</v>
      </c>
      <c r="AJ198" s="263"/>
      <c r="AK198" s="263"/>
      <c r="AL198" s="263"/>
      <c r="AM198" s="263"/>
      <c r="AN198" s="263"/>
      <c r="AO198" s="263"/>
      <c r="AP198" s="263"/>
      <c r="AQ198" s="436"/>
      <c r="AR198" s="275"/>
      <c r="AS198" s="275"/>
      <c r="AT198" s="275"/>
      <c r="AU198" s="275"/>
      <c r="AV198" s="275"/>
      <c r="AW198" s="275"/>
      <c r="AX198" s="275"/>
      <c r="AY198" s="437"/>
      <c r="AZ198" s="440">
        <f t="shared" si="22"/>
        <v>0</v>
      </c>
      <c r="BA198" s="275"/>
      <c r="BB198" s="275"/>
      <c r="BC198" s="275"/>
      <c r="BD198" s="275"/>
      <c r="BE198" s="275"/>
      <c r="BF198" s="275"/>
      <c r="BG198" s="275"/>
      <c r="BH198" s="436"/>
      <c r="BI198" s="275"/>
      <c r="BJ198" s="275"/>
      <c r="BK198" s="291"/>
      <c r="BL198" s="291"/>
      <c r="BM198" s="275"/>
      <c r="BN198" s="275"/>
      <c r="BO198" s="438"/>
      <c r="BP198" s="436"/>
      <c r="BQ198" s="275"/>
      <c r="BR198" s="275"/>
      <c r="BS198" s="275"/>
      <c r="BT198" s="275"/>
      <c r="BU198" s="275"/>
      <c r="BV198" s="275"/>
      <c r="BW198" s="275"/>
      <c r="BX198" s="438"/>
      <c r="BY198" s="436"/>
      <c r="BZ198" s="275"/>
      <c r="CA198" s="275"/>
      <c r="CB198" s="275"/>
      <c r="CC198" s="275"/>
      <c r="CD198" s="275"/>
      <c r="CE198" s="275"/>
      <c r="CF198" s="275"/>
      <c r="CG198" s="438"/>
      <c r="CH198" s="436"/>
      <c r="CI198" s="275"/>
      <c r="CJ198" s="275"/>
      <c r="CK198" s="275"/>
      <c r="CL198" s="275"/>
      <c r="CM198" s="275"/>
      <c r="CN198" s="275"/>
      <c r="CO198" s="442"/>
      <c r="CP198" s="443"/>
      <c r="CQ198" s="429">
        <f t="shared" si="23"/>
        <v>0</v>
      </c>
      <c r="CR198" s="430"/>
    </row>
    <row r="199" spans="1:96" ht="25.5" customHeight="1" x14ac:dyDescent="0.2">
      <c r="A199" s="410">
        <f t="shared" si="24"/>
        <v>184</v>
      </c>
      <c r="B199" s="280"/>
      <c r="C199" s="453"/>
      <c r="D199" s="411"/>
      <c r="E199" s="254"/>
      <c r="F199" s="277"/>
      <c r="G199" s="450"/>
      <c r="H199" s="451"/>
      <c r="I199" s="433" t="str">
        <f t="shared" si="18"/>
        <v/>
      </c>
      <c r="J199" s="434">
        <f t="shared" si="19"/>
        <v>0</v>
      </c>
      <c r="K199" s="452"/>
      <c r="L199" s="276"/>
      <c r="M199" s="435"/>
      <c r="N199" s="417" t="str">
        <f t="shared" si="20"/>
        <v/>
      </c>
      <c r="O199" s="418" t="str">
        <f>IF('Data Set up'!$G$40="JUNE",IF(OR($N199=7,$N199=8,$N199=9),1,IF(OR($N199=10,$N199=11,$N199=12),2,IF(OR($N199=1,$N199=2,$N199=3),3,IF(OR($N199=4,$N199=5,$N199=6),4,"")))),IF(OR($N199=9,$N199=10,$N199=11),1,IF(OR($N199=12,$N199=1,$N199=2),2,IF(OR($N199=3,$N199=4,$N199=5),3,IF(OR($N199=6,$N199=7,$N199=8),4,"")))))</f>
        <v/>
      </c>
      <c r="P199" s="445"/>
      <c r="Q199" s="291"/>
      <c r="R199" s="291"/>
      <c r="S199" s="275"/>
      <c r="T199" s="275"/>
      <c r="U199" s="275"/>
      <c r="V199" s="275"/>
      <c r="W199" s="275"/>
      <c r="X199" s="275"/>
      <c r="Y199" s="275"/>
      <c r="Z199" s="275"/>
      <c r="AA199" s="275"/>
      <c r="AB199" s="275"/>
      <c r="AC199" s="275"/>
      <c r="AD199" s="275"/>
      <c r="AE199" s="275"/>
      <c r="AF199" s="275"/>
      <c r="AG199" s="275"/>
      <c r="AH199" s="438"/>
      <c r="AI199" s="439">
        <f t="shared" si="21"/>
        <v>0</v>
      </c>
      <c r="AJ199" s="263"/>
      <c r="AK199" s="263"/>
      <c r="AL199" s="263"/>
      <c r="AM199" s="263"/>
      <c r="AN199" s="263"/>
      <c r="AO199" s="263"/>
      <c r="AP199" s="263"/>
      <c r="AQ199" s="436"/>
      <c r="AR199" s="275"/>
      <c r="AS199" s="275"/>
      <c r="AT199" s="275"/>
      <c r="AU199" s="275"/>
      <c r="AV199" s="275"/>
      <c r="AW199" s="275"/>
      <c r="AX199" s="275"/>
      <c r="AY199" s="437"/>
      <c r="AZ199" s="440">
        <f t="shared" si="22"/>
        <v>0</v>
      </c>
      <c r="BA199" s="275"/>
      <c r="BB199" s="275"/>
      <c r="BC199" s="275"/>
      <c r="BD199" s="275"/>
      <c r="BE199" s="275"/>
      <c r="BF199" s="275"/>
      <c r="BG199" s="275"/>
      <c r="BH199" s="436"/>
      <c r="BI199" s="275"/>
      <c r="BJ199" s="275"/>
      <c r="BK199" s="291"/>
      <c r="BL199" s="291"/>
      <c r="BM199" s="275"/>
      <c r="BN199" s="275"/>
      <c r="BO199" s="438"/>
      <c r="BP199" s="436"/>
      <c r="BQ199" s="275"/>
      <c r="BR199" s="275"/>
      <c r="BS199" s="275"/>
      <c r="BT199" s="275"/>
      <c r="BU199" s="275"/>
      <c r="BV199" s="275"/>
      <c r="BW199" s="275"/>
      <c r="BX199" s="438"/>
      <c r="BY199" s="436"/>
      <c r="BZ199" s="275"/>
      <c r="CA199" s="275"/>
      <c r="CB199" s="275"/>
      <c r="CC199" s="275"/>
      <c r="CD199" s="275"/>
      <c r="CE199" s="275"/>
      <c r="CF199" s="275"/>
      <c r="CG199" s="438"/>
      <c r="CH199" s="436"/>
      <c r="CI199" s="275"/>
      <c r="CJ199" s="275"/>
      <c r="CK199" s="275"/>
      <c r="CL199" s="275"/>
      <c r="CM199" s="275"/>
      <c r="CN199" s="275"/>
      <c r="CO199" s="442"/>
      <c r="CP199" s="443"/>
      <c r="CQ199" s="429">
        <f t="shared" si="23"/>
        <v>0</v>
      </c>
      <c r="CR199" s="430"/>
    </row>
    <row r="200" spans="1:96" ht="25.5" customHeight="1" x14ac:dyDescent="0.2">
      <c r="A200" s="410">
        <f t="shared" si="24"/>
        <v>185</v>
      </c>
      <c r="B200" s="280"/>
      <c r="C200" s="453"/>
      <c r="D200" s="411"/>
      <c r="E200" s="254"/>
      <c r="F200" s="277"/>
      <c r="G200" s="450"/>
      <c r="H200" s="451"/>
      <c r="I200" s="433" t="str">
        <f t="shared" si="18"/>
        <v/>
      </c>
      <c r="J200" s="434">
        <f t="shared" si="19"/>
        <v>0</v>
      </c>
      <c r="K200" s="452"/>
      <c r="L200" s="276"/>
      <c r="M200" s="435"/>
      <c r="N200" s="417" t="str">
        <f t="shared" si="20"/>
        <v/>
      </c>
      <c r="O200" s="418" t="str">
        <f>IF('Data Set up'!$G$40="JUNE",IF(OR($N200=7,$N200=8,$N200=9),1,IF(OR($N200=10,$N200=11,$N200=12),2,IF(OR($N200=1,$N200=2,$N200=3),3,IF(OR($N200=4,$N200=5,$N200=6),4,"")))),IF(OR($N200=9,$N200=10,$N200=11),1,IF(OR($N200=12,$N200=1,$N200=2),2,IF(OR($N200=3,$N200=4,$N200=5),3,IF(OR($N200=6,$N200=7,$N200=8),4,"")))))</f>
        <v/>
      </c>
      <c r="P200" s="445"/>
      <c r="Q200" s="291"/>
      <c r="R200" s="291"/>
      <c r="S200" s="275"/>
      <c r="T200" s="275"/>
      <c r="U200" s="275"/>
      <c r="V200" s="275"/>
      <c r="W200" s="275"/>
      <c r="X200" s="275"/>
      <c r="Y200" s="275"/>
      <c r="Z200" s="275"/>
      <c r="AA200" s="275"/>
      <c r="AB200" s="275"/>
      <c r="AC200" s="275"/>
      <c r="AD200" s="275"/>
      <c r="AE200" s="275"/>
      <c r="AF200" s="275"/>
      <c r="AG200" s="275"/>
      <c r="AH200" s="438"/>
      <c r="AI200" s="439">
        <f t="shared" si="21"/>
        <v>0</v>
      </c>
      <c r="AJ200" s="263"/>
      <c r="AK200" s="263"/>
      <c r="AL200" s="263"/>
      <c r="AM200" s="263"/>
      <c r="AN200" s="263"/>
      <c r="AO200" s="263"/>
      <c r="AP200" s="263"/>
      <c r="AQ200" s="436"/>
      <c r="AR200" s="275"/>
      <c r="AS200" s="275"/>
      <c r="AT200" s="275"/>
      <c r="AU200" s="275"/>
      <c r="AV200" s="275"/>
      <c r="AW200" s="275"/>
      <c r="AX200" s="275"/>
      <c r="AY200" s="437"/>
      <c r="AZ200" s="440">
        <f t="shared" si="22"/>
        <v>0</v>
      </c>
      <c r="BA200" s="275"/>
      <c r="BB200" s="275"/>
      <c r="BC200" s="275"/>
      <c r="BD200" s="275"/>
      <c r="BE200" s="275"/>
      <c r="BF200" s="275"/>
      <c r="BG200" s="275"/>
      <c r="BH200" s="436"/>
      <c r="BI200" s="275"/>
      <c r="BJ200" s="275"/>
      <c r="BK200" s="291"/>
      <c r="BL200" s="291"/>
      <c r="BM200" s="275"/>
      <c r="BN200" s="275"/>
      <c r="BO200" s="438"/>
      <c r="BP200" s="436"/>
      <c r="BQ200" s="275"/>
      <c r="BR200" s="275"/>
      <c r="BS200" s="275"/>
      <c r="BT200" s="275"/>
      <c r="BU200" s="275"/>
      <c r="BV200" s="275"/>
      <c r="BW200" s="275"/>
      <c r="BX200" s="438"/>
      <c r="BY200" s="436"/>
      <c r="BZ200" s="275"/>
      <c r="CA200" s="275"/>
      <c r="CB200" s="275"/>
      <c r="CC200" s="275"/>
      <c r="CD200" s="275"/>
      <c r="CE200" s="275"/>
      <c r="CF200" s="275"/>
      <c r="CG200" s="438"/>
      <c r="CH200" s="436"/>
      <c r="CI200" s="275"/>
      <c r="CJ200" s="275"/>
      <c r="CK200" s="275"/>
      <c r="CL200" s="275"/>
      <c r="CM200" s="275"/>
      <c r="CN200" s="275"/>
      <c r="CO200" s="442"/>
      <c r="CP200" s="443"/>
      <c r="CQ200" s="429">
        <f t="shared" si="23"/>
        <v>0</v>
      </c>
      <c r="CR200" s="430"/>
    </row>
    <row r="201" spans="1:96" ht="25.5" customHeight="1" x14ac:dyDescent="0.2">
      <c r="A201" s="410">
        <f t="shared" si="24"/>
        <v>186</v>
      </c>
      <c r="B201" s="280"/>
      <c r="C201" s="453"/>
      <c r="D201" s="411"/>
      <c r="E201" s="254"/>
      <c r="F201" s="277"/>
      <c r="G201" s="450"/>
      <c r="H201" s="451"/>
      <c r="I201" s="433" t="str">
        <f t="shared" si="18"/>
        <v/>
      </c>
      <c r="J201" s="434">
        <f t="shared" si="19"/>
        <v>0</v>
      </c>
      <c r="K201" s="452"/>
      <c r="L201" s="276"/>
      <c r="M201" s="435"/>
      <c r="N201" s="417" t="str">
        <f t="shared" si="20"/>
        <v/>
      </c>
      <c r="O201" s="418" t="str">
        <f>IF('Data Set up'!$G$40="JUNE",IF(OR($N201=7,$N201=8,$N201=9),1,IF(OR($N201=10,$N201=11,$N201=12),2,IF(OR($N201=1,$N201=2,$N201=3),3,IF(OR($N201=4,$N201=5,$N201=6),4,"")))),IF(OR($N201=9,$N201=10,$N201=11),1,IF(OR($N201=12,$N201=1,$N201=2),2,IF(OR($N201=3,$N201=4,$N201=5),3,IF(OR($N201=6,$N201=7,$N201=8),4,"")))))</f>
        <v/>
      </c>
      <c r="P201" s="445"/>
      <c r="Q201" s="291"/>
      <c r="R201" s="291"/>
      <c r="S201" s="275"/>
      <c r="T201" s="275"/>
      <c r="U201" s="275"/>
      <c r="V201" s="275"/>
      <c r="W201" s="275"/>
      <c r="X201" s="275"/>
      <c r="Y201" s="275"/>
      <c r="Z201" s="275"/>
      <c r="AA201" s="275"/>
      <c r="AB201" s="275"/>
      <c r="AC201" s="275"/>
      <c r="AD201" s="275"/>
      <c r="AE201" s="275"/>
      <c r="AF201" s="275"/>
      <c r="AG201" s="275"/>
      <c r="AH201" s="438"/>
      <c r="AI201" s="439">
        <f t="shared" si="21"/>
        <v>0</v>
      </c>
      <c r="AJ201" s="263"/>
      <c r="AK201" s="263"/>
      <c r="AL201" s="263"/>
      <c r="AM201" s="263"/>
      <c r="AN201" s="263"/>
      <c r="AO201" s="263"/>
      <c r="AP201" s="263"/>
      <c r="AQ201" s="436"/>
      <c r="AR201" s="275"/>
      <c r="AS201" s="275"/>
      <c r="AT201" s="275"/>
      <c r="AU201" s="275"/>
      <c r="AV201" s="275"/>
      <c r="AW201" s="275"/>
      <c r="AX201" s="275"/>
      <c r="AY201" s="437"/>
      <c r="AZ201" s="440">
        <f t="shared" si="22"/>
        <v>0</v>
      </c>
      <c r="BA201" s="275"/>
      <c r="BB201" s="275"/>
      <c r="BC201" s="275"/>
      <c r="BD201" s="275"/>
      <c r="BE201" s="275"/>
      <c r="BF201" s="275"/>
      <c r="BG201" s="275"/>
      <c r="BH201" s="436"/>
      <c r="BI201" s="275"/>
      <c r="BJ201" s="275"/>
      <c r="BK201" s="291"/>
      <c r="BL201" s="291"/>
      <c r="BM201" s="275"/>
      <c r="BN201" s="275"/>
      <c r="BO201" s="438"/>
      <c r="BP201" s="436"/>
      <c r="BQ201" s="275"/>
      <c r="BR201" s="275"/>
      <c r="BS201" s="275"/>
      <c r="BT201" s="275"/>
      <c r="BU201" s="275"/>
      <c r="BV201" s="275"/>
      <c r="BW201" s="275"/>
      <c r="BX201" s="438"/>
      <c r="BY201" s="436"/>
      <c r="BZ201" s="275"/>
      <c r="CA201" s="275"/>
      <c r="CB201" s="275"/>
      <c r="CC201" s="275"/>
      <c r="CD201" s="275"/>
      <c r="CE201" s="275"/>
      <c r="CF201" s="275"/>
      <c r="CG201" s="438"/>
      <c r="CH201" s="436"/>
      <c r="CI201" s="275"/>
      <c r="CJ201" s="275"/>
      <c r="CK201" s="275"/>
      <c r="CL201" s="275"/>
      <c r="CM201" s="275"/>
      <c r="CN201" s="275"/>
      <c r="CO201" s="442"/>
      <c r="CP201" s="443"/>
      <c r="CQ201" s="429">
        <f t="shared" si="23"/>
        <v>0</v>
      </c>
      <c r="CR201" s="430"/>
    </row>
    <row r="202" spans="1:96" ht="25.5" customHeight="1" x14ac:dyDescent="0.2">
      <c r="A202" s="410">
        <f t="shared" si="24"/>
        <v>187</v>
      </c>
      <c r="B202" s="280"/>
      <c r="C202" s="453"/>
      <c r="D202" s="411"/>
      <c r="E202" s="254"/>
      <c r="F202" s="277"/>
      <c r="G202" s="450"/>
      <c r="H202" s="451"/>
      <c r="I202" s="433" t="str">
        <f t="shared" si="18"/>
        <v/>
      </c>
      <c r="J202" s="434">
        <f t="shared" si="19"/>
        <v>0</v>
      </c>
      <c r="K202" s="452"/>
      <c r="L202" s="276"/>
      <c r="M202" s="435"/>
      <c r="N202" s="417" t="str">
        <f t="shared" si="20"/>
        <v/>
      </c>
      <c r="O202" s="418" t="str">
        <f>IF('Data Set up'!$G$40="JUNE",IF(OR($N202=7,$N202=8,$N202=9),1,IF(OR($N202=10,$N202=11,$N202=12),2,IF(OR($N202=1,$N202=2,$N202=3),3,IF(OR($N202=4,$N202=5,$N202=6),4,"")))),IF(OR($N202=9,$N202=10,$N202=11),1,IF(OR($N202=12,$N202=1,$N202=2),2,IF(OR($N202=3,$N202=4,$N202=5),3,IF(OR($N202=6,$N202=7,$N202=8),4,"")))))</f>
        <v/>
      </c>
      <c r="P202" s="445"/>
      <c r="Q202" s="291"/>
      <c r="R202" s="291"/>
      <c r="S202" s="275"/>
      <c r="T202" s="275"/>
      <c r="U202" s="275"/>
      <c r="V202" s="275"/>
      <c r="W202" s="275"/>
      <c r="X202" s="275"/>
      <c r="Y202" s="275"/>
      <c r="Z202" s="275"/>
      <c r="AA202" s="275"/>
      <c r="AB202" s="275"/>
      <c r="AC202" s="275"/>
      <c r="AD202" s="275"/>
      <c r="AE202" s="275"/>
      <c r="AF202" s="275"/>
      <c r="AG202" s="275"/>
      <c r="AH202" s="438"/>
      <c r="AI202" s="439">
        <f t="shared" si="21"/>
        <v>0</v>
      </c>
      <c r="AJ202" s="263"/>
      <c r="AK202" s="263"/>
      <c r="AL202" s="263"/>
      <c r="AM202" s="263"/>
      <c r="AN202" s="263"/>
      <c r="AO202" s="263"/>
      <c r="AP202" s="263"/>
      <c r="AQ202" s="436"/>
      <c r="AR202" s="275"/>
      <c r="AS202" s="275"/>
      <c r="AT202" s="275"/>
      <c r="AU202" s="275"/>
      <c r="AV202" s="275"/>
      <c r="AW202" s="275"/>
      <c r="AX202" s="275"/>
      <c r="AY202" s="437"/>
      <c r="AZ202" s="440">
        <f t="shared" si="22"/>
        <v>0</v>
      </c>
      <c r="BA202" s="275"/>
      <c r="BB202" s="275"/>
      <c r="BC202" s="275"/>
      <c r="BD202" s="275"/>
      <c r="BE202" s="275"/>
      <c r="BF202" s="275"/>
      <c r="BG202" s="275"/>
      <c r="BH202" s="436"/>
      <c r="BI202" s="275"/>
      <c r="BJ202" s="275"/>
      <c r="BK202" s="291"/>
      <c r="BL202" s="291"/>
      <c r="BM202" s="275"/>
      <c r="BN202" s="275"/>
      <c r="BO202" s="438"/>
      <c r="BP202" s="436"/>
      <c r="BQ202" s="275"/>
      <c r="BR202" s="275"/>
      <c r="BS202" s="275"/>
      <c r="BT202" s="275"/>
      <c r="BU202" s="275"/>
      <c r="BV202" s="275"/>
      <c r="BW202" s="275"/>
      <c r="BX202" s="438"/>
      <c r="BY202" s="436"/>
      <c r="BZ202" s="275"/>
      <c r="CA202" s="275"/>
      <c r="CB202" s="275"/>
      <c r="CC202" s="275"/>
      <c r="CD202" s="275"/>
      <c r="CE202" s="275"/>
      <c r="CF202" s="275"/>
      <c r="CG202" s="438"/>
      <c r="CH202" s="436"/>
      <c r="CI202" s="275"/>
      <c r="CJ202" s="275"/>
      <c r="CK202" s="275"/>
      <c r="CL202" s="275"/>
      <c r="CM202" s="275"/>
      <c r="CN202" s="275"/>
      <c r="CO202" s="442"/>
      <c r="CP202" s="443"/>
      <c r="CQ202" s="429">
        <f t="shared" si="23"/>
        <v>0</v>
      </c>
      <c r="CR202" s="430"/>
    </row>
    <row r="203" spans="1:96" ht="25.5" customHeight="1" x14ac:dyDescent="0.2">
      <c r="A203" s="410">
        <f t="shared" si="24"/>
        <v>188</v>
      </c>
      <c r="B203" s="280"/>
      <c r="C203" s="453"/>
      <c r="D203" s="411"/>
      <c r="E203" s="254"/>
      <c r="F203" s="277"/>
      <c r="G203" s="450"/>
      <c r="H203" s="451"/>
      <c r="I203" s="433" t="str">
        <f t="shared" si="18"/>
        <v/>
      </c>
      <c r="J203" s="434">
        <f t="shared" si="19"/>
        <v>0</v>
      </c>
      <c r="K203" s="452"/>
      <c r="L203" s="276"/>
      <c r="M203" s="435"/>
      <c r="N203" s="417" t="str">
        <f t="shared" si="20"/>
        <v/>
      </c>
      <c r="O203" s="418" t="str">
        <f>IF('Data Set up'!$G$40="JUNE",IF(OR($N203=7,$N203=8,$N203=9),1,IF(OR($N203=10,$N203=11,$N203=12),2,IF(OR($N203=1,$N203=2,$N203=3),3,IF(OR($N203=4,$N203=5,$N203=6),4,"")))),IF(OR($N203=9,$N203=10,$N203=11),1,IF(OR($N203=12,$N203=1,$N203=2),2,IF(OR($N203=3,$N203=4,$N203=5),3,IF(OR($N203=6,$N203=7,$N203=8),4,"")))))</f>
        <v/>
      </c>
      <c r="P203" s="445"/>
      <c r="Q203" s="291"/>
      <c r="R203" s="291"/>
      <c r="S203" s="275"/>
      <c r="T203" s="275"/>
      <c r="U203" s="275"/>
      <c r="V203" s="275"/>
      <c r="W203" s="275"/>
      <c r="X203" s="275"/>
      <c r="Y203" s="275"/>
      <c r="Z203" s="275"/>
      <c r="AA203" s="275"/>
      <c r="AB203" s="275"/>
      <c r="AC203" s="275"/>
      <c r="AD203" s="275"/>
      <c r="AE203" s="275"/>
      <c r="AF203" s="275"/>
      <c r="AG203" s="275"/>
      <c r="AH203" s="438"/>
      <c r="AI203" s="439">
        <f t="shared" si="21"/>
        <v>0</v>
      </c>
      <c r="AJ203" s="263"/>
      <c r="AK203" s="263"/>
      <c r="AL203" s="263"/>
      <c r="AM203" s="263"/>
      <c r="AN203" s="263"/>
      <c r="AO203" s="263"/>
      <c r="AP203" s="263"/>
      <c r="AQ203" s="436"/>
      <c r="AR203" s="275"/>
      <c r="AS203" s="275"/>
      <c r="AT203" s="275"/>
      <c r="AU203" s="275"/>
      <c r="AV203" s="275"/>
      <c r="AW203" s="275"/>
      <c r="AX203" s="275"/>
      <c r="AY203" s="437"/>
      <c r="AZ203" s="440">
        <f t="shared" si="22"/>
        <v>0</v>
      </c>
      <c r="BA203" s="275"/>
      <c r="BB203" s="275"/>
      <c r="BC203" s="275"/>
      <c r="BD203" s="275"/>
      <c r="BE203" s="275"/>
      <c r="BF203" s="275"/>
      <c r="BG203" s="275"/>
      <c r="BH203" s="436"/>
      <c r="BI203" s="275"/>
      <c r="BJ203" s="275"/>
      <c r="BK203" s="291"/>
      <c r="BL203" s="291"/>
      <c r="BM203" s="275"/>
      <c r="BN203" s="275"/>
      <c r="BO203" s="438"/>
      <c r="BP203" s="436"/>
      <c r="BQ203" s="275"/>
      <c r="BR203" s="275"/>
      <c r="BS203" s="275"/>
      <c r="BT203" s="275"/>
      <c r="BU203" s="275"/>
      <c r="BV203" s="275"/>
      <c r="BW203" s="275"/>
      <c r="BX203" s="438"/>
      <c r="BY203" s="436"/>
      <c r="BZ203" s="275"/>
      <c r="CA203" s="275"/>
      <c r="CB203" s="275"/>
      <c r="CC203" s="275"/>
      <c r="CD203" s="275"/>
      <c r="CE203" s="275"/>
      <c r="CF203" s="275"/>
      <c r="CG203" s="438"/>
      <c r="CH203" s="436"/>
      <c r="CI203" s="275"/>
      <c r="CJ203" s="275"/>
      <c r="CK203" s="275"/>
      <c r="CL203" s="275"/>
      <c r="CM203" s="275"/>
      <c r="CN203" s="275"/>
      <c r="CO203" s="442"/>
      <c r="CP203" s="443"/>
      <c r="CQ203" s="429">
        <f t="shared" si="23"/>
        <v>0</v>
      </c>
      <c r="CR203" s="430"/>
    </row>
    <row r="204" spans="1:96" ht="25.5" customHeight="1" x14ac:dyDescent="0.2">
      <c r="A204" s="410">
        <f t="shared" si="24"/>
        <v>189</v>
      </c>
      <c r="B204" s="280"/>
      <c r="C204" s="453"/>
      <c r="D204" s="411"/>
      <c r="E204" s="254"/>
      <c r="F204" s="277"/>
      <c r="G204" s="450"/>
      <c r="H204" s="451"/>
      <c r="I204" s="433" t="str">
        <f t="shared" si="18"/>
        <v/>
      </c>
      <c r="J204" s="434">
        <f t="shared" si="19"/>
        <v>0</v>
      </c>
      <c r="K204" s="452"/>
      <c r="L204" s="276"/>
      <c r="M204" s="435"/>
      <c r="N204" s="417" t="str">
        <f t="shared" si="20"/>
        <v/>
      </c>
      <c r="O204" s="418" t="str">
        <f>IF('Data Set up'!$G$40="JUNE",IF(OR($N204=7,$N204=8,$N204=9),1,IF(OR($N204=10,$N204=11,$N204=12),2,IF(OR($N204=1,$N204=2,$N204=3),3,IF(OR($N204=4,$N204=5,$N204=6),4,"")))),IF(OR($N204=9,$N204=10,$N204=11),1,IF(OR($N204=12,$N204=1,$N204=2),2,IF(OR($N204=3,$N204=4,$N204=5),3,IF(OR($N204=6,$N204=7,$N204=8),4,"")))))</f>
        <v/>
      </c>
      <c r="P204" s="445"/>
      <c r="Q204" s="291"/>
      <c r="R204" s="291"/>
      <c r="S204" s="275"/>
      <c r="T204" s="275"/>
      <c r="U204" s="275"/>
      <c r="V204" s="275"/>
      <c r="W204" s="275"/>
      <c r="X204" s="275"/>
      <c r="Y204" s="275"/>
      <c r="Z204" s="275"/>
      <c r="AA204" s="275"/>
      <c r="AB204" s="275"/>
      <c r="AC204" s="275"/>
      <c r="AD204" s="275"/>
      <c r="AE204" s="275"/>
      <c r="AF204" s="275"/>
      <c r="AG204" s="275"/>
      <c r="AH204" s="438"/>
      <c r="AI204" s="439">
        <f t="shared" si="21"/>
        <v>0</v>
      </c>
      <c r="AJ204" s="263"/>
      <c r="AK204" s="263"/>
      <c r="AL204" s="263"/>
      <c r="AM204" s="263"/>
      <c r="AN204" s="263"/>
      <c r="AO204" s="263"/>
      <c r="AP204" s="263"/>
      <c r="AQ204" s="436"/>
      <c r="AR204" s="275"/>
      <c r="AS204" s="275"/>
      <c r="AT204" s="275"/>
      <c r="AU204" s="275"/>
      <c r="AV204" s="275"/>
      <c r="AW204" s="275"/>
      <c r="AX204" s="275"/>
      <c r="AY204" s="437"/>
      <c r="AZ204" s="440">
        <f t="shared" si="22"/>
        <v>0</v>
      </c>
      <c r="BA204" s="275"/>
      <c r="BB204" s="275"/>
      <c r="BC204" s="275"/>
      <c r="BD204" s="275"/>
      <c r="BE204" s="275"/>
      <c r="BF204" s="275"/>
      <c r="BG204" s="275"/>
      <c r="BH204" s="436"/>
      <c r="BI204" s="275"/>
      <c r="BJ204" s="275"/>
      <c r="BK204" s="291"/>
      <c r="BL204" s="291"/>
      <c r="BM204" s="275"/>
      <c r="BN204" s="275"/>
      <c r="BO204" s="438"/>
      <c r="BP204" s="436"/>
      <c r="BQ204" s="275"/>
      <c r="BR204" s="275"/>
      <c r="BS204" s="275"/>
      <c r="BT204" s="275"/>
      <c r="BU204" s="275"/>
      <c r="BV204" s="275"/>
      <c r="BW204" s="275"/>
      <c r="BX204" s="438"/>
      <c r="BY204" s="436"/>
      <c r="BZ204" s="275"/>
      <c r="CA204" s="275"/>
      <c r="CB204" s="275"/>
      <c r="CC204" s="275"/>
      <c r="CD204" s="275"/>
      <c r="CE204" s="275"/>
      <c r="CF204" s="275"/>
      <c r="CG204" s="438"/>
      <c r="CH204" s="436"/>
      <c r="CI204" s="275"/>
      <c r="CJ204" s="275"/>
      <c r="CK204" s="275"/>
      <c r="CL204" s="275"/>
      <c r="CM204" s="275"/>
      <c r="CN204" s="275"/>
      <c r="CO204" s="442"/>
      <c r="CP204" s="443"/>
      <c r="CQ204" s="429">
        <f t="shared" si="23"/>
        <v>0</v>
      </c>
      <c r="CR204" s="430"/>
    </row>
    <row r="205" spans="1:96" ht="25.5" customHeight="1" x14ac:dyDescent="0.2">
      <c r="A205" s="410">
        <f t="shared" si="24"/>
        <v>190</v>
      </c>
      <c r="B205" s="280"/>
      <c r="C205" s="453"/>
      <c r="D205" s="411"/>
      <c r="E205" s="254"/>
      <c r="F205" s="277"/>
      <c r="G205" s="450"/>
      <c r="H205" s="451"/>
      <c r="I205" s="433" t="str">
        <f t="shared" si="18"/>
        <v/>
      </c>
      <c r="J205" s="434">
        <f t="shared" si="19"/>
        <v>0</v>
      </c>
      <c r="K205" s="452"/>
      <c r="L205" s="276"/>
      <c r="M205" s="435"/>
      <c r="N205" s="417" t="str">
        <f t="shared" si="20"/>
        <v/>
      </c>
      <c r="O205" s="418" t="str">
        <f>IF('Data Set up'!$G$40="JUNE",IF(OR($N205=7,$N205=8,$N205=9),1,IF(OR($N205=10,$N205=11,$N205=12),2,IF(OR($N205=1,$N205=2,$N205=3),3,IF(OR($N205=4,$N205=5,$N205=6),4,"")))),IF(OR($N205=9,$N205=10,$N205=11),1,IF(OR($N205=12,$N205=1,$N205=2),2,IF(OR($N205=3,$N205=4,$N205=5),3,IF(OR($N205=6,$N205=7,$N205=8),4,"")))))</f>
        <v/>
      </c>
      <c r="P205" s="445"/>
      <c r="Q205" s="291"/>
      <c r="R205" s="291"/>
      <c r="S205" s="275"/>
      <c r="T205" s="275"/>
      <c r="U205" s="275"/>
      <c r="V205" s="275"/>
      <c r="W205" s="275"/>
      <c r="X205" s="275"/>
      <c r="Y205" s="275"/>
      <c r="Z205" s="275"/>
      <c r="AA205" s="275"/>
      <c r="AB205" s="275"/>
      <c r="AC205" s="275"/>
      <c r="AD205" s="275"/>
      <c r="AE205" s="275"/>
      <c r="AF205" s="275"/>
      <c r="AG205" s="275"/>
      <c r="AH205" s="438"/>
      <c r="AI205" s="439">
        <f t="shared" si="21"/>
        <v>0</v>
      </c>
      <c r="AJ205" s="263"/>
      <c r="AK205" s="263"/>
      <c r="AL205" s="263"/>
      <c r="AM205" s="263"/>
      <c r="AN205" s="263"/>
      <c r="AO205" s="263"/>
      <c r="AP205" s="263"/>
      <c r="AQ205" s="436"/>
      <c r="AR205" s="275"/>
      <c r="AS205" s="275"/>
      <c r="AT205" s="275"/>
      <c r="AU205" s="275"/>
      <c r="AV205" s="275"/>
      <c r="AW205" s="275"/>
      <c r="AX205" s="275"/>
      <c r="AY205" s="437"/>
      <c r="AZ205" s="440">
        <f t="shared" si="22"/>
        <v>0</v>
      </c>
      <c r="BA205" s="275"/>
      <c r="BB205" s="275"/>
      <c r="BC205" s="275"/>
      <c r="BD205" s="275"/>
      <c r="BE205" s="275"/>
      <c r="BF205" s="275"/>
      <c r="BG205" s="275"/>
      <c r="BH205" s="436"/>
      <c r="BI205" s="275"/>
      <c r="BJ205" s="275"/>
      <c r="BK205" s="291"/>
      <c r="BL205" s="291"/>
      <c r="BM205" s="275"/>
      <c r="BN205" s="275"/>
      <c r="BO205" s="438"/>
      <c r="BP205" s="436"/>
      <c r="BQ205" s="275"/>
      <c r="BR205" s="275"/>
      <c r="BS205" s="275"/>
      <c r="BT205" s="275"/>
      <c r="BU205" s="275"/>
      <c r="BV205" s="275"/>
      <c r="BW205" s="275"/>
      <c r="BX205" s="438"/>
      <c r="BY205" s="436"/>
      <c r="BZ205" s="275"/>
      <c r="CA205" s="275"/>
      <c r="CB205" s="275"/>
      <c r="CC205" s="275"/>
      <c r="CD205" s="275"/>
      <c r="CE205" s="275"/>
      <c r="CF205" s="275"/>
      <c r="CG205" s="438"/>
      <c r="CH205" s="436"/>
      <c r="CI205" s="275"/>
      <c r="CJ205" s="275"/>
      <c r="CK205" s="275"/>
      <c r="CL205" s="275"/>
      <c r="CM205" s="275"/>
      <c r="CN205" s="275"/>
      <c r="CO205" s="442"/>
      <c r="CP205" s="443"/>
      <c r="CQ205" s="429">
        <f t="shared" si="23"/>
        <v>0</v>
      </c>
      <c r="CR205" s="430"/>
    </row>
    <row r="206" spans="1:96" ht="25.5" customHeight="1" x14ac:dyDescent="0.2">
      <c r="A206" s="410">
        <f t="shared" si="24"/>
        <v>191</v>
      </c>
      <c r="B206" s="280"/>
      <c r="C206" s="453"/>
      <c r="D206" s="411"/>
      <c r="E206" s="254"/>
      <c r="F206" s="277"/>
      <c r="G206" s="450"/>
      <c r="H206" s="451"/>
      <c r="I206" s="433" t="str">
        <f t="shared" si="18"/>
        <v/>
      </c>
      <c r="J206" s="434">
        <f t="shared" si="19"/>
        <v>0</v>
      </c>
      <c r="K206" s="452"/>
      <c r="L206" s="276"/>
      <c r="M206" s="435"/>
      <c r="N206" s="417" t="str">
        <f t="shared" si="20"/>
        <v/>
      </c>
      <c r="O206" s="418" t="str">
        <f>IF('Data Set up'!$G$40="JUNE",IF(OR($N206=7,$N206=8,$N206=9),1,IF(OR($N206=10,$N206=11,$N206=12),2,IF(OR($N206=1,$N206=2,$N206=3),3,IF(OR($N206=4,$N206=5,$N206=6),4,"")))),IF(OR($N206=9,$N206=10,$N206=11),1,IF(OR($N206=12,$N206=1,$N206=2),2,IF(OR($N206=3,$N206=4,$N206=5),3,IF(OR($N206=6,$N206=7,$N206=8),4,"")))))</f>
        <v/>
      </c>
      <c r="P206" s="445"/>
      <c r="Q206" s="291"/>
      <c r="R206" s="291"/>
      <c r="S206" s="275"/>
      <c r="T206" s="275"/>
      <c r="U206" s="275"/>
      <c r="V206" s="275"/>
      <c r="W206" s="275"/>
      <c r="X206" s="275"/>
      <c r="Y206" s="275"/>
      <c r="Z206" s="275"/>
      <c r="AA206" s="275"/>
      <c r="AB206" s="275"/>
      <c r="AC206" s="275"/>
      <c r="AD206" s="275"/>
      <c r="AE206" s="275"/>
      <c r="AF206" s="275"/>
      <c r="AG206" s="275"/>
      <c r="AH206" s="438"/>
      <c r="AI206" s="439">
        <f t="shared" si="21"/>
        <v>0</v>
      </c>
      <c r="AJ206" s="263"/>
      <c r="AK206" s="263"/>
      <c r="AL206" s="263"/>
      <c r="AM206" s="263"/>
      <c r="AN206" s="263"/>
      <c r="AO206" s="263"/>
      <c r="AP206" s="263"/>
      <c r="AQ206" s="436"/>
      <c r="AR206" s="275"/>
      <c r="AS206" s="275"/>
      <c r="AT206" s="275"/>
      <c r="AU206" s="275"/>
      <c r="AV206" s="275"/>
      <c r="AW206" s="275"/>
      <c r="AX206" s="275"/>
      <c r="AY206" s="437"/>
      <c r="AZ206" s="440">
        <f t="shared" si="22"/>
        <v>0</v>
      </c>
      <c r="BA206" s="275"/>
      <c r="BB206" s="275"/>
      <c r="BC206" s="275"/>
      <c r="BD206" s="275"/>
      <c r="BE206" s="275"/>
      <c r="BF206" s="275"/>
      <c r="BG206" s="275"/>
      <c r="BH206" s="436"/>
      <c r="BI206" s="275"/>
      <c r="BJ206" s="275"/>
      <c r="BK206" s="291"/>
      <c r="BL206" s="291"/>
      <c r="BM206" s="275"/>
      <c r="BN206" s="275"/>
      <c r="BO206" s="438"/>
      <c r="BP206" s="436"/>
      <c r="BQ206" s="275"/>
      <c r="BR206" s="275"/>
      <c r="BS206" s="275"/>
      <c r="BT206" s="275"/>
      <c r="BU206" s="275"/>
      <c r="BV206" s="275"/>
      <c r="BW206" s="275"/>
      <c r="BX206" s="438"/>
      <c r="BY206" s="436"/>
      <c r="BZ206" s="275"/>
      <c r="CA206" s="275"/>
      <c r="CB206" s="275"/>
      <c r="CC206" s="275"/>
      <c r="CD206" s="275"/>
      <c r="CE206" s="275"/>
      <c r="CF206" s="275"/>
      <c r="CG206" s="438"/>
      <c r="CH206" s="436"/>
      <c r="CI206" s="275"/>
      <c r="CJ206" s="275"/>
      <c r="CK206" s="275"/>
      <c r="CL206" s="275"/>
      <c r="CM206" s="275"/>
      <c r="CN206" s="275"/>
      <c r="CO206" s="442"/>
      <c r="CP206" s="443"/>
      <c r="CQ206" s="429">
        <f t="shared" si="23"/>
        <v>0</v>
      </c>
      <c r="CR206" s="430"/>
    </row>
    <row r="207" spans="1:96" ht="25.5" customHeight="1" x14ac:dyDescent="0.2">
      <c r="A207" s="410">
        <f t="shared" si="24"/>
        <v>192</v>
      </c>
      <c r="B207" s="280"/>
      <c r="C207" s="453"/>
      <c r="D207" s="411"/>
      <c r="E207" s="254"/>
      <c r="F207" s="277"/>
      <c r="G207" s="450"/>
      <c r="H207" s="451"/>
      <c r="I207" s="433" t="str">
        <f t="shared" si="18"/>
        <v/>
      </c>
      <c r="J207" s="434">
        <f t="shared" si="19"/>
        <v>0</v>
      </c>
      <c r="K207" s="452"/>
      <c r="L207" s="276"/>
      <c r="M207" s="435"/>
      <c r="N207" s="417" t="str">
        <f t="shared" si="20"/>
        <v/>
      </c>
      <c r="O207" s="418" t="str">
        <f>IF('Data Set up'!$G$40="JUNE",IF(OR($N207=7,$N207=8,$N207=9),1,IF(OR($N207=10,$N207=11,$N207=12),2,IF(OR($N207=1,$N207=2,$N207=3),3,IF(OR($N207=4,$N207=5,$N207=6),4,"")))),IF(OR($N207=9,$N207=10,$N207=11),1,IF(OR($N207=12,$N207=1,$N207=2),2,IF(OR($N207=3,$N207=4,$N207=5),3,IF(OR($N207=6,$N207=7,$N207=8),4,"")))))</f>
        <v/>
      </c>
      <c r="P207" s="445"/>
      <c r="Q207" s="291"/>
      <c r="R207" s="291"/>
      <c r="S207" s="275"/>
      <c r="T207" s="275"/>
      <c r="U207" s="275"/>
      <c r="V207" s="275"/>
      <c r="W207" s="275"/>
      <c r="X207" s="275"/>
      <c r="Y207" s="275"/>
      <c r="Z207" s="275"/>
      <c r="AA207" s="275"/>
      <c r="AB207" s="275"/>
      <c r="AC207" s="275"/>
      <c r="AD207" s="275"/>
      <c r="AE207" s="275"/>
      <c r="AF207" s="275"/>
      <c r="AG207" s="275"/>
      <c r="AH207" s="438"/>
      <c r="AI207" s="439">
        <f t="shared" si="21"/>
        <v>0</v>
      </c>
      <c r="AJ207" s="263"/>
      <c r="AK207" s="263"/>
      <c r="AL207" s="263"/>
      <c r="AM207" s="263"/>
      <c r="AN207" s="263"/>
      <c r="AO207" s="263"/>
      <c r="AP207" s="263"/>
      <c r="AQ207" s="436"/>
      <c r="AR207" s="275"/>
      <c r="AS207" s="275"/>
      <c r="AT207" s="275"/>
      <c r="AU207" s="275"/>
      <c r="AV207" s="275"/>
      <c r="AW207" s="275"/>
      <c r="AX207" s="275"/>
      <c r="AY207" s="437"/>
      <c r="AZ207" s="440">
        <f t="shared" si="22"/>
        <v>0</v>
      </c>
      <c r="BA207" s="275"/>
      <c r="BB207" s="275"/>
      <c r="BC207" s="275"/>
      <c r="BD207" s="275"/>
      <c r="BE207" s="275"/>
      <c r="BF207" s="275"/>
      <c r="BG207" s="275"/>
      <c r="BH207" s="436"/>
      <c r="BI207" s="275"/>
      <c r="BJ207" s="275"/>
      <c r="BK207" s="291"/>
      <c r="BL207" s="291"/>
      <c r="BM207" s="275"/>
      <c r="BN207" s="275"/>
      <c r="BO207" s="438"/>
      <c r="BP207" s="436"/>
      <c r="BQ207" s="275"/>
      <c r="BR207" s="275"/>
      <c r="BS207" s="275"/>
      <c r="BT207" s="275"/>
      <c r="BU207" s="275"/>
      <c r="BV207" s="275"/>
      <c r="BW207" s="275"/>
      <c r="BX207" s="438"/>
      <c r="BY207" s="436"/>
      <c r="BZ207" s="275"/>
      <c r="CA207" s="275"/>
      <c r="CB207" s="275"/>
      <c r="CC207" s="275"/>
      <c r="CD207" s="275"/>
      <c r="CE207" s="275"/>
      <c r="CF207" s="275"/>
      <c r="CG207" s="438"/>
      <c r="CH207" s="436"/>
      <c r="CI207" s="275"/>
      <c r="CJ207" s="275"/>
      <c r="CK207" s="275"/>
      <c r="CL207" s="275"/>
      <c r="CM207" s="275"/>
      <c r="CN207" s="275"/>
      <c r="CO207" s="442"/>
      <c r="CP207" s="443"/>
      <c r="CQ207" s="429">
        <f t="shared" si="23"/>
        <v>0</v>
      </c>
      <c r="CR207" s="430"/>
    </row>
    <row r="208" spans="1:96" ht="25.5" customHeight="1" x14ac:dyDescent="0.2">
      <c r="A208" s="410">
        <f t="shared" si="24"/>
        <v>193</v>
      </c>
      <c r="B208" s="280"/>
      <c r="C208" s="453"/>
      <c r="D208" s="411"/>
      <c r="E208" s="254"/>
      <c r="F208" s="277"/>
      <c r="G208" s="450"/>
      <c r="H208" s="451"/>
      <c r="I208" s="433" t="str">
        <f t="shared" ref="I208:I271" si="25">LEFT(H208,4)</f>
        <v/>
      </c>
      <c r="J208" s="434">
        <f t="shared" ref="J208:J271" si="26">G208-CQ208</f>
        <v>0</v>
      </c>
      <c r="K208" s="452"/>
      <c r="L208" s="276"/>
      <c r="M208" s="435"/>
      <c r="N208" s="417" t="str">
        <f t="shared" ref="N208:N271" si="27">IF($E208="","",MONTH($E208))</f>
        <v/>
      </c>
      <c r="O208" s="418" t="str">
        <f>IF('Data Set up'!$G$40="JUNE",IF(OR($N208=7,$N208=8,$N208=9),1,IF(OR($N208=10,$N208=11,$N208=12),2,IF(OR($N208=1,$N208=2,$N208=3),3,IF(OR($N208=4,$N208=5,$N208=6),4,"")))),IF(OR($N208=9,$N208=10,$N208=11),1,IF(OR($N208=12,$N208=1,$N208=2),2,IF(OR($N208=3,$N208=4,$N208=5),3,IF(OR($N208=6,$N208=7,$N208=8),4,"")))))</f>
        <v/>
      </c>
      <c r="P208" s="445"/>
      <c r="Q208" s="291"/>
      <c r="R208" s="291"/>
      <c r="S208" s="275"/>
      <c r="T208" s="275"/>
      <c r="U208" s="275"/>
      <c r="V208" s="275"/>
      <c r="W208" s="275"/>
      <c r="X208" s="275"/>
      <c r="Y208" s="275"/>
      <c r="Z208" s="275"/>
      <c r="AA208" s="275"/>
      <c r="AB208" s="275"/>
      <c r="AC208" s="275"/>
      <c r="AD208" s="275"/>
      <c r="AE208" s="275"/>
      <c r="AF208" s="275"/>
      <c r="AG208" s="275"/>
      <c r="AH208" s="438"/>
      <c r="AI208" s="439">
        <f t="shared" ref="AI208:AI271" si="28">SUM(AJ208:AP208)</f>
        <v>0</v>
      </c>
      <c r="AJ208" s="263"/>
      <c r="AK208" s="263"/>
      <c r="AL208" s="263"/>
      <c r="AM208" s="263"/>
      <c r="AN208" s="263"/>
      <c r="AO208" s="263"/>
      <c r="AP208" s="263"/>
      <c r="AQ208" s="436"/>
      <c r="AR208" s="275"/>
      <c r="AS208" s="275"/>
      <c r="AT208" s="275"/>
      <c r="AU208" s="275"/>
      <c r="AV208" s="275"/>
      <c r="AW208" s="275"/>
      <c r="AX208" s="275"/>
      <c r="AY208" s="437"/>
      <c r="AZ208" s="440">
        <f t="shared" ref="AZ208:AZ271" si="29">SUM(BA208:BG208)</f>
        <v>0</v>
      </c>
      <c r="BA208" s="275"/>
      <c r="BB208" s="275"/>
      <c r="BC208" s="275"/>
      <c r="BD208" s="275"/>
      <c r="BE208" s="275"/>
      <c r="BF208" s="275"/>
      <c r="BG208" s="275"/>
      <c r="BH208" s="436"/>
      <c r="BI208" s="275"/>
      <c r="BJ208" s="275"/>
      <c r="BK208" s="291"/>
      <c r="BL208" s="291"/>
      <c r="BM208" s="275"/>
      <c r="BN208" s="275"/>
      <c r="BO208" s="438"/>
      <c r="BP208" s="436"/>
      <c r="BQ208" s="275"/>
      <c r="BR208" s="275"/>
      <c r="BS208" s="275"/>
      <c r="BT208" s="275"/>
      <c r="BU208" s="275"/>
      <c r="BV208" s="275"/>
      <c r="BW208" s="275"/>
      <c r="BX208" s="438"/>
      <c r="BY208" s="436"/>
      <c r="BZ208" s="275"/>
      <c r="CA208" s="275"/>
      <c r="CB208" s="275"/>
      <c r="CC208" s="275"/>
      <c r="CD208" s="275"/>
      <c r="CE208" s="275"/>
      <c r="CF208" s="275"/>
      <c r="CG208" s="438"/>
      <c r="CH208" s="436"/>
      <c r="CI208" s="275"/>
      <c r="CJ208" s="275"/>
      <c r="CK208" s="275"/>
      <c r="CL208" s="275"/>
      <c r="CM208" s="275"/>
      <c r="CN208" s="275"/>
      <c r="CO208" s="442"/>
      <c r="CP208" s="443"/>
      <c r="CQ208" s="429">
        <f t="shared" ref="CQ208:CQ271" si="30">SUM(P208:AI208,AQ208:AZ208,BH208:CP208)</f>
        <v>0</v>
      </c>
      <c r="CR208" s="430"/>
    </row>
    <row r="209" spans="1:96" ht="25.5" customHeight="1" x14ac:dyDescent="0.2">
      <c r="A209" s="410">
        <f t="shared" ref="A209:A272" si="31">$A208+1</f>
        <v>194</v>
      </c>
      <c r="B209" s="280"/>
      <c r="C209" s="453"/>
      <c r="D209" s="411"/>
      <c r="E209" s="254"/>
      <c r="F209" s="277"/>
      <c r="G209" s="450"/>
      <c r="H209" s="451"/>
      <c r="I209" s="433" t="str">
        <f t="shared" si="25"/>
        <v/>
      </c>
      <c r="J209" s="434">
        <f t="shared" si="26"/>
        <v>0</v>
      </c>
      <c r="K209" s="452"/>
      <c r="L209" s="276"/>
      <c r="M209" s="435"/>
      <c r="N209" s="417" t="str">
        <f t="shared" si="27"/>
        <v/>
      </c>
      <c r="O209" s="418" t="str">
        <f>IF('Data Set up'!$G$40="JUNE",IF(OR($N209=7,$N209=8,$N209=9),1,IF(OR($N209=10,$N209=11,$N209=12),2,IF(OR($N209=1,$N209=2,$N209=3),3,IF(OR($N209=4,$N209=5,$N209=6),4,"")))),IF(OR($N209=9,$N209=10,$N209=11),1,IF(OR($N209=12,$N209=1,$N209=2),2,IF(OR($N209=3,$N209=4,$N209=5),3,IF(OR($N209=6,$N209=7,$N209=8),4,"")))))</f>
        <v/>
      </c>
      <c r="P209" s="445"/>
      <c r="Q209" s="291"/>
      <c r="R209" s="291"/>
      <c r="S209" s="275"/>
      <c r="T209" s="275"/>
      <c r="U209" s="275"/>
      <c r="V209" s="275"/>
      <c r="W209" s="275"/>
      <c r="X209" s="275"/>
      <c r="Y209" s="275"/>
      <c r="Z209" s="275"/>
      <c r="AA209" s="275"/>
      <c r="AB209" s="275"/>
      <c r="AC209" s="275"/>
      <c r="AD209" s="275"/>
      <c r="AE209" s="275"/>
      <c r="AF209" s="275"/>
      <c r="AG209" s="275"/>
      <c r="AH209" s="438"/>
      <c r="AI209" s="439">
        <f t="shared" si="28"/>
        <v>0</v>
      </c>
      <c r="AJ209" s="263"/>
      <c r="AK209" s="263"/>
      <c r="AL209" s="263"/>
      <c r="AM209" s="263"/>
      <c r="AN209" s="263"/>
      <c r="AO209" s="263"/>
      <c r="AP209" s="263"/>
      <c r="AQ209" s="436"/>
      <c r="AR209" s="275"/>
      <c r="AS209" s="275"/>
      <c r="AT209" s="275"/>
      <c r="AU209" s="275"/>
      <c r="AV209" s="275"/>
      <c r="AW209" s="275"/>
      <c r="AX209" s="275"/>
      <c r="AY209" s="437"/>
      <c r="AZ209" s="440">
        <f t="shared" si="29"/>
        <v>0</v>
      </c>
      <c r="BA209" s="275"/>
      <c r="BB209" s="275"/>
      <c r="BC209" s="275"/>
      <c r="BD209" s="275"/>
      <c r="BE209" s="275"/>
      <c r="BF209" s="275"/>
      <c r="BG209" s="275"/>
      <c r="BH209" s="436"/>
      <c r="BI209" s="275"/>
      <c r="BJ209" s="275"/>
      <c r="BK209" s="291"/>
      <c r="BL209" s="291"/>
      <c r="BM209" s="275"/>
      <c r="BN209" s="275"/>
      <c r="BO209" s="438"/>
      <c r="BP209" s="436"/>
      <c r="BQ209" s="275"/>
      <c r="BR209" s="275"/>
      <c r="BS209" s="275"/>
      <c r="BT209" s="275"/>
      <c r="BU209" s="275"/>
      <c r="BV209" s="275"/>
      <c r="BW209" s="275"/>
      <c r="BX209" s="438"/>
      <c r="BY209" s="436"/>
      <c r="BZ209" s="275"/>
      <c r="CA209" s="275"/>
      <c r="CB209" s="275"/>
      <c r="CC209" s="275"/>
      <c r="CD209" s="275"/>
      <c r="CE209" s="275"/>
      <c r="CF209" s="275"/>
      <c r="CG209" s="438"/>
      <c r="CH209" s="436"/>
      <c r="CI209" s="275"/>
      <c r="CJ209" s="275"/>
      <c r="CK209" s="275"/>
      <c r="CL209" s="275"/>
      <c r="CM209" s="275"/>
      <c r="CN209" s="275"/>
      <c r="CO209" s="442"/>
      <c r="CP209" s="443"/>
      <c r="CQ209" s="429">
        <f t="shared" si="30"/>
        <v>0</v>
      </c>
      <c r="CR209" s="430"/>
    </row>
    <row r="210" spans="1:96" ht="25.5" customHeight="1" x14ac:dyDescent="0.2">
      <c r="A210" s="410">
        <f t="shared" si="31"/>
        <v>195</v>
      </c>
      <c r="B210" s="280"/>
      <c r="C210" s="453"/>
      <c r="D210" s="411"/>
      <c r="E210" s="254"/>
      <c r="F210" s="277"/>
      <c r="G210" s="450"/>
      <c r="H210" s="451"/>
      <c r="I210" s="433" t="str">
        <f t="shared" si="25"/>
        <v/>
      </c>
      <c r="J210" s="434">
        <f t="shared" si="26"/>
        <v>0</v>
      </c>
      <c r="K210" s="452"/>
      <c r="L210" s="276"/>
      <c r="M210" s="435"/>
      <c r="N210" s="417" t="str">
        <f t="shared" si="27"/>
        <v/>
      </c>
      <c r="O210" s="418" t="str">
        <f>IF('Data Set up'!$G$40="JUNE",IF(OR($N210=7,$N210=8,$N210=9),1,IF(OR($N210=10,$N210=11,$N210=12),2,IF(OR($N210=1,$N210=2,$N210=3),3,IF(OR($N210=4,$N210=5,$N210=6),4,"")))),IF(OR($N210=9,$N210=10,$N210=11),1,IF(OR($N210=12,$N210=1,$N210=2),2,IF(OR($N210=3,$N210=4,$N210=5),3,IF(OR($N210=6,$N210=7,$N210=8),4,"")))))</f>
        <v/>
      </c>
      <c r="P210" s="445"/>
      <c r="Q210" s="291"/>
      <c r="R210" s="291"/>
      <c r="S210" s="275"/>
      <c r="T210" s="275"/>
      <c r="U210" s="275"/>
      <c r="V210" s="275"/>
      <c r="W210" s="275"/>
      <c r="X210" s="275"/>
      <c r="Y210" s="275"/>
      <c r="Z210" s="275"/>
      <c r="AA210" s="275"/>
      <c r="AB210" s="275"/>
      <c r="AC210" s="275"/>
      <c r="AD210" s="275"/>
      <c r="AE210" s="275"/>
      <c r="AF210" s="275"/>
      <c r="AG210" s="275"/>
      <c r="AH210" s="438"/>
      <c r="AI210" s="439">
        <f t="shared" si="28"/>
        <v>0</v>
      </c>
      <c r="AJ210" s="263"/>
      <c r="AK210" s="263"/>
      <c r="AL210" s="263"/>
      <c r="AM210" s="263"/>
      <c r="AN210" s="263"/>
      <c r="AO210" s="263"/>
      <c r="AP210" s="263"/>
      <c r="AQ210" s="436"/>
      <c r="AR210" s="275"/>
      <c r="AS210" s="275"/>
      <c r="AT210" s="275"/>
      <c r="AU210" s="275"/>
      <c r="AV210" s="275"/>
      <c r="AW210" s="275"/>
      <c r="AX210" s="275"/>
      <c r="AY210" s="437"/>
      <c r="AZ210" s="440">
        <f t="shared" si="29"/>
        <v>0</v>
      </c>
      <c r="BA210" s="275"/>
      <c r="BB210" s="275"/>
      <c r="BC210" s="275"/>
      <c r="BD210" s="275"/>
      <c r="BE210" s="275"/>
      <c r="BF210" s="275"/>
      <c r="BG210" s="275"/>
      <c r="BH210" s="436"/>
      <c r="BI210" s="275"/>
      <c r="BJ210" s="275"/>
      <c r="BK210" s="291"/>
      <c r="BL210" s="291"/>
      <c r="BM210" s="275"/>
      <c r="BN210" s="275"/>
      <c r="BO210" s="438"/>
      <c r="BP210" s="436"/>
      <c r="BQ210" s="275"/>
      <c r="BR210" s="275"/>
      <c r="BS210" s="275"/>
      <c r="BT210" s="275"/>
      <c r="BU210" s="275"/>
      <c r="BV210" s="275"/>
      <c r="BW210" s="275"/>
      <c r="BX210" s="438"/>
      <c r="BY210" s="436"/>
      <c r="BZ210" s="275"/>
      <c r="CA210" s="275"/>
      <c r="CB210" s="275"/>
      <c r="CC210" s="275"/>
      <c r="CD210" s="275"/>
      <c r="CE210" s="275"/>
      <c r="CF210" s="275"/>
      <c r="CG210" s="438"/>
      <c r="CH210" s="436"/>
      <c r="CI210" s="275"/>
      <c r="CJ210" s="275"/>
      <c r="CK210" s="275"/>
      <c r="CL210" s="275"/>
      <c r="CM210" s="275"/>
      <c r="CN210" s="275"/>
      <c r="CO210" s="442"/>
      <c r="CP210" s="443"/>
      <c r="CQ210" s="429">
        <f t="shared" si="30"/>
        <v>0</v>
      </c>
      <c r="CR210" s="430"/>
    </row>
    <row r="211" spans="1:96" ht="25.5" customHeight="1" x14ac:dyDescent="0.2">
      <c r="A211" s="410">
        <f t="shared" si="31"/>
        <v>196</v>
      </c>
      <c r="B211" s="280"/>
      <c r="C211" s="453"/>
      <c r="D211" s="411"/>
      <c r="E211" s="254"/>
      <c r="F211" s="277"/>
      <c r="G211" s="450"/>
      <c r="H211" s="451"/>
      <c r="I211" s="433" t="str">
        <f t="shared" si="25"/>
        <v/>
      </c>
      <c r="J211" s="434">
        <f t="shared" si="26"/>
        <v>0</v>
      </c>
      <c r="K211" s="452"/>
      <c r="L211" s="276"/>
      <c r="M211" s="435"/>
      <c r="N211" s="417" t="str">
        <f t="shared" si="27"/>
        <v/>
      </c>
      <c r="O211" s="418" t="str">
        <f>IF('Data Set up'!$G$40="JUNE",IF(OR($N211=7,$N211=8,$N211=9),1,IF(OR($N211=10,$N211=11,$N211=12),2,IF(OR($N211=1,$N211=2,$N211=3),3,IF(OR($N211=4,$N211=5,$N211=6),4,"")))),IF(OR($N211=9,$N211=10,$N211=11),1,IF(OR($N211=12,$N211=1,$N211=2),2,IF(OR($N211=3,$N211=4,$N211=5),3,IF(OR($N211=6,$N211=7,$N211=8),4,"")))))</f>
        <v/>
      </c>
      <c r="P211" s="445"/>
      <c r="Q211" s="291"/>
      <c r="R211" s="291"/>
      <c r="S211" s="275"/>
      <c r="T211" s="275"/>
      <c r="U211" s="275"/>
      <c r="V211" s="275"/>
      <c r="W211" s="275"/>
      <c r="X211" s="275"/>
      <c r="Y211" s="275"/>
      <c r="Z211" s="275"/>
      <c r="AA211" s="275"/>
      <c r="AB211" s="275"/>
      <c r="AC211" s="275"/>
      <c r="AD211" s="275"/>
      <c r="AE211" s="275"/>
      <c r="AF211" s="275"/>
      <c r="AG211" s="275"/>
      <c r="AH211" s="438"/>
      <c r="AI211" s="439">
        <f t="shared" si="28"/>
        <v>0</v>
      </c>
      <c r="AJ211" s="263"/>
      <c r="AK211" s="263"/>
      <c r="AL211" s="263"/>
      <c r="AM211" s="263"/>
      <c r="AN211" s="263"/>
      <c r="AO211" s="263"/>
      <c r="AP211" s="263"/>
      <c r="AQ211" s="436"/>
      <c r="AR211" s="275"/>
      <c r="AS211" s="275"/>
      <c r="AT211" s="275"/>
      <c r="AU211" s="275"/>
      <c r="AV211" s="275"/>
      <c r="AW211" s="275"/>
      <c r="AX211" s="275"/>
      <c r="AY211" s="437"/>
      <c r="AZ211" s="440">
        <f t="shared" si="29"/>
        <v>0</v>
      </c>
      <c r="BA211" s="275"/>
      <c r="BB211" s="275"/>
      <c r="BC211" s="275"/>
      <c r="BD211" s="275"/>
      <c r="BE211" s="275"/>
      <c r="BF211" s="275"/>
      <c r="BG211" s="275"/>
      <c r="BH211" s="436"/>
      <c r="BI211" s="275"/>
      <c r="BJ211" s="275"/>
      <c r="BK211" s="291"/>
      <c r="BL211" s="291"/>
      <c r="BM211" s="275"/>
      <c r="BN211" s="275"/>
      <c r="BO211" s="438"/>
      <c r="BP211" s="436"/>
      <c r="BQ211" s="275"/>
      <c r="BR211" s="275"/>
      <c r="BS211" s="275"/>
      <c r="BT211" s="275"/>
      <c r="BU211" s="275"/>
      <c r="BV211" s="275"/>
      <c r="BW211" s="275"/>
      <c r="BX211" s="438"/>
      <c r="BY211" s="436"/>
      <c r="BZ211" s="275"/>
      <c r="CA211" s="275"/>
      <c r="CB211" s="275"/>
      <c r="CC211" s="275"/>
      <c r="CD211" s="275"/>
      <c r="CE211" s="275"/>
      <c r="CF211" s="275"/>
      <c r="CG211" s="438"/>
      <c r="CH211" s="436"/>
      <c r="CI211" s="275"/>
      <c r="CJ211" s="275"/>
      <c r="CK211" s="275"/>
      <c r="CL211" s="275"/>
      <c r="CM211" s="275"/>
      <c r="CN211" s="275"/>
      <c r="CO211" s="442"/>
      <c r="CP211" s="443"/>
      <c r="CQ211" s="429">
        <f t="shared" si="30"/>
        <v>0</v>
      </c>
      <c r="CR211" s="430"/>
    </row>
    <row r="212" spans="1:96" ht="25.5" customHeight="1" x14ac:dyDescent="0.2">
      <c r="A212" s="410">
        <f t="shared" si="31"/>
        <v>197</v>
      </c>
      <c r="B212" s="280"/>
      <c r="C212" s="453"/>
      <c r="D212" s="411"/>
      <c r="E212" s="254"/>
      <c r="F212" s="277"/>
      <c r="G212" s="450"/>
      <c r="H212" s="451"/>
      <c r="I212" s="433" t="str">
        <f t="shared" si="25"/>
        <v/>
      </c>
      <c r="J212" s="434">
        <f t="shared" si="26"/>
        <v>0</v>
      </c>
      <c r="K212" s="452"/>
      <c r="L212" s="276"/>
      <c r="M212" s="435"/>
      <c r="N212" s="417" t="str">
        <f t="shared" si="27"/>
        <v/>
      </c>
      <c r="O212" s="418" t="str">
        <f>IF('Data Set up'!$G$40="JUNE",IF(OR($N212=7,$N212=8,$N212=9),1,IF(OR($N212=10,$N212=11,$N212=12),2,IF(OR($N212=1,$N212=2,$N212=3),3,IF(OR($N212=4,$N212=5,$N212=6),4,"")))),IF(OR($N212=9,$N212=10,$N212=11),1,IF(OR($N212=12,$N212=1,$N212=2),2,IF(OR($N212=3,$N212=4,$N212=5),3,IF(OR($N212=6,$N212=7,$N212=8),4,"")))))</f>
        <v/>
      </c>
      <c r="P212" s="445"/>
      <c r="Q212" s="291"/>
      <c r="R212" s="291"/>
      <c r="S212" s="275"/>
      <c r="T212" s="275"/>
      <c r="U212" s="275"/>
      <c r="V212" s="275"/>
      <c r="W212" s="275"/>
      <c r="X212" s="275"/>
      <c r="Y212" s="275"/>
      <c r="Z212" s="275"/>
      <c r="AA212" s="275"/>
      <c r="AB212" s="275"/>
      <c r="AC212" s="275"/>
      <c r="AD212" s="275"/>
      <c r="AE212" s="275"/>
      <c r="AF212" s="275"/>
      <c r="AG212" s="275"/>
      <c r="AH212" s="438"/>
      <c r="AI212" s="439">
        <f t="shared" si="28"/>
        <v>0</v>
      </c>
      <c r="AJ212" s="263"/>
      <c r="AK212" s="263"/>
      <c r="AL212" s="263"/>
      <c r="AM212" s="263"/>
      <c r="AN212" s="263"/>
      <c r="AO212" s="263"/>
      <c r="AP212" s="263"/>
      <c r="AQ212" s="436"/>
      <c r="AR212" s="275"/>
      <c r="AS212" s="275"/>
      <c r="AT212" s="275"/>
      <c r="AU212" s="275"/>
      <c r="AV212" s="275"/>
      <c r="AW212" s="275"/>
      <c r="AX212" s="275"/>
      <c r="AY212" s="437"/>
      <c r="AZ212" s="440">
        <f t="shared" si="29"/>
        <v>0</v>
      </c>
      <c r="BA212" s="275"/>
      <c r="BB212" s="275"/>
      <c r="BC212" s="275"/>
      <c r="BD212" s="275"/>
      <c r="BE212" s="275"/>
      <c r="BF212" s="275"/>
      <c r="BG212" s="275"/>
      <c r="BH212" s="436"/>
      <c r="BI212" s="275"/>
      <c r="BJ212" s="275"/>
      <c r="BK212" s="291"/>
      <c r="BL212" s="291"/>
      <c r="BM212" s="275"/>
      <c r="BN212" s="275"/>
      <c r="BO212" s="438"/>
      <c r="BP212" s="436"/>
      <c r="BQ212" s="275"/>
      <c r="BR212" s="275"/>
      <c r="BS212" s="275"/>
      <c r="BT212" s="275"/>
      <c r="BU212" s="275"/>
      <c r="BV212" s="275"/>
      <c r="BW212" s="275"/>
      <c r="BX212" s="438"/>
      <c r="BY212" s="436"/>
      <c r="BZ212" s="275"/>
      <c r="CA212" s="275"/>
      <c r="CB212" s="275"/>
      <c r="CC212" s="275"/>
      <c r="CD212" s="275"/>
      <c r="CE212" s="275"/>
      <c r="CF212" s="275"/>
      <c r="CG212" s="438"/>
      <c r="CH212" s="436"/>
      <c r="CI212" s="275"/>
      <c r="CJ212" s="275"/>
      <c r="CK212" s="275"/>
      <c r="CL212" s="275"/>
      <c r="CM212" s="275"/>
      <c r="CN212" s="275"/>
      <c r="CO212" s="442"/>
      <c r="CP212" s="443"/>
      <c r="CQ212" s="429">
        <f t="shared" si="30"/>
        <v>0</v>
      </c>
      <c r="CR212" s="430"/>
    </row>
    <row r="213" spans="1:96" ht="25.5" customHeight="1" x14ac:dyDescent="0.2">
      <c r="A213" s="410">
        <f t="shared" si="31"/>
        <v>198</v>
      </c>
      <c r="B213" s="280"/>
      <c r="C213" s="453"/>
      <c r="D213" s="411"/>
      <c r="E213" s="254"/>
      <c r="F213" s="277"/>
      <c r="G213" s="450"/>
      <c r="H213" s="451"/>
      <c r="I213" s="433" t="str">
        <f t="shared" si="25"/>
        <v/>
      </c>
      <c r="J213" s="434">
        <f t="shared" si="26"/>
        <v>0</v>
      </c>
      <c r="K213" s="452"/>
      <c r="L213" s="276"/>
      <c r="M213" s="435"/>
      <c r="N213" s="417" t="str">
        <f t="shared" si="27"/>
        <v/>
      </c>
      <c r="O213" s="418" t="str">
        <f>IF('Data Set up'!$G$40="JUNE",IF(OR($N213=7,$N213=8,$N213=9),1,IF(OR($N213=10,$N213=11,$N213=12),2,IF(OR($N213=1,$N213=2,$N213=3),3,IF(OR($N213=4,$N213=5,$N213=6),4,"")))),IF(OR($N213=9,$N213=10,$N213=11),1,IF(OR($N213=12,$N213=1,$N213=2),2,IF(OR($N213=3,$N213=4,$N213=5),3,IF(OR($N213=6,$N213=7,$N213=8),4,"")))))</f>
        <v/>
      </c>
      <c r="P213" s="445"/>
      <c r="Q213" s="291"/>
      <c r="R213" s="291"/>
      <c r="S213" s="275"/>
      <c r="T213" s="275"/>
      <c r="U213" s="275"/>
      <c r="V213" s="275"/>
      <c r="W213" s="275"/>
      <c r="X213" s="275"/>
      <c r="Y213" s="275"/>
      <c r="Z213" s="275"/>
      <c r="AA213" s="275"/>
      <c r="AB213" s="275"/>
      <c r="AC213" s="275"/>
      <c r="AD213" s="275"/>
      <c r="AE213" s="275"/>
      <c r="AF213" s="275"/>
      <c r="AG213" s="275"/>
      <c r="AH213" s="438"/>
      <c r="AI213" s="439">
        <f t="shared" si="28"/>
        <v>0</v>
      </c>
      <c r="AJ213" s="263"/>
      <c r="AK213" s="263"/>
      <c r="AL213" s="263"/>
      <c r="AM213" s="263"/>
      <c r="AN213" s="263"/>
      <c r="AO213" s="263"/>
      <c r="AP213" s="263"/>
      <c r="AQ213" s="436"/>
      <c r="AR213" s="275"/>
      <c r="AS213" s="275"/>
      <c r="AT213" s="275"/>
      <c r="AU213" s="275"/>
      <c r="AV213" s="275"/>
      <c r="AW213" s="275"/>
      <c r="AX213" s="275"/>
      <c r="AY213" s="437"/>
      <c r="AZ213" s="440">
        <f t="shared" si="29"/>
        <v>0</v>
      </c>
      <c r="BA213" s="275"/>
      <c r="BB213" s="275"/>
      <c r="BC213" s="275"/>
      <c r="BD213" s="275"/>
      <c r="BE213" s="275"/>
      <c r="BF213" s="275"/>
      <c r="BG213" s="275"/>
      <c r="BH213" s="436"/>
      <c r="BI213" s="275"/>
      <c r="BJ213" s="275"/>
      <c r="BK213" s="291"/>
      <c r="BL213" s="291"/>
      <c r="BM213" s="275"/>
      <c r="BN213" s="275"/>
      <c r="BO213" s="438"/>
      <c r="BP213" s="436"/>
      <c r="BQ213" s="275"/>
      <c r="BR213" s="275"/>
      <c r="BS213" s="275"/>
      <c r="BT213" s="275"/>
      <c r="BU213" s="275"/>
      <c r="BV213" s="275"/>
      <c r="BW213" s="275"/>
      <c r="BX213" s="438"/>
      <c r="BY213" s="436"/>
      <c r="BZ213" s="275"/>
      <c r="CA213" s="275"/>
      <c r="CB213" s="275"/>
      <c r="CC213" s="275"/>
      <c r="CD213" s="275"/>
      <c r="CE213" s="275"/>
      <c r="CF213" s="275"/>
      <c r="CG213" s="438"/>
      <c r="CH213" s="436"/>
      <c r="CI213" s="275"/>
      <c r="CJ213" s="275"/>
      <c r="CK213" s="275"/>
      <c r="CL213" s="275"/>
      <c r="CM213" s="275"/>
      <c r="CN213" s="275"/>
      <c r="CO213" s="442"/>
      <c r="CP213" s="443"/>
      <c r="CQ213" s="429">
        <f t="shared" si="30"/>
        <v>0</v>
      </c>
      <c r="CR213" s="430"/>
    </row>
    <row r="214" spans="1:96" ht="25.5" customHeight="1" x14ac:dyDescent="0.2">
      <c r="A214" s="410">
        <f t="shared" si="31"/>
        <v>199</v>
      </c>
      <c r="B214" s="280"/>
      <c r="C214" s="453"/>
      <c r="D214" s="411"/>
      <c r="E214" s="254"/>
      <c r="F214" s="277"/>
      <c r="G214" s="450"/>
      <c r="H214" s="451"/>
      <c r="I214" s="433" t="str">
        <f t="shared" si="25"/>
        <v/>
      </c>
      <c r="J214" s="434">
        <f t="shared" si="26"/>
        <v>0</v>
      </c>
      <c r="K214" s="452"/>
      <c r="L214" s="276"/>
      <c r="M214" s="435"/>
      <c r="N214" s="417" t="str">
        <f t="shared" si="27"/>
        <v/>
      </c>
      <c r="O214" s="418" t="str">
        <f>IF('Data Set up'!$G$40="JUNE",IF(OR($N214=7,$N214=8,$N214=9),1,IF(OR($N214=10,$N214=11,$N214=12),2,IF(OR($N214=1,$N214=2,$N214=3),3,IF(OR($N214=4,$N214=5,$N214=6),4,"")))),IF(OR($N214=9,$N214=10,$N214=11),1,IF(OR($N214=12,$N214=1,$N214=2),2,IF(OR($N214=3,$N214=4,$N214=5),3,IF(OR($N214=6,$N214=7,$N214=8),4,"")))))</f>
        <v/>
      </c>
      <c r="P214" s="445"/>
      <c r="Q214" s="291"/>
      <c r="R214" s="291"/>
      <c r="S214" s="275"/>
      <c r="T214" s="275"/>
      <c r="U214" s="275"/>
      <c r="V214" s="275"/>
      <c r="W214" s="275"/>
      <c r="X214" s="275"/>
      <c r="Y214" s="275"/>
      <c r="Z214" s="275"/>
      <c r="AA214" s="275"/>
      <c r="AB214" s="275"/>
      <c r="AC214" s="275"/>
      <c r="AD214" s="275"/>
      <c r="AE214" s="275"/>
      <c r="AF214" s="275"/>
      <c r="AG214" s="275"/>
      <c r="AH214" s="438"/>
      <c r="AI214" s="439">
        <f t="shared" si="28"/>
        <v>0</v>
      </c>
      <c r="AJ214" s="263"/>
      <c r="AK214" s="263"/>
      <c r="AL214" s="263"/>
      <c r="AM214" s="263"/>
      <c r="AN214" s="263"/>
      <c r="AO214" s="263"/>
      <c r="AP214" s="263"/>
      <c r="AQ214" s="436"/>
      <c r="AR214" s="275"/>
      <c r="AS214" s="275"/>
      <c r="AT214" s="275"/>
      <c r="AU214" s="275"/>
      <c r="AV214" s="275"/>
      <c r="AW214" s="275"/>
      <c r="AX214" s="275"/>
      <c r="AY214" s="437"/>
      <c r="AZ214" s="440">
        <f t="shared" si="29"/>
        <v>0</v>
      </c>
      <c r="BA214" s="275"/>
      <c r="BB214" s="275"/>
      <c r="BC214" s="275"/>
      <c r="BD214" s="275"/>
      <c r="BE214" s="275"/>
      <c r="BF214" s="275"/>
      <c r="BG214" s="275"/>
      <c r="BH214" s="436"/>
      <c r="BI214" s="275"/>
      <c r="BJ214" s="275"/>
      <c r="BK214" s="291"/>
      <c r="BL214" s="291"/>
      <c r="BM214" s="275"/>
      <c r="BN214" s="275"/>
      <c r="BO214" s="438"/>
      <c r="BP214" s="436"/>
      <c r="BQ214" s="275"/>
      <c r="BR214" s="275"/>
      <c r="BS214" s="275"/>
      <c r="BT214" s="275"/>
      <c r="BU214" s="275"/>
      <c r="BV214" s="275"/>
      <c r="BW214" s="275"/>
      <c r="BX214" s="438"/>
      <c r="BY214" s="436"/>
      <c r="BZ214" s="275"/>
      <c r="CA214" s="275"/>
      <c r="CB214" s="275"/>
      <c r="CC214" s="275"/>
      <c r="CD214" s="275"/>
      <c r="CE214" s="275"/>
      <c r="CF214" s="275"/>
      <c r="CG214" s="438"/>
      <c r="CH214" s="436"/>
      <c r="CI214" s="275"/>
      <c r="CJ214" s="275"/>
      <c r="CK214" s="275"/>
      <c r="CL214" s="275"/>
      <c r="CM214" s="275"/>
      <c r="CN214" s="275"/>
      <c r="CO214" s="442"/>
      <c r="CP214" s="443"/>
      <c r="CQ214" s="429">
        <f t="shared" si="30"/>
        <v>0</v>
      </c>
      <c r="CR214" s="430"/>
    </row>
    <row r="215" spans="1:96" ht="25.5" customHeight="1" x14ac:dyDescent="0.2">
      <c r="A215" s="410">
        <f t="shared" si="31"/>
        <v>200</v>
      </c>
      <c r="B215" s="280"/>
      <c r="C215" s="453"/>
      <c r="D215" s="411"/>
      <c r="E215" s="254"/>
      <c r="F215" s="277"/>
      <c r="G215" s="450"/>
      <c r="H215" s="451"/>
      <c r="I215" s="433" t="str">
        <f t="shared" si="25"/>
        <v/>
      </c>
      <c r="J215" s="434">
        <f t="shared" si="26"/>
        <v>0</v>
      </c>
      <c r="K215" s="452"/>
      <c r="L215" s="276"/>
      <c r="M215" s="435"/>
      <c r="N215" s="417" t="str">
        <f t="shared" si="27"/>
        <v/>
      </c>
      <c r="O215" s="418" t="str">
        <f>IF('Data Set up'!$G$40="JUNE",IF(OR($N215=7,$N215=8,$N215=9),1,IF(OR($N215=10,$N215=11,$N215=12),2,IF(OR($N215=1,$N215=2,$N215=3),3,IF(OR($N215=4,$N215=5,$N215=6),4,"")))),IF(OR($N215=9,$N215=10,$N215=11),1,IF(OR($N215=12,$N215=1,$N215=2),2,IF(OR($N215=3,$N215=4,$N215=5),3,IF(OR($N215=6,$N215=7,$N215=8),4,"")))))</f>
        <v/>
      </c>
      <c r="P215" s="445"/>
      <c r="Q215" s="291"/>
      <c r="R215" s="291"/>
      <c r="S215" s="275"/>
      <c r="T215" s="275"/>
      <c r="U215" s="275"/>
      <c r="V215" s="275"/>
      <c r="W215" s="275"/>
      <c r="X215" s="275"/>
      <c r="Y215" s="275"/>
      <c r="Z215" s="275"/>
      <c r="AA215" s="275"/>
      <c r="AB215" s="275"/>
      <c r="AC215" s="275"/>
      <c r="AD215" s="275"/>
      <c r="AE215" s="275"/>
      <c r="AF215" s="275"/>
      <c r="AG215" s="275"/>
      <c r="AH215" s="438"/>
      <c r="AI215" s="439">
        <f t="shared" si="28"/>
        <v>0</v>
      </c>
      <c r="AJ215" s="263"/>
      <c r="AK215" s="263"/>
      <c r="AL215" s="263"/>
      <c r="AM215" s="263"/>
      <c r="AN215" s="263"/>
      <c r="AO215" s="263"/>
      <c r="AP215" s="263"/>
      <c r="AQ215" s="436"/>
      <c r="AR215" s="275"/>
      <c r="AS215" s="275"/>
      <c r="AT215" s="275"/>
      <c r="AU215" s="275"/>
      <c r="AV215" s="275"/>
      <c r="AW215" s="275"/>
      <c r="AX215" s="275"/>
      <c r="AY215" s="437"/>
      <c r="AZ215" s="440">
        <f t="shared" si="29"/>
        <v>0</v>
      </c>
      <c r="BA215" s="275"/>
      <c r="BB215" s="275"/>
      <c r="BC215" s="275"/>
      <c r="BD215" s="275"/>
      <c r="BE215" s="275"/>
      <c r="BF215" s="275"/>
      <c r="BG215" s="275"/>
      <c r="BH215" s="436"/>
      <c r="BI215" s="275"/>
      <c r="BJ215" s="275"/>
      <c r="BK215" s="291"/>
      <c r="BL215" s="291"/>
      <c r="BM215" s="275"/>
      <c r="BN215" s="275"/>
      <c r="BO215" s="438"/>
      <c r="BP215" s="436"/>
      <c r="BQ215" s="275"/>
      <c r="BR215" s="275"/>
      <c r="BS215" s="275"/>
      <c r="BT215" s="275"/>
      <c r="BU215" s="275"/>
      <c r="BV215" s="275"/>
      <c r="BW215" s="275"/>
      <c r="BX215" s="438"/>
      <c r="BY215" s="436"/>
      <c r="BZ215" s="275"/>
      <c r="CA215" s="275"/>
      <c r="CB215" s="275"/>
      <c r="CC215" s="275"/>
      <c r="CD215" s="275"/>
      <c r="CE215" s="275"/>
      <c r="CF215" s="275"/>
      <c r="CG215" s="438"/>
      <c r="CH215" s="436"/>
      <c r="CI215" s="275"/>
      <c r="CJ215" s="275"/>
      <c r="CK215" s="275"/>
      <c r="CL215" s="275"/>
      <c r="CM215" s="275"/>
      <c r="CN215" s="275"/>
      <c r="CO215" s="442"/>
      <c r="CP215" s="443"/>
      <c r="CQ215" s="429">
        <f t="shared" si="30"/>
        <v>0</v>
      </c>
      <c r="CR215" s="430"/>
    </row>
    <row r="216" spans="1:96" ht="25.5" customHeight="1" x14ac:dyDescent="0.2">
      <c r="A216" s="410">
        <f t="shared" si="31"/>
        <v>201</v>
      </c>
      <c r="B216" s="280"/>
      <c r="C216" s="453"/>
      <c r="D216" s="411"/>
      <c r="E216" s="254"/>
      <c r="F216" s="277"/>
      <c r="G216" s="450"/>
      <c r="H216" s="451"/>
      <c r="I216" s="433" t="str">
        <f t="shared" si="25"/>
        <v/>
      </c>
      <c r="J216" s="434">
        <f t="shared" si="26"/>
        <v>0</v>
      </c>
      <c r="K216" s="452"/>
      <c r="L216" s="276"/>
      <c r="M216" s="435"/>
      <c r="N216" s="417" t="str">
        <f t="shared" si="27"/>
        <v/>
      </c>
      <c r="O216" s="418" t="str">
        <f>IF('Data Set up'!$G$40="JUNE",IF(OR($N216=7,$N216=8,$N216=9),1,IF(OR($N216=10,$N216=11,$N216=12),2,IF(OR($N216=1,$N216=2,$N216=3),3,IF(OR($N216=4,$N216=5,$N216=6),4,"")))),IF(OR($N216=9,$N216=10,$N216=11),1,IF(OR($N216=12,$N216=1,$N216=2),2,IF(OR($N216=3,$N216=4,$N216=5),3,IF(OR($N216=6,$N216=7,$N216=8),4,"")))))</f>
        <v/>
      </c>
      <c r="P216" s="445"/>
      <c r="Q216" s="291"/>
      <c r="R216" s="291"/>
      <c r="S216" s="275"/>
      <c r="T216" s="275"/>
      <c r="U216" s="275"/>
      <c r="V216" s="275"/>
      <c r="W216" s="275"/>
      <c r="X216" s="275"/>
      <c r="Y216" s="275"/>
      <c r="Z216" s="275"/>
      <c r="AA216" s="275"/>
      <c r="AB216" s="275"/>
      <c r="AC216" s="275"/>
      <c r="AD216" s="275"/>
      <c r="AE216" s="275"/>
      <c r="AF216" s="275"/>
      <c r="AG216" s="275"/>
      <c r="AH216" s="438"/>
      <c r="AI216" s="439">
        <f t="shared" si="28"/>
        <v>0</v>
      </c>
      <c r="AJ216" s="263"/>
      <c r="AK216" s="263"/>
      <c r="AL216" s="263"/>
      <c r="AM216" s="263"/>
      <c r="AN216" s="263"/>
      <c r="AO216" s="263"/>
      <c r="AP216" s="263"/>
      <c r="AQ216" s="436"/>
      <c r="AR216" s="275"/>
      <c r="AS216" s="275"/>
      <c r="AT216" s="275"/>
      <c r="AU216" s="275"/>
      <c r="AV216" s="275"/>
      <c r="AW216" s="275"/>
      <c r="AX216" s="275"/>
      <c r="AY216" s="437"/>
      <c r="AZ216" s="440">
        <f t="shared" si="29"/>
        <v>0</v>
      </c>
      <c r="BA216" s="275"/>
      <c r="BB216" s="275"/>
      <c r="BC216" s="275"/>
      <c r="BD216" s="275"/>
      <c r="BE216" s="275"/>
      <c r="BF216" s="275"/>
      <c r="BG216" s="275"/>
      <c r="BH216" s="436"/>
      <c r="BI216" s="275"/>
      <c r="BJ216" s="275"/>
      <c r="BK216" s="291"/>
      <c r="BL216" s="291"/>
      <c r="BM216" s="275"/>
      <c r="BN216" s="275"/>
      <c r="BO216" s="438"/>
      <c r="BP216" s="436"/>
      <c r="BQ216" s="275"/>
      <c r="BR216" s="275"/>
      <c r="BS216" s="275"/>
      <c r="BT216" s="275"/>
      <c r="BU216" s="275"/>
      <c r="BV216" s="275"/>
      <c r="BW216" s="275"/>
      <c r="BX216" s="438"/>
      <c r="BY216" s="436"/>
      <c r="BZ216" s="275"/>
      <c r="CA216" s="275"/>
      <c r="CB216" s="275"/>
      <c r="CC216" s="275"/>
      <c r="CD216" s="275"/>
      <c r="CE216" s="275"/>
      <c r="CF216" s="275"/>
      <c r="CG216" s="438"/>
      <c r="CH216" s="436"/>
      <c r="CI216" s="275"/>
      <c r="CJ216" s="275"/>
      <c r="CK216" s="275"/>
      <c r="CL216" s="275"/>
      <c r="CM216" s="275"/>
      <c r="CN216" s="275"/>
      <c r="CO216" s="442"/>
      <c r="CP216" s="443"/>
      <c r="CQ216" s="429">
        <f t="shared" si="30"/>
        <v>0</v>
      </c>
      <c r="CR216" s="430"/>
    </row>
    <row r="217" spans="1:96" ht="25.5" customHeight="1" x14ac:dyDescent="0.2">
      <c r="A217" s="410">
        <f t="shared" si="31"/>
        <v>202</v>
      </c>
      <c r="B217" s="280"/>
      <c r="C217" s="453"/>
      <c r="D217" s="411"/>
      <c r="E217" s="254"/>
      <c r="F217" s="277"/>
      <c r="G217" s="450"/>
      <c r="H217" s="451"/>
      <c r="I217" s="433" t="str">
        <f t="shared" si="25"/>
        <v/>
      </c>
      <c r="J217" s="434">
        <f t="shared" si="26"/>
        <v>0</v>
      </c>
      <c r="K217" s="452"/>
      <c r="L217" s="276"/>
      <c r="M217" s="435"/>
      <c r="N217" s="417" t="str">
        <f t="shared" si="27"/>
        <v/>
      </c>
      <c r="O217" s="418" t="str">
        <f>IF('Data Set up'!$G$40="JUNE",IF(OR($N217=7,$N217=8,$N217=9),1,IF(OR($N217=10,$N217=11,$N217=12),2,IF(OR($N217=1,$N217=2,$N217=3),3,IF(OR($N217=4,$N217=5,$N217=6),4,"")))),IF(OR($N217=9,$N217=10,$N217=11),1,IF(OR($N217=12,$N217=1,$N217=2),2,IF(OR($N217=3,$N217=4,$N217=5),3,IF(OR($N217=6,$N217=7,$N217=8),4,"")))))</f>
        <v/>
      </c>
      <c r="P217" s="445"/>
      <c r="Q217" s="291"/>
      <c r="R217" s="291"/>
      <c r="S217" s="275"/>
      <c r="T217" s="275"/>
      <c r="U217" s="275"/>
      <c r="V217" s="275"/>
      <c r="W217" s="275"/>
      <c r="X217" s="275"/>
      <c r="Y217" s="275"/>
      <c r="Z217" s="275"/>
      <c r="AA217" s="275"/>
      <c r="AB217" s="275"/>
      <c r="AC217" s="275"/>
      <c r="AD217" s="275"/>
      <c r="AE217" s="275"/>
      <c r="AF217" s="275"/>
      <c r="AG217" s="275"/>
      <c r="AH217" s="438"/>
      <c r="AI217" s="439">
        <f t="shared" si="28"/>
        <v>0</v>
      </c>
      <c r="AJ217" s="263"/>
      <c r="AK217" s="263"/>
      <c r="AL217" s="263"/>
      <c r="AM217" s="263"/>
      <c r="AN217" s="263"/>
      <c r="AO217" s="263"/>
      <c r="AP217" s="263"/>
      <c r="AQ217" s="436"/>
      <c r="AR217" s="275"/>
      <c r="AS217" s="275"/>
      <c r="AT217" s="275"/>
      <c r="AU217" s="275"/>
      <c r="AV217" s="275"/>
      <c r="AW217" s="275"/>
      <c r="AX217" s="275"/>
      <c r="AY217" s="437"/>
      <c r="AZ217" s="440">
        <f t="shared" si="29"/>
        <v>0</v>
      </c>
      <c r="BA217" s="275"/>
      <c r="BB217" s="275"/>
      <c r="BC217" s="275"/>
      <c r="BD217" s="275"/>
      <c r="BE217" s="275"/>
      <c r="BF217" s="275"/>
      <c r="BG217" s="275"/>
      <c r="BH217" s="436"/>
      <c r="BI217" s="275"/>
      <c r="BJ217" s="275"/>
      <c r="BK217" s="291"/>
      <c r="BL217" s="291"/>
      <c r="BM217" s="275"/>
      <c r="BN217" s="275"/>
      <c r="BO217" s="438"/>
      <c r="BP217" s="436"/>
      <c r="BQ217" s="275"/>
      <c r="BR217" s="275"/>
      <c r="BS217" s="275"/>
      <c r="BT217" s="275"/>
      <c r="BU217" s="275"/>
      <c r="BV217" s="275"/>
      <c r="BW217" s="275"/>
      <c r="BX217" s="438"/>
      <c r="BY217" s="436"/>
      <c r="BZ217" s="275"/>
      <c r="CA217" s="275"/>
      <c r="CB217" s="275"/>
      <c r="CC217" s="275"/>
      <c r="CD217" s="275"/>
      <c r="CE217" s="275"/>
      <c r="CF217" s="275"/>
      <c r="CG217" s="438"/>
      <c r="CH217" s="436"/>
      <c r="CI217" s="275"/>
      <c r="CJ217" s="275"/>
      <c r="CK217" s="275"/>
      <c r="CL217" s="275"/>
      <c r="CM217" s="275"/>
      <c r="CN217" s="275"/>
      <c r="CO217" s="442"/>
      <c r="CP217" s="443"/>
      <c r="CQ217" s="429">
        <f t="shared" si="30"/>
        <v>0</v>
      </c>
      <c r="CR217" s="430"/>
    </row>
    <row r="218" spans="1:96" ht="25.5" customHeight="1" x14ac:dyDescent="0.2">
      <c r="A218" s="410">
        <f t="shared" si="31"/>
        <v>203</v>
      </c>
      <c r="B218" s="280"/>
      <c r="C218" s="453"/>
      <c r="D218" s="411"/>
      <c r="E218" s="254"/>
      <c r="F218" s="277"/>
      <c r="G218" s="450"/>
      <c r="H218" s="451"/>
      <c r="I218" s="433" t="str">
        <f t="shared" si="25"/>
        <v/>
      </c>
      <c r="J218" s="434">
        <f t="shared" si="26"/>
        <v>0</v>
      </c>
      <c r="K218" s="452"/>
      <c r="L218" s="276"/>
      <c r="M218" s="435"/>
      <c r="N218" s="417" t="str">
        <f t="shared" si="27"/>
        <v/>
      </c>
      <c r="O218" s="418" t="str">
        <f>IF('Data Set up'!$G$40="JUNE",IF(OR($N218=7,$N218=8,$N218=9),1,IF(OR($N218=10,$N218=11,$N218=12),2,IF(OR($N218=1,$N218=2,$N218=3),3,IF(OR($N218=4,$N218=5,$N218=6),4,"")))),IF(OR($N218=9,$N218=10,$N218=11),1,IF(OR($N218=12,$N218=1,$N218=2),2,IF(OR($N218=3,$N218=4,$N218=5),3,IF(OR($N218=6,$N218=7,$N218=8),4,"")))))</f>
        <v/>
      </c>
      <c r="P218" s="445"/>
      <c r="Q218" s="291"/>
      <c r="R218" s="291"/>
      <c r="S218" s="275"/>
      <c r="T218" s="275"/>
      <c r="U218" s="275"/>
      <c r="V218" s="275"/>
      <c r="W218" s="275"/>
      <c r="X218" s="275"/>
      <c r="Y218" s="275"/>
      <c r="Z218" s="275"/>
      <c r="AA218" s="275"/>
      <c r="AB218" s="275"/>
      <c r="AC218" s="275"/>
      <c r="AD218" s="275"/>
      <c r="AE218" s="275"/>
      <c r="AF218" s="275"/>
      <c r="AG218" s="275"/>
      <c r="AH218" s="438"/>
      <c r="AI218" s="439">
        <f t="shared" si="28"/>
        <v>0</v>
      </c>
      <c r="AJ218" s="263"/>
      <c r="AK218" s="263"/>
      <c r="AL218" s="263"/>
      <c r="AM218" s="263"/>
      <c r="AN218" s="263"/>
      <c r="AO218" s="263"/>
      <c r="AP218" s="263"/>
      <c r="AQ218" s="436"/>
      <c r="AR218" s="275"/>
      <c r="AS218" s="275"/>
      <c r="AT218" s="275"/>
      <c r="AU218" s="275"/>
      <c r="AV218" s="275"/>
      <c r="AW218" s="275"/>
      <c r="AX218" s="275"/>
      <c r="AY218" s="437"/>
      <c r="AZ218" s="440">
        <f t="shared" si="29"/>
        <v>0</v>
      </c>
      <c r="BA218" s="275"/>
      <c r="BB218" s="275"/>
      <c r="BC218" s="275"/>
      <c r="BD218" s="275"/>
      <c r="BE218" s="275"/>
      <c r="BF218" s="275"/>
      <c r="BG218" s="275"/>
      <c r="BH218" s="436"/>
      <c r="BI218" s="275"/>
      <c r="BJ218" s="275"/>
      <c r="BK218" s="291"/>
      <c r="BL218" s="291"/>
      <c r="BM218" s="275"/>
      <c r="BN218" s="275"/>
      <c r="BO218" s="438"/>
      <c r="BP218" s="436"/>
      <c r="BQ218" s="275"/>
      <c r="BR218" s="275"/>
      <c r="BS218" s="275"/>
      <c r="BT218" s="275"/>
      <c r="BU218" s="275"/>
      <c r="BV218" s="275"/>
      <c r="BW218" s="275"/>
      <c r="BX218" s="438"/>
      <c r="BY218" s="436"/>
      <c r="BZ218" s="275"/>
      <c r="CA218" s="275"/>
      <c r="CB218" s="275"/>
      <c r="CC218" s="275"/>
      <c r="CD218" s="275"/>
      <c r="CE218" s="275"/>
      <c r="CF218" s="275"/>
      <c r="CG218" s="438"/>
      <c r="CH218" s="436"/>
      <c r="CI218" s="275"/>
      <c r="CJ218" s="275"/>
      <c r="CK218" s="275"/>
      <c r="CL218" s="275"/>
      <c r="CM218" s="275"/>
      <c r="CN218" s="275"/>
      <c r="CO218" s="442"/>
      <c r="CP218" s="443"/>
      <c r="CQ218" s="429">
        <f t="shared" si="30"/>
        <v>0</v>
      </c>
      <c r="CR218" s="430"/>
    </row>
    <row r="219" spans="1:96" ht="25.5" customHeight="1" x14ac:dyDescent="0.2">
      <c r="A219" s="410">
        <f t="shared" si="31"/>
        <v>204</v>
      </c>
      <c r="B219" s="280"/>
      <c r="C219" s="453"/>
      <c r="D219" s="411"/>
      <c r="E219" s="254"/>
      <c r="F219" s="277"/>
      <c r="G219" s="450"/>
      <c r="H219" s="451"/>
      <c r="I219" s="433" t="str">
        <f t="shared" si="25"/>
        <v/>
      </c>
      <c r="J219" s="434">
        <f t="shared" si="26"/>
        <v>0</v>
      </c>
      <c r="K219" s="452"/>
      <c r="L219" s="276"/>
      <c r="M219" s="435"/>
      <c r="N219" s="417" t="str">
        <f t="shared" si="27"/>
        <v/>
      </c>
      <c r="O219" s="418" t="str">
        <f>IF('Data Set up'!$G$40="JUNE",IF(OR($N219=7,$N219=8,$N219=9),1,IF(OR($N219=10,$N219=11,$N219=12),2,IF(OR($N219=1,$N219=2,$N219=3),3,IF(OR($N219=4,$N219=5,$N219=6),4,"")))),IF(OR($N219=9,$N219=10,$N219=11),1,IF(OR($N219=12,$N219=1,$N219=2),2,IF(OR($N219=3,$N219=4,$N219=5),3,IF(OR($N219=6,$N219=7,$N219=8),4,"")))))</f>
        <v/>
      </c>
      <c r="P219" s="445"/>
      <c r="Q219" s="291"/>
      <c r="R219" s="291"/>
      <c r="S219" s="275"/>
      <c r="T219" s="275"/>
      <c r="U219" s="275"/>
      <c r="V219" s="275"/>
      <c r="W219" s="275"/>
      <c r="X219" s="275"/>
      <c r="Y219" s="275"/>
      <c r="Z219" s="275"/>
      <c r="AA219" s="275"/>
      <c r="AB219" s="275"/>
      <c r="AC219" s="275"/>
      <c r="AD219" s="275"/>
      <c r="AE219" s="275"/>
      <c r="AF219" s="275"/>
      <c r="AG219" s="275"/>
      <c r="AH219" s="438"/>
      <c r="AI219" s="439">
        <f t="shared" si="28"/>
        <v>0</v>
      </c>
      <c r="AJ219" s="263"/>
      <c r="AK219" s="263"/>
      <c r="AL219" s="263"/>
      <c r="AM219" s="263"/>
      <c r="AN219" s="263"/>
      <c r="AO219" s="263"/>
      <c r="AP219" s="263"/>
      <c r="AQ219" s="436"/>
      <c r="AR219" s="275"/>
      <c r="AS219" s="275"/>
      <c r="AT219" s="275"/>
      <c r="AU219" s="275"/>
      <c r="AV219" s="275"/>
      <c r="AW219" s="275"/>
      <c r="AX219" s="275"/>
      <c r="AY219" s="437"/>
      <c r="AZ219" s="440">
        <f t="shared" si="29"/>
        <v>0</v>
      </c>
      <c r="BA219" s="275"/>
      <c r="BB219" s="275"/>
      <c r="BC219" s="275"/>
      <c r="BD219" s="275"/>
      <c r="BE219" s="275"/>
      <c r="BF219" s="275"/>
      <c r="BG219" s="275"/>
      <c r="BH219" s="436"/>
      <c r="BI219" s="275"/>
      <c r="BJ219" s="275"/>
      <c r="BK219" s="291"/>
      <c r="BL219" s="291"/>
      <c r="BM219" s="275"/>
      <c r="BN219" s="275"/>
      <c r="BO219" s="438"/>
      <c r="BP219" s="436"/>
      <c r="BQ219" s="275"/>
      <c r="BR219" s="275"/>
      <c r="BS219" s="275"/>
      <c r="BT219" s="275"/>
      <c r="BU219" s="275"/>
      <c r="BV219" s="275"/>
      <c r="BW219" s="275"/>
      <c r="BX219" s="438"/>
      <c r="BY219" s="436"/>
      <c r="BZ219" s="275"/>
      <c r="CA219" s="275"/>
      <c r="CB219" s="275"/>
      <c r="CC219" s="275"/>
      <c r="CD219" s="275"/>
      <c r="CE219" s="275"/>
      <c r="CF219" s="275"/>
      <c r="CG219" s="438"/>
      <c r="CH219" s="436"/>
      <c r="CI219" s="275"/>
      <c r="CJ219" s="275"/>
      <c r="CK219" s="275"/>
      <c r="CL219" s="275"/>
      <c r="CM219" s="275"/>
      <c r="CN219" s="275"/>
      <c r="CO219" s="442"/>
      <c r="CP219" s="443"/>
      <c r="CQ219" s="429">
        <f t="shared" si="30"/>
        <v>0</v>
      </c>
      <c r="CR219" s="430"/>
    </row>
    <row r="220" spans="1:96" ht="25.5" customHeight="1" x14ac:dyDescent="0.2">
      <c r="A220" s="410">
        <f t="shared" si="31"/>
        <v>205</v>
      </c>
      <c r="B220" s="280"/>
      <c r="C220" s="453"/>
      <c r="D220" s="411"/>
      <c r="E220" s="254"/>
      <c r="F220" s="277"/>
      <c r="G220" s="450"/>
      <c r="H220" s="451"/>
      <c r="I220" s="433" t="str">
        <f t="shared" si="25"/>
        <v/>
      </c>
      <c r="J220" s="434">
        <f t="shared" si="26"/>
        <v>0</v>
      </c>
      <c r="K220" s="452"/>
      <c r="L220" s="276"/>
      <c r="M220" s="435"/>
      <c r="N220" s="417" t="str">
        <f t="shared" si="27"/>
        <v/>
      </c>
      <c r="O220" s="418" t="str">
        <f>IF('Data Set up'!$G$40="JUNE",IF(OR($N220=7,$N220=8,$N220=9),1,IF(OR($N220=10,$N220=11,$N220=12),2,IF(OR($N220=1,$N220=2,$N220=3),3,IF(OR($N220=4,$N220=5,$N220=6),4,"")))),IF(OR($N220=9,$N220=10,$N220=11),1,IF(OR($N220=12,$N220=1,$N220=2),2,IF(OR($N220=3,$N220=4,$N220=5),3,IF(OR($N220=6,$N220=7,$N220=8),4,"")))))</f>
        <v/>
      </c>
      <c r="P220" s="445"/>
      <c r="Q220" s="291"/>
      <c r="R220" s="291"/>
      <c r="S220" s="275"/>
      <c r="T220" s="275"/>
      <c r="U220" s="275"/>
      <c r="V220" s="275"/>
      <c r="W220" s="275"/>
      <c r="X220" s="275"/>
      <c r="Y220" s="275"/>
      <c r="Z220" s="275"/>
      <c r="AA220" s="275"/>
      <c r="AB220" s="275"/>
      <c r="AC220" s="275"/>
      <c r="AD220" s="275"/>
      <c r="AE220" s="275"/>
      <c r="AF220" s="275"/>
      <c r="AG220" s="275"/>
      <c r="AH220" s="438"/>
      <c r="AI220" s="439">
        <f t="shared" si="28"/>
        <v>0</v>
      </c>
      <c r="AJ220" s="263"/>
      <c r="AK220" s="263"/>
      <c r="AL220" s="263"/>
      <c r="AM220" s="263"/>
      <c r="AN220" s="263"/>
      <c r="AO220" s="263"/>
      <c r="AP220" s="263"/>
      <c r="AQ220" s="436"/>
      <c r="AR220" s="275"/>
      <c r="AS220" s="275"/>
      <c r="AT220" s="275"/>
      <c r="AU220" s="275"/>
      <c r="AV220" s="275"/>
      <c r="AW220" s="275"/>
      <c r="AX220" s="275"/>
      <c r="AY220" s="437"/>
      <c r="AZ220" s="440">
        <f t="shared" si="29"/>
        <v>0</v>
      </c>
      <c r="BA220" s="275"/>
      <c r="BB220" s="275"/>
      <c r="BC220" s="275"/>
      <c r="BD220" s="275"/>
      <c r="BE220" s="275"/>
      <c r="BF220" s="275"/>
      <c r="BG220" s="275"/>
      <c r="BH220" s="436"/>
      <c r="BI220" s="275"/>
      <c r="BJ220" s="275"/>
      <c r="BK220" s="291"/>
      <c r="BL220" s="291"/>
      <c r="BM220" s="275"/>
      <c r="BN220" s="275"/>
      <c r="BO220" s="438"/>
      <c r="BP220" s="436"/>
      <c r="BQ220" s="275"/>
      <c r="BR220" s="275"/>
      <c r="BS220" s="275"/>
      <c r="BT220" s="275"/>
      <c r="BU220" s="275"/>
      <c r="BV220" s="275"/>
      <c r="BW220" s="275"/>
      <c r="BX220" s="438"/>
      <c r="BY220" s="436"/>
      <c r="BZ220" s="275"/>
      <c r="CA220" s="275"/>
      <c r="CB220" s="275"/>
      <c r="CC220" s="275"/>
      <c r="CD220" s="275"/>
      <c r="CE220" s="275"/>
      <c r="CF220" s="275"/>
      <c r="CG220" s="438"/>
      <c r="CH220" s="436"/>
      <c r="CI220" s="275"/>
      <c r="CJ220" s="275"/>
      <c r="CK220" s="275"/>
      <c r="CL220" s="275"/>
      <c r="CM220" s="275"/>
      <c r="CN220" s="275"/>
      <c r="CO220" s="442"/>
      <c r="CP220" s="443"/>
      <c r="CQ220" s="429">
        <f t="shared" si="30"/>
        <v>0</v>
      </c>
      <c r="CR220" s="430"/>
    </row>
    <row r="221" spans="1:96" ht="25.5" customHeight="1" x14ac:dyDescent="0.2">
      <c r="A221" s="410">
        <f t="shared" si="31"/>
        <v>206</v>
      </c>
      <c r="B221" s="280"/>
      <c r="C221" s="453"/>
      <c r="D221" s="411"/>
      <c r="E221" s="254"/>
      <c r="F221" s="277"/>
      <c r="G221" s="450"/>
      <c r="H221" s="451"/>
      <c r="I221" s="433" t="str">
        <f t="shared" si="25"/>
        <v/>
      </c>
      <c r="J221" s="434">
        <f t="shared" si="26"/>
        <v>0</v>
      </c>
      <c r="K221" s="452"/>
      <c r="L221" s="276"/>
      <c r="M221" s="435"/>
      <c r="N221" s="417" t="str">
        <f t="shared" si="27"/>
        <v/>
      </c>
      <c r="O221" s="418" t="str">
        <f>IF('Data Set up'!$G$40="JUNE",IF(OR($N221=7,$N221=8,$N221=9),1,IF(OR($N221=10,$N221=11,$N221=12),2,IF(OR($N221=1,$N221=2,$N221=3),3,IF(OR($N221=4,$N221=5,$N221=6),4,"")))),IF(OR($N221=9,$N221=10,$N221=11),1,IF(OR($N221=12,$N221=1,$N221=2),2,IF(OR($N221=3,$N221=4,$N221=5),3,IF(OR($N221=6,$N221=7,$N221=8),4,"")))))</f>
        <v/>
      </c>
      <c r="P221" s="445"/>
      <c r="Q221" s="291"/>
      <c r="R221" s="291"/>
      <c r="S221" s="275"/>
      <c r="T221" s="275"/>
      <c r="U221" s="275"/>
      <c r="V221" s="275"/>
      <c r="W221" s="275"/>
      <c r="X221" s="275"/>
      <c r="Y221" s="275"/>
      <c r="Z221" s="275"/>
      <c r="AA221" s="275"/>
      <c r="AB221" s="275"/>
      <c r="AC221" s="275"/>
      <c r="AD221" s="275"/>
      <c r="AE221" s="275"/>
      <c r="AF221" s="275"/>
      <c r="AG221" s="275"/>
      <c r="AH221" s="438"/>
      <c r="AI221" s="439">
        <f t="shared" si="28"/>
        <v>0</v>
      </c>
      <c r="AJ221" s="263"/>
      <c r="AK221" s="263"/>
      <c r="AL221" s="263"/>
      <c r="AM221" s="263"/>
      <c r="AN221" s="263"/>
      <c r="AO221" s="263"/>
      <c r="AP221" s="263"/>
      <c r="AQ221" s="436"/>
      <c r="AR221" s="275"/>
      <c r="AS221" s="275"/>
      <c r="AT221" s="275"/>
      <c r="AU221" s="275"/>
      <c r="AV221" s="275"/>
      <c r="AW221" s="275"/>
      <c r="AX221" s="275"/>
      <c r="AY221" s="437"/>
      <c r="AZ221" s="440">
        <f t="shared" si="29"/>
        <v>0</v>
      </c>
      <c r="BA221" s="275"/>
      <c r="BB221" s="275"/>
      <c r="BC221" s="275"/>
      <c r="BD221" s="275"/>
      <c r="BE221" s="275"/>
      <c r="BF221" s="275"/>
      <c r="BG221" s="275"/>
      <c r="BH221" s="436"/>
      <c r="BI221" s="275"/>
      <c r="BJ221" s="275"/>
      <c r="BK221" s="291"/>
      <c r="BL221" s="291"/>
      <c r="BM221" s="275"/>
      <c r="BN221" s="275"/>
      <c r="BO221" s="438"/>
      <c r="BP221" s="436"/>
      <c r="BQ221" s="275"/>
      <c r="BR221" s="275"/>
      <c r="BS221" s="275"/>
      <c r="BT221" s="275"/>
      <c r="BU221" s="275"/>
      <c r="BV221" s="275"/>
      <c r="BW221" s="275"/>
      <c r="BX221" s="438"/>
      <c r="BY221" s="436"/>
      <c r="BZ221" s="275"/>
      <c r="CA221" s="275"/>
      <c r="CB221" s="275"/>
      <c r="CC221" s="275"/>
      <c r="CD221" s="275"/>
      <c r="CE221" s="275"/>
      <c r="CF221" s="275"/>
      <c r="CG221" s="438"/>
      <c r="CH221" s="436"/>
      <c r="CI221" s="275"/>
      <c r="CJ221" s="275"/>
      <c r="CK221" s="275"/>
      <c r="CL221" s="275"/>
      <c r="CM221" s="275"/>
      <c r="CN221" s="275"/>
      <c r="CO221" s="442"/>
      <c r="CP221" s="443"/>
      <c r="CQ221" s="429">
        <f t="shared" si="30"/>
        <v>0</v>
      </c>
      <c r="CR221" s="430"/>
    </row>
    <row r="222" spans="1:96" ht="25.5" customHeight="1" x14ac:dyDescent="0.2">
      <c r="A222" s="410">
        <f t="shared" si="31"/>
        <v>207</v>
      </c>
      <c r="B222" s="280"/>
      <c r="C222" s="453"/>
      <c r="D222" s="411"/>
      <c r="E222" s="254"/>
      <c r="F222" s="277"/>
      <c r="G222" s="450"/>
      <c r="H222" s="451"/>
      <c r="I222" s="433" t="str">
        <f t="shared" si="25"/>
        <v/>
      </c>
      <c r="J222" s="434">
        <f t="shared" si="26"/>
        <v>0</v>
      </c>
      <c r="K222" s="452"/>
      <c r="L222" s="276"/>
      <c r="M222" s="435"/>
      <c r="N222" s="417" t="str">
        <f t="shared" si="27"/>
        <v/>
      </c>
      <c r="O222" s="418" t="str">
        <f>IF('Data Set up'!$G$40="JUNE",IF(OR($N222=7,$N222=8,$N222=9),1,IF(OR($N222=10,$N222=11,$N222=12),2,IF(OR($N222=1,$N222=2,$N222=3),3,IF(OR($N222=4,$N222=5,$N222=6),4,"")))),IF(OR($N222=9,$N222=10,$N222=11),1,IF(OR($N222=12,$N222=1,$N222=2),2,IF(OR($N222=3,$N222=4,$N222=5),3,IF(OR($N222=6,$N222=7,$N222=8),4,"")))))</f>
        <v/>
      </c>
      <c r="P222" s="445"/>
      <c r="Q222" s="291"/>
      <c r="R222" s="291"/>
      <c r="S222" s="275"/>
      <c r="T222" s="275"/>
      <c r="U222" s="275"/>
      <c r="V222" s="275"/>
      <c r="W222" s="275"/>
      <c r="X222" s="275"/>
      <c r="Y222" s="275"/>
      <c r="Z222" s="275"/>
      <c r="AA222" s="275"/>
      <c r="AB222" s="275"/>
      <c r="AC222" s="275"/>
      <c r="AD222" s="275"/>
      <c r="AE222" s="275"/>
      <c r="AF222" s="275"/>
      <c r="AG222" s="275"/>
      <c r="AH222" s="438"/>
      <c r="AI222" s="439">
        <f t="shared" si="28"/>
        <v>0</v>
      </c>
      <c r="AJ222" s="263"/>
      <c r="AK222" s="263"/>
      <c r="AL222" s="263"/>
      <c r="AM222" s="263"/>
      <c r="AN222" s="263"/>
      <c r="AO222" s="263"/>
      <c r="AP222" s="263"/>
      <c r="AQ222" s="436"/>
      <c r="AR222" s="275"/>
      <c r="AS222" s="275"/>
      <c r="AT222" s="275"/>
      <c r="AU222" s="275"/>
      <c r="AV222" s="275"/>
      <c r="AW222" s="275"/>
      <c r="AX222" s="275"/>
      <c r="AY222" s="437"/>
      <c r="AZ222" s="440">
        <f t="shared" si="29"/>
        <v>0</v>
      </c>
      <c r="BA222" s="275"/>
      <c r="BB222" s="275"/>
      <c r="BC222" s="275"/>
      <c r="BD222" s="275"/>
      <c r="BE222" s="275"/>
      <c r="BF222" s="275"/>
      <c r="BG222" s="275"/>
      <c r="BH222" s="436"/>
      <c r="BI222" s="275"/>
      <c r="BJ222" s="275"/>
      <c r="BK222" s="291"/>
      <c r="BL222" s="291"/>
      <c r="BM222" s="275"/>
      <c r="BN222" s="275"/>
      <c r="BO222" s="438"/>
      <c r="BP222" s="436"/>
      <c r="BQ222" s="275"/>
      <c r="BR222" s="275"/>
      <c r="BS222" s="275"/>
      <c r="BT222" s="275"/>
      <c r="BU222" s="275"/>
      <c r="BV222" s="275"/>
      <c r="BW222" s="275"/>
      <c r="BX222" s="438"/>
      <c r="BY222" s="436"/>
      <c r="BZ222" s="275"/>
      <c r="CA222" s="275"/>
      <c r="CB222" s="275"/>
      <c r="CC222" s="275"/>
      <c r="CD222" s="275"/>
      <c r="CE222" s="275"/>
      <c r="CF222" s="275"/>
      <c r="CG222" s="438"/>
      <c r="CH222" s="436"/>
      <c r="CI222" s="275"/>
      <c r="CJ222" s="275"/>
      <c r="CK222" s="275"/>
      <c r="CL222" s="275"/>
      <c r="CM222" s="275"/>
      <c r="CN222" s="275"/>
      <c r="CO222" s="442"/>
      <c r="CP222" s="443"/>
      <c r="CQ222" s="429">
        <f t="shared" si="30"/>
        <v>0</v>
      </c>
      <c r="CR222" s="430"/>
    </row>
    <row r="223" spans="1:96" ht="25.5" customHeight="1" x14ac:dyDescent="0.2">
      <c r="A223" s="410">
        <f t="shared" si="31"/>
        <v>208</v>
      </c>
      <c r="B223" s="280"/>
      <c r="C223" s="453"/>
      <c r="D223" s="411"/>
      <c r="E223" s="254"/>
      <c r="F223" s="277"/>
      <c r="G223" s="450"/>
      <c r="H223" s="451"/>
      <c r="I223" s="433" t="str">
        <f t="shared" si="25"/>
        <v/>
      </c>
      <c r="J223" s="434">
        <f t="shared" si="26"/>
        <v>0</v>
      </c>
      <c r="K223" s="452"/>
      <c r="L223" s="276"/>
      <c r="M223" s="435"/>
      <c r="N223" s="417" t="str">
        <f t="shared" si="27"/>
        <v/>
      </c>
      <c r="O223" s="418" t="str">
        <f>IF('Data Set up'!$G$40="JUNE",IF(OR($N223=7,$N223=8,$N223=9),1,IF(OR($N223=10,$N223=11,$N223=12),2,IF(OR($N223=1,$N223=2,$N223=3),3,IF(OR($N223=4,$N223=5,$N223=6),4,"")))),IF(OR($N223=9,$N223=10,$N223=11),1,IF(OR($N223=12,$N223=1,$N223=2),2,IF(OR($N223=3,$N223=4,$N223=5),3,IF(OR($N223=6,$N223=7,$N223=8),4,"")))))</f>
        <v/>
      </c>
      <c r="P223" s="445"/>
      <c r="Q223" s="291"/>
      <c r="R223" s="291"/>
      <c r="S223" s="275"/>
      <c r="T223" s="275"/>
      <c r="U223" s="275"/>
      <c r="V223" s="275"/>
      <c r="W223" s="275"/>
      <c r="X223" s="275"/>
      <c r="Y223" s="275"/>
      <c r="Z223" s="275"/>
      <c r="AA223" s="275"/>
      <c r="AB223" s="275"/>
      <c r="AC223" s="275"/>
      <c r="AD223" s="275"/>
      <c r="AE223" s="275"/>
      <c r="AF223" s="275"/>
      <c r="AG223" s="275"/>
      <c r="AH223" s="438"/>
      <c r="AI223" s="439">
        <f t="shared" si="28"/>
        <v>0</v>
      </c>
      <c r="AJ223" s="263"/>
      <c r="AK223" s="263"/>
      <c r="AL223" s="263"/>
      <c r="AM223" s="263"/>
      <c r="AN223" s="263"/>
      <c r="AO223" s="263"/>
      <c r="AP223" s="263"/>
      <c r="AQ223" s="436"/>
      <c r="AR223" s="275"/>
      <c r="AS223" s="275"/>
      <c r="AT223" s="275"/>
      <c r="AU223" s="275"/>
      <c r="AV223" s="275"/>
      <c r="AW223" s="275"/>
      <c r="AX223" s="275"/>
      <c r="AY223" s="437"/>
      <c r="AZ223" s="440">
        <f t="shared" si="29"/>
        <v>0</v>
      </c>
      <c r="BA223" s="275"/>
      <c r="BB223" s="275"/>
      <c r="BC223" s="275"/>
      <c r="BD223" s="275"/>
      <c r="BE223" s="275"/>
      <c r="BF223" s="275"/>
      <c r="BG223" s="275"/>
      <c r="BH223" s="436"/>
      <c r="BI223" s="275"/>
      <c r="BJ223" s="275"/>
      <c r="BK223" s="291"/>
      <c r="BL223" s="291"/>
      <c r="BM223" s="275"/>
      <c r="BN223" s="275"/>
      <c r="BO223" s="438"/>
      <c r="BP223" s="436"/>
      <c r="BQ223" s="275"/>
      <c r="BR223" s="275"/>
      <c r="BS223" s="275"/>
      <c r="BT223" s="275"/>
      <c r="BU223" s="275"/>
      <c r="BV223" s="275"/>
      <c r="BW223" s="275"/>
      <c r="BX223" s="438"/>
      <c r="BY223" s="436"/>
      <c r="BZ223" s="275"/>
      <c r="CA223" s="275"/>
      <c r="CB223" s="275"/>
      <c r="CC223" s="275"/>
      <c r="CD223" s="275"/>
      <c r="CE223" s="275"/>
      <c r="CF223" s="275"/>
      <c r="CG223" s="438"/>
      <c r="CH223" s="436"/>
      <c r="CI223" s="275"/>
      <c r="CJ223" s="275"/>
      <c r="CK223" s="275"/>
      <c r="CL223" s="275"/>
      <c r="CM223" s="275"/>
      <c r="CN223" s="275"/>
      <c r="CO223" s="442"/>
      <c r="CP223" s="443"/>
      <c r="CQ223" s="429">
        <f t="shared" si="30"/>
        <v>0</v>
      </c>
      <c r="CR223" s="430"/>
    </row>
    <row r="224" spans="1:96" ht="25.5" customHeight="1" x14ac:dyDescent="0.2">
      <c r="A224" s="410">
        <f t="shared" si="31"/>
        <v>209</v>
      </c>
      <c r="B224" s="280"/>
      <c r="C224" s="453"/>
      <c r="D224" s="411"/>
      <c r="E224" s="254"/>
      <c r="F224" s="277"/>
      <c r="G224" s="450"/>
      <c r="H224" s="451"/>
      <c r="I224" s="433" t="str">
        <f t="shared" si="25"/>
        <v/>
      </c>
      <c r="J224" s="434">
        <f t="shared" si="26"/>
        <v>0</v>
      </c>
      <c r="K224" s="452"/>
      <c r="L224" s="276"/>
      <c r="M224" s="435"/>
      <c r="N224" s="417" t="str">
        <f t="shared" si="27"/>
        <v/>
      </c>
      <c r="O224" s="418" t="str">
        <f>IF('Data Set up'!$G$40="JUNE",IF(OR($N224=7,$N224=8,$N224=9),1,IF(OR($N224=10,$N224=11,$N224=12),2,IF(OR($N224=1,$N224=2,$N224=3),3,IF(OR($N224=4,$N224=5,$N224=6),4,"")))),IF(OR($N224=9,$N224=10,$N224=11),1,IF(OR($N224=12,$N224=1,$N224=2),2,IF(OR($N224=3,$N224=4,$N224=5),3,IF(OR($N224=6,$N224=7,$N224=8),4,"")))))</f>
        <v/>
      </c>
      <c r="P224" s="445"/>
      <c r="Q224" s="291"/>
      <c r="R224" s="291"/>
      <c r="S224" s="275"/>
      <c r="T224" s="275"/>
      <c r="U224" s="275"/>
      <c r="V224" s="275"/>
      <c r="W224" s="275"/>
      <c r="X224" s="275"/>
      <c r="Y224" s="275"/>
      <c r="Z224" s="275"/>
      <c r="AA224" s="275"/>
      <c r="AB224" s="275"/>
      <c r="AC224" s="275"/>
      <c r="AD224" s="275"/>
      <c r="AE224" s="275"/>
      <c r="AF224" s="275"/>
      <c r="AG224" s="275"/>
      <c r="AH224" s="438"/>
      <c r="AI224" s="439">
        <f t="shared" si="28"/>
        <v>0</v>
      </c>
      <c r="AJ224" s="263"/>
      <c r="AK224" s="263"/>
      <c r="AL224" s="263"/>
      <c r="AM224" s="263"/>
      <c r="AN224" s="263"/>
      <c r="AO224" s="263"/>
      <c r="AP224" s="263"/>
      <c r="AQ224" s="436"/>
      <c r="AR224" s="275"/>
      <c r="AS224" s="275"/>
      <c r="AT224" s="275"/>
      <c r="AU224" s="275"/>
      <c r="AV224" s="275"/>
      <c r="AW224" s="275"/>
      <c r="AX224" s="275"/>
      <c r="AY224" s="437"/>
      <c r="AZ224" s="440">
        <f t="shared" si="29"/>
        <v>0</v>
      </c>
      <c r="BA224" s="275"/>
      <c r="BB224" s="275"/>
      <c r="BC224" s="275"/>
      <c r="BD224" s="275"/>
      <c r="BE224" s="275"/>
      <c r="BF224" s="275"/>
      <c r="BG224" s="275"/>
      <c r="BH224" s="436"/>
      <c r="BI224" s="275"/>
      <c r="BJ224" s="275"/>
      <c r="BK224" s="291"/>
      <c r="BL224" s="291"/>
      <c r="BM224" s="275"/>
      <c r="BN224" s="275"/>
      <c r="BO224" s="438"/>
      <c r="BP224" s="436"/>
      <c r="BQ224" s="275"/>
      <c r="BR224" s="275"/>
      <c r="BS224" s="275"/>
      <c r="BT224" s="275"/>
      <c r="BU224" s="275"/>
      <c r="BV224" s="275"/>
      <c r="BW224" s="275"/>
      <c r="BX224" s="438"/>
      <c r="BY224" s="436"/>
      <c r="BZ224" s="275"/>
      <c r="CA224" s="275"/>
      <c r="CB224" s="275"/>
      <c r="CC224" s="275"/>
      <c r="CD224" s="275"/>
      <c r="CE224" s="275"/>
      <c r="CF224" s="275"/>
      <c r="CG224" s="438"/>
      <c r="CH224" s="436"/>
      <c r="CI224" s="275"/>
      <c r="CJ224" s="275"/>
      <c r="CK224" s="275"/>
      <c r="CL224" s="275"/>
      <c r="CM224" s="275"/>
      <c r="CN224" s="275"/>
      <c r="CO224" s="442"/>
      <c r="CP224" s="443"/>
      <c r="CQ224" s="429">
        <f t="shared" si="30"/>
        <v>0</v>
      </c>
      <c r="CR224" s="430"/>
    </row>
    <row r="225" spans="1:96" ht="25.5" customHeight="1" x14ac:dyDescent="0.2">
      <c r="A225" s="410">
        <f t="shared" si="31"/>
        <v>210</v>
      </c>
      <c r="B225" s="280"/>
      <c r="C225" s="453"/>
      <c r="D225" s="411"/>
      <c r="E225" s="254"/>
      <c r="F225" s="277"/>
      <c r="G225" s="450"/>
      <c r="H225" s="451"/>
      <c r="I225" s="433" t="str">
        <f t="shared" si="25"/>
        <v/>
      </c>
      <c r="J225" s="434">
        <f t="shared" si="26"/>
        <v>0</v>
      </c>
      <c r="K225" s="452"/>
      <c r="L225" s="276"/>
      <c r="M225" s="435"/>
      <c r="N225" s="417" t="str">
        <f t="shared" si="27"/>
        <v/>
      </c>
      <c r="O225" s="418" t="str">
        <f>IF('Data Set up'!$G$40="JUNE",IF(OR($N225=7,$N225=8,$N225=9),1,IF(OR($N225=10,$N225=11,$N225=12),2,IF(OR($N225=1,$N225=2,$N225=3),3,IF(OR($N225=4,$N225=5,$N225=6),4,"")))),IF(OR($N225=9,$N225=10,$N225=11),1,IF(OR($N225=12,$N225=1,$N225=2),2,IF(OR($N225=3,$N225=4,$N225=5),3,IF(OR($N225=6,$N225=7,$N225=8),4,"")))))</f>
        <v/>
      </c>
      <c r="P225" s="445"/>
      <c r="Q225" s="291"/>
      <c r="R225" s="291"/>
      <c r="S225" s="275"/>
      <c r="T225" s="275"/>
      <c r="U225" s="275"/>
      <c r="V225" s="275"/>
      <c r="W225" s="275"/>
      <c r="X225" s="275"/>
      <c r="Y225" s="275"/>
      <c r="Z225" s="275"/>
      <c r="AA225" s="275"/>
      <c r="AB225" s="275"/>
      <c r="AC225" s="275"/>
      <c r="AD225" s="275"/>
      <c r="AE225" s="275"/>
      <c r="AF225" s="275"/>
      <c r="AG225" s="275"/>
      <c r="AH225" s="438"/>
      <c r="AI225" s="439">
        <f t="shared" si="28"/>
        <v>0</v>
      </c>
      <c r="AJ225" s="263"/>
      <c r="AK225" s="263"/>
      <c r="AL225" s="263"/>
      <c r="AM225" s="263"/>
      <c r="AN225" s="263"/>
      <c r="AO225" s="263"/>
      <c r="AP225" s="263"/>
      <c r="AQ225" s="436"/>
      <c r="AR225" s="275"/>
      <c r="AS225" s="275"/>
      <c r="AT225" s="275"/>
      <c r="AU225" s="275"/>
      <c r="AV225" s="275"/>
      <c r="AW225" s="275"/>
      <c r="AX225" s="275"/>
      <c r="AY225" s="437"/>
      <c r="AZ225" s="440">
        <f t="shared" si="29"/>
        <v>0</v>
      </c>
      <c r="BA225" s="275"/>
      <c r="BB225" s="275"/>
      <c r="BC225" s="275"/>
      <c r="BD225" s="275"/>
      <c r="BE225" s="275"/>
      <c r="BF225" s="275"/>
      <c r="BG225" s="275"/>
      <c r="BH225" s="436"/>
      <c r="BI225" s="275"/>
      <c r="BJ225" s="275"/>
      <c r="BK225" s="291"/>
      <c r="BL225" s="291"/>
      <c r="BM225" s="275"/>
      <c r="BN225" s="275"/>
      <c r="BO225" s="438"/>
      <c r="BP225" s="436"/>
      <c r="BQ225" s="275"/>
      <c r="BR225" s="275"/>
      <c r="BS225" s="275"/>
      <c r="BT225" s="275"/>
      <c r="BU225" s="275"/>
      <c r="BV225" s="275"/>
      <c r="BW225" s="275"/>
      <c r="BX225" s="438"/>
      <c r="BY225" s="436"/>
      <c r="BZ225" s="275"/>
      <c r="CA225" s="275"/>
      <c r="CB225" s="275"/>
      <c r="CC225" s="275"/>
      <c r="CD225" s="275"/>
      <c r="CE225" s="275"/>
      <c r="CF225" s="275"/>
      <c r="CG225" s="438"/>
      <c r="CH225" s="436"/>
      <c r="CI225" s="275"/>
      <c r="CJ225" s="275"/>
      <c r="CK225" s="275"/>
      <c r="CL225" s="275"/>
      <c r="CM225" s="275"/>
      <c r="CN225" s="275"/>
      <c r="CO225" s="442"/>
      <c r="CP225" s="443"/>
      <c r="CQ225" s="429">
        <f t="shared" si="30"/>
        <v>0</v>
      </c>
      <c r="CR225" s="430"/>
    </row>
    <row r="226" spans="1:96" ht="25.5" customHeight="1" x14ac:dyDescent="0.2">
      <c r="A226" s="410">
        <f t="shared" si="31"/>
        <v>211</v>
      </c>
      <c r="B226" s="280"/>
      <c r="C226" s="453"/>
      <c r="D226" s="411"/>
      <c r="E226" s="254"/>
      <c r="F226" s="277"/>
      <c r="G226" s="450"/>
      <c r="H226" s="451"/>
      <c r="I226" s="433" t="str">
        <f t="shared" si="25"/>
        <v/>
      </c>
      <c r="J226" s="434">
        <f t="shared" si="26"/>
        <v>0</v>
      </c>
      <c r="K226" s="452"/>
      <c r="L226" s="276"/>
      <c r="M226" s="435"/>
      <c r="N226" s="417" t="str">
        <f t="shared" si="27"/>
        <v/>
      </c>
      <c r="O226" s="418" t="str">
        <f>IF('Data Set up'!$G$40="JUNE",IF(OR($N226=7,$N226=8,$N226=9),1,IF(OR($N226=10,$N226=11,$N226=12),2,IF(OR($N226=1,$N226=2,$N226=3),3,IF(OR($N226=4,$N226=5,$N226=6),4,"")))),IF(OR($N226=9,$N226=10,$N226=11),1,IF(OR($N226=12,$N226=1,$N226=2),2,IF(OR($N226=3,$N226=4,$N226=5),3,IF(OR($N226=6,$N226=7,$N226=8),4,"")))))</f>
        <v/>
      </c>
      <c r="P226" s="445"/>
      <c r="Q226" s="291"/>
      <c r="R226" s="291"/>
      <c r="S226" s="275"/>
      <c r="T226" s="275"/>
      <c r="U226" s="275"/>
      <c r="V226" s="275"/>
      <c r="W226" s="275"/>
      <c r="X226" s="275"/>
      <c r="Y226" s="275"/>
      <c r="Z226" s="275"/>
      <c r="AA226" s="275"/>
      <c r="AB226" s="275"/>
      <c r="AC226" s="275"/>
      <c r="AD226" s="275"/>
      <c r="AE226" s="275"/>
      <c r="AF226" s="275"/>
      <c r="AG226" s="275"/>
      <c r="AH226" s="438"/>
      <c r="AI226" s="439">
        <f t="shared" si="28"/>
        <v>0</v>
      </c>
      <c r="AJ226" s="263"/>
      <c r="AK226" s="263"/>
      <c r="AL226" s="263"/>
      <c r="AM226" s="263"/>
      <c r="AN226" s="263"/>
      <c r="AO226" s="263"/>
      <c r="AP226" s="263"/>
      <c r="AQ226" s="436"/>
      <c r="AR226" s="275"/>
      <c r="AS226" s="275"/>
      <c r="AT226" s="275"/>
      <c r="AU226" s="275"/>
      <c r="AV226" s="275"/>
      <c r="AW226" s="275"/>
      <c r="AX226" s="275"/>
      <c r="AY226" s="437"/>
      <c r="AZ226" s="440">
        <f t="shared" si="29"/>
        <v>0</v>
      </c>
      <c r="BA226" s="275"/>
      <c r="BB226" s="275"/>
      <c r="BC226" s="275"/>
      <c r="BD226" s="275"/>
      <c r="BE226" s="275"/>
      <c r="BF226" s="275"/>
      <c r="BG226" s="275"/>
      <c r="BH226" s="436"/>
      <c r="BI226" s="275"/>
      <c r="BJ226" s="275"/>
      <c r="BK226" s="291"/>
      <c r="BL226" s="291"/>
      <c r="BM226" s="275"/>
      <c r="BN226" s="275"/>
      <c r="BO226" s="438"/>
      <c r="BP226" s="436"/>
      <c r="BQ226" s="275"/>
      <c r="BR226" s="275"/>
      <c r="BS226" s="275"/>
      <c r="BT226" s="275"/>
      <c r="BU226" s="275"/>
      <c r="BV226" s="275"/>
      <c r="BW226" s="275"/>
      <c r="BX226" s="438"/>
      <c r="BY226" s="436"/>
      <c r="BZ226" s="275"/>
      <c r="CA226" s="275"/>
      <c r="CB226" s="275"/>
      <c r="CC226" s="275"/>
      <c r="CD226" s="275"/>
      <c r="CE226" s="275"/>
      <c r="CF226" s="275"/>
      <c r="CG226" s="438"/>
      <c r="CH226" s="436"/>
      <c r="CI226" s="275"/>
      <c r="CJ226" s="275"/>
      <c r="CK226" s="275"/>
      <c r="CL226" s="275"/>
      <c r="CM226" s="275"/>
      <c r="CN226" s="275"/>
      <c r="CO226" s="442"/>
      <c r="CP226" s="443"/>
      <c r="CQ226" s="429">
        <f t="shared" si="30"/>
        <v>0</v>
      </c>
      <c r="CR226" s="430"/>
    </row>
    <row r="227" spans="1:96" ht="25.5" customHeight="1" x14ac:dyDescent="0.2">
      <c r="A227" s="410">
        <f t="shared" si="31"/>
        <v>212</v>
      </c>
      <c r="B227" s="280"/>
      <c r="C227" s="453"/>
      <c r="D227" s="411"/>
      <c r="E227" s="254"/>
      <c r="F227" s="277"/>
      <c r="G227" s="450"/>
      <c r="H227" s="451"/>
      <c r="I227" s="433" t="str">
        <f t="shared" si="25"/>
        <v/>
      </c>
      <c r="J227" s="434">
        <f t="shared" si="26"/>
        <v>0</v>
      </c>
      <c r="K227" s="452"/>
      <c r="L227" s="276"/>
      <c r="M227" s="435"/>
      <c r="N227" s="417" t="str">
        <f t="shared" si="27"/>
        <v/>
      </c>
      <c r="O227" s="418" t="str">
        <f>IF('Data Set up'!$G$40="JUNE",IF(OR($N227=7,$N227=8,$N227=9),1,IF(OR($N227=10,$N227=11,$N227=12),2,IF(OR($N227=1,$N227=2,$N227=3),3,IF(OR($N227=4,$N227=5,$N227=6),4,"")))),IF(OR($N227=9,$N227=10,$N227=11),1,IF(OR($N227=12,$N227=1,$N227=2),2,IF(OR($N227=3,$N227=4,$N227=5),3,IF(OR($N227=6,$N227=7,$N227=8),4,"")))))</f>
        <v/>
      </c>
      <c r="P227" s="445"/>
      <c r="Q227" s="291"/>
      <c r="R227" s="291"/>
      <c r="S227" s="275"/>
      <c r="T227" s="275"/>
      <c r="U227" s="275"/>
      <c r="V227" s="275"/>
      <c r="W227" s="275"/>
      <c r="X227" s="275"/>
      <c r="Y227" s="275"/>
      <c r="Z227" s="275"/>
      <c r="AA227" s="275"/>
      <c r="AB227" s="275"/>
      <c r="AC227" s="275"/>
      <c r="AD227" s="275"/>
      <c r="AE227" s="275"/>
      <c r="AF227" s="275"/>
      <c r="AG227" s="275"/>
      <c r="AH227" s="438"/>
      <c r="AI227" s="439">
        <f t="shared" si="28"/>
        <v>0</v>
      </c>
      <c r="AJ227" s="263"/>
      <c r="AK227" s="263"/>
      <c r="AL227" s="263"/>
      <c r="AM227" s="263"/>
      <c r="AN227" s="263"/>
      <c r="AO227" s="263"/>
      <c r="AP227" s="263"/>
      <c r="AQ227" s="436"/>
      <c r="AR227" s="275"/>
      <c r="AS227" s="275"/>
      <c r="AT227" s="275"/>
      <c r="AU227" s="275"/>
      <c r="AV227" s="275"/>
      <c r="AW227" s="275"/>
      <c r="AX227" s="275"/>
      <c r="AY227" s="437"/>
      <c r="AZ227" s="440">
        <f t="shared" si="29"/>
        <v>0</v>
      </c>
      <c r="BA227" s="275"/>
      <c r="BB227" s="275"/>
      <c r="BC227" s="275"/>
      <c r="BD227" s="275"/>
      <c r="BE227" s="275"/>
      <c r="BF227" s="275"/>
      <c r="BG227" s="275"/>
      <c r="BH227" s="436"/>
      <c r="BI227" s="275"/>
      <c r="BJ227" s="275"/>
      <c r="BK227" s="291"/>
      <c r="BL227" s="291"/>
      <c r="BM227" s="275"/>
      <c r="BN227" s="275"/>
      <c r="BO227" s="438"/>
      <c r="BP227" s="436"/>
      <c r="BQ227" s="275"/>
      <c r="BR227" s="275"/>
      <c r="BS227" s="275"/>
      <c r="BT227" s="275"/>
      <c r="BU227" s="275"/>
      <c r="BV227" s="275"/>
      <c r="BW227" s="275"/>
      <c r="BX227" s="438"/>
      <c r="BY227" s="436"/>
      <c r="BZ227" s="275"/>
      <c r="CA227" s="275"/>
      <c r="CB227" s="275"/>
      <c r="CC227" s="275"/>
      <c r="CD227" s="275"/>
      <c r="CE227" s="275"/>
      <c r="CF227" s="275"/>
      <c r="CG227" s="438"/>
      <c r="CH227" s="436"/>
      <c r="CI227" s="275"/>
      <c r="CJ227" s="275"/>
      <c r="CK227" s="275"/>
      <c r="CL227" s="275"/>
      <c r="CM227" s="275"/>
      <c r="CN227" s="275"/>
      <c r="CO227" s="442"/>
      <c r="CP227" s="443"/>
      <c r="CQ227" s="429">
        <f t="shared" si="30"/>
        <v>0</v>
      </c>
      <c r="CR227" s="430"/>
    </row>
    <row r="228" spans="1:96" ht="25.5" customHeight="1" x14ac:dyDescent="0.2">
      <c r="A228" s="410">
        <f t="shared" si="31"/>
        <v>213</v>
      </c>
      <c r="B228" s="280"/>
      <c r="C228" s="453"/>
      <c r="D228" s="411"/>
      <c r="E228" s="254"/>
      <c r="F228" s="277"/>
      <c r="G228" s="450"/>
      <c r="H228" s="451"/>
      <c r="I228" s="433" t="str">
        <f t="shared" si="25"/>
        <v/>
      </c>
      <c r="J228" s="434">
        <f t="shared" si="26"/>
        <v>0</v>
      </c>
      <c r="K228" s="452"/>
      <c r="L228" s="276"/>
      <c r="M228" s="435"/>
      <c r="N228" s="417" t="str">
        <f t="shared" si="27"/>
        <v/>
      </c>
      <c r="O228" s="418" t="str">
        <f>IF('Data Set up'!$G$40="JUNE",IF(OR($N228=7,$N228=8,$N228=9),1,IF(OR($N228=10,$N228=11,$N228=12),2,IF(OR($N228=1,$N228=2,$N228=3),3,IF(OR($N228=4,$N228=5,$N228=6),4,"")))),IF(OR($N228=9,$N228=10,$N228=11),1,IF(OR($N228=12,$N228=1,$N228=2),2,IF(OR($N228=3,$N228=4,$N228=5),3,IF(OR($N228=6,$N228=7,$N228=8),4,"")))))</f>
        <v/>
      </c>
      <c r="P228" s="445"/>
      <c r="Q228" s="291"/>
      <c r="R228" s="291"/>
      <c r="S228" s="275"/>
      <c r="T228" s="275"/>
      <c r="U228" s="275"/>
      <c r="V228" s="275"/>
      <c r="W228" s="275"/>
      <c r="X228" s="275"/>
      <c r="Y228" s="275"/>
      <c r="Z228" s="275"/>
      <c r="AA228" s="275"/>
      <c r="AB228" s="275"/>
      <c r="AC228" s="275"/>
      <c r="AD228" s="275"/>
      <c r="AE228" s="275"/>
      <c r="AF228" s="275"/>
      <c r="AG228" s="275"/>
      <c r="AH228" s="438"/>
      <c r="AI228" s="439">
        <f t="shared" si="28"/>
        <v>0</v>
      </c>
      <c r="AJ228" s="263"/>
      <c r="AK228" s="263"/>
      <c r="AL228" s="263"/>
      <c r="AM228" s="263"/>
      <c r="AN228" s="263"/>
      <c r="AO228" s="263"/>
      <c r="AP228" s="263"/>
      <c r="AQ228" s="436"/>
      <c r="AR228" s="275"/>
      <c r="AS228" s="275"/>
      <c r="AT228" s="275"/>
      <c r="AU228" s="275"/>
      <c r="AV228" s="275"/>
      <c r="AW228" s="275"/>
      <c r="AX228" s="275"/>
      <c r="AY228" s="437"/>
      <c r="AZ228" s="440">
        <f t="shared" si="29"/>
        <v>0</v>
      </c>
      <c r="BA228" s="275"/>
      <c r="BB228" s="275"/>
      <c r="BC228" s="275"/>
      <c r="BD228" s="275"/>
      <c r="BE228" s="275"/>
      <c r="BF228" s="275"/>
      <c r="BG228" s="275"/>
      <c r="BH228" s="436"/>
      <c r="BI228" s="275"/>
      <c r="BJ228" s="275"/>
      <c r="BK228" s="291"/>
      <c r="BL228" s="291"/>
      <c r="BM228" s="275"/>
      <c r="BN228" s="275"/>
      <c r="BO228" s="438"/>
      <c r="BP228" s="436"/>
      <c r="BQ228" s="275"/>
      <c r="BR228" s="275"/>
      <c r="BS228" s="275"/>
      <c r="BT228" s="275"/>
      <c r="BU228" s="275"/>
      <c r="BV228" s="275"/>
      <c r="BW228" s="275"/>
      <c r="BX228" s="438"/>
      <c r="BY228" s="436"/>
      <c r="BZ228" s="275"/>
      <c r="CA228" s="275"/>
      <c r="CB228" s="275"/>
      <c r="CC228" s="275"/>
      <c r="CD228" s="275"/>
      <c r="CE228" s="275"/>
      <c r="CF228" s="275"/>
      <c r="CG228" s="438"/>
      <c r="CH228" s="436"/>
      <c r="CI228" s="275"/>
      <c r="CJ228" s="275"/>
      <c r="CK228" s="275"/>
      <c r="CL228" s="275"/>
      <c r="CM228" s="275"/>
      <c r="CN228" s="275"/>
      <c r="CO228" s="442"/>
      <c r="CP228" s="443"/>
      <c r="CQ228" s="429">
        <f t="shared" si="30"/>
        <v>0</v>
      </c>
      <c r="CR228" s="430"/>
    </row>
    <row r="229" spans="1:96" ht="25.5" customHeight="1" x14ac:dyDescent="0.2">
      <c r="A229" s="410">
        <f t="shared" si="31"/>
        <v>214</v>
      </c>
      <c r="B229" s="280"/>
      <c r="C229" s="453"/>
      <c r="D229" s="411"/>
      <c r="E229" s="254"/>
      <c r="F229" s="277"/>
      <c r="G229" s="450"/>
      <c r="H229" s="451"/>
      <c r="I229" s="433" t="str">
        <f t="shared" si="25"/>
        <v/>
      </c>
      <c r="J229" s="434">
        <f t="shared" si="26"/>
        <v>0</v>
      </c>
      <c r="K229" s="452"/>
      <c r="L229" s="276"/>
      <c r="M229" s="435"/>
      <c r="N229" s="417" t="str">
        <f t="shared" si="27"/>
        <v/>
      </c>
      <c r="O229" s="418" t="str">
        <f>IF('Data Set up'!$G$40="JUNE",IF(OR($N229=7,$N229=8,$N229=9),1,IF(OR($N229=10,$N229=11,$N229=12),2,IF(OR($N229=1,$N229=2,$N229=3),3,IF(OR($N229=4,$N229=5,$N229=6),4,"")))),IF(OR($N229=9,$N229=10,$N229=11),1,IF(OR($N229=12,$N229=1,$N229=2),2,IF(OR($N229=3,$N229=4,$N229=5),3,IF(OR($N229=6,$N229=7,$N229=8),4,"")))))</f>
        <v/>
      </c>
      <c r="P229" s="445"/>
      <c r="Q229" s="291"/>
      <c r="R229" s="291"/>
      <c r="S229" s="275"/>
      <c r="T229" s="275"/>
      <c r="U229" s="275"/>
      <c r="V229" s="275"/>
      <c r="W229" s="275"/>
      <c r="X229" s="275"/>
      <c r="Y229" s="275"/>
      <c r="Z229" s="275"/>
      <c r="AA229" s="275"/>
      <c r="AB229" s="275"/>
      <c r="AC229" s="275"/>
      <c r="AD229" s="275"/>
      <c r="AE229" s="275"/>
      <c r="AF229" s="275"/>
      <c r="AG229" s="275"/>
      <c r="AH229" s="438"/>
      <c r="AI229" s="439">
        <f t="shared" si="28"/>
        <v>0</v>
      </c>
      <c r="AJ229" s="263"/>
      <c r="AK229" s="263"/>
      <c r="AL229" s="263"/>
      <c r="AM229" s="263"/>
      <c r="AN229" s="263"/>
      <c r="AO229" s="263"/>
      <c r="AP229" s="263"/>
      <c r="AQ229" s="436"/>
      <c r="AR229" s="275"/>
      <c r="AS229" s="275"/>
      <c r="AT229" s="275"/>
      <c r="AU229" s="275"/>
      <c r="AV229" s="275"/>
      <c r="AW229" s="275"/>
      <c r="AX229" s="275"/>
      <c r="AY229" s="437"/>
      <c r="AZ229" s="440">
        <f t="shared" si="29"/>
        <v>0</v>
      </c>
      <c r="BA229" s="275"/>
      <c r="BB229" s="275"/>
      <c r="BC229" s="275"/>
      <c r="BD229" s="275"/>
      <c r="BE229" s="275"/>
      <c r="BF229" s="275"/>
      <c r="BG229" s="275"/>
      <c r="BH229" s="436"/>
      <c r="BI229" s="275"/>
      <c r="BJ229" s="275"/>
      <c r="BK229" s="291"/>
      <c r="BL229" s="291"/>
      <c r="BM229" s="275"/>
      <c r="BN229" s="275"/>
      <c r="BO229" s="438"/>
      <c r="BP229" s="436"/>
      <c r="BQ229" s="275"/>
      <c r="BR229" s="275"/>
      <c r="BS229" s="275"/>
      <c r="BT229" s="275"/>
      <c r="BU229" s="275"/>
      <c r="BV229" s="275"/>
      <c r="BW229" s="275"/>
      <c r="BX229" s="438"/>
      <c r="BY229" s="436"/>
      <c r="BZ229" s="275"/>
      <c r="CA229" s="275"/>
      <c r="CB229" s="275"/>
      <c r="CC229" s="275"/>
      <c r="CD229" s="275"/>
      <c r="CE229" s="275"/>
      <c r="CF229" s="275"/>
      <c r="CG229" s="438"/>
      <c r="CH229" s="436"/>
      <c r="CI229" s="275"/>
      <c r="CJ229" s="275"/>
      <c r="CK229" s="275"/>
      <c r="CL229" s="275"/>
      <c r="CM229" s="275"/>
      <c r="CN229" s="275"/>
      <c r="CO229" s="442"/>
      <c r="CP229" s="443"/>
      <c r="CQ229" s="429">
        <f t="shared" si="30"/>
        <v>0</v>
      </c>
      <c r="CR229" s="430"/>
    </row>
    <row r="230" spans="1:96" ht="25.5" customHeight="1" x14ac:dyDescent="0.2">
      <c r="A230" s="410">
        <f t="shared" si="31"/>
        <v>215</v>
      </c>
      <c r="B230" s="280"/>
      <c r="C230" s="453"/>
      <c r="D230" s="411"/>
      <c r="E230" s="254"/>
      <c r="F230" s="277"/>
      <c r="G230" s="450"/>
      <c r="H230" s="451"/>
      <c r="I230" s="433" t="str">
        <f t="shared" si="25"/>
        <v/>
      </c>
      <c r="J230" s="434">
        <f t="shared" si="26"/>
        <v>0</v>
      </c>
      <c r="K230" s="452"/>
      <c r="L230" s="276"/>
      <c r="M230" s="435"/>
      <c r="N230" s="417" t="str">
        <f t="shared" si="27"/>
        <v/>
      </c>
      <c r="O230" s="418" t="str">
        <f>IF('Data Set up'!$G$40="JUNE",IF(OR($N230=7,$N230=8,$N230=9),1,IF(OR($N230=10,$N230=11,$N230=12),2,IF(OR($N230=1,$N230=2,$N230=3),3,IF(OR($N230=4,$N230=5,$N230=6),4,"")))),IF(OR($N230=9,$N230=10,$N230=11),1,IF(OR($N230=12,$N230=1,$N230=2),2,IF(OR($N230=3,$N230=4,$N230=5),3,IF(OR($N230=6,$N230=7,$N230=8),4,"")))))</f>
        <v/>
      </c>
      <c r="P230" s="445"/>
      <c r="Q230" s="291"/>
      <c r="R230" s="291"/>
      <c r="S230" s="275"/>
      <c r="T230" s="275"/>
      <c r="U230" s="275"/>
      <c r="V230" s="275"/>
      <c r="W230" s="275"/>
      <c r="X230" s="275"/>
      <c r="Y230" s="275"/>
      <c r="Z230" s="275"/>
      <c r="AA230" s="275"/>
      <c r="AB230" s="275"/>
      <c r="AC230" s="275"/>
      <c r="AD230" s="275"/>
      <c r="AE230" s="275"/>
      <c r="AF230" s="275"/>
      <c r="AG230" s="275"/>
      <c r="AH230" s="438"/>
      <c r="AI230" s="439">
        <f t="shared" si="28"/>
        <v>0</v>
      </c>
      <c r="AJ230" s="263"/>
      <c r="AK230" s="263"/>
      <c r="AL230" s="263"/>
      <c r="AM230" s="263"/>
      <c r="AN230" s="263"/>
      <c r="AO230" s="263"/>
      <c r="AP230" s="263"/>
      <c r="AQ230" s="436"/>
      <c r="AR230" s="275"/>
      <c r="AS230" s="275"/>
      <c r="AT230" s="275"/>
      <c r="AU230" s="275"/>
      <c r="AV230" s="275"/>
      <c r="AW230" s="275"/>
      <c r="AX230" s="275"/>
      <c r="AY230" s="437"/>
      <c r="AZ230" s="440">
        <f t="shared" si="29"/>
        <v>0</v>
      </c>
      <c r="BA230" s="275"/>
      <c r="BB230" s="275"/>
      <c r="BC230" s="275"/>
      <c r="BD230" s="275"/>
      <c r="BE230" s="275"/>
      <c r="BF230" s="275"/>
      <c r="BG230" s="275"/>
      <c r="BH230" s="436"/>
      <c r="BI230" s="275"/>
      <c r="BJ230" s="275"/>
      <c r="BK230" s="291"/>
      <c r="BL230" s="291"/>
      <c r="BM230" s="275"/>
      <c r="BN230" s="275"/>
      <c r="BO230" s="438"/>
      <c r="BP230" s="436"/>
      <c r="BQ230" s="275"/>
      <c r="BR230" s="275"/>
      <c r="BS230" s="275"/>
      <c r="BT230" s="275"/>
      <c r="BU230" s="275"/>
      <c r="BV230" s="275"/>
      <c r="BW230" s="275"/>
      <c r="BX230" s="438"/>
      <c r="BY230" s="436"/>
      <c r="BZ230" s="275"/>
      <c r="CA230" s="275"/>
      <c r="CB230" s="275"/>
      <c r="CC230" s="275"/>
      <c r="CD230" s="275"/>
      <c r="CE230" s="275"/>
      <c r="CF230" s="275"/>
      <c r="CG230" s="438"/>
      <c r="CH230" s="436"/>
      <c r="CI230" s="275"/>
      <c r="CJ230" s="275"/>
      <c r="CK230" s="275"/>
      <c r="CL230" s="275"/>
      <c r="CM230" s="275"/>
      <c r="CN230" s="275"/>
      <c r="CO230" s="442"/>
      <c r="CP230" s="443"/>
      <c r="CQ230" s="429">
        <f t="shared" si="30"/>
        <v>0</v>
      </c>
      <c r="CR230" s="430"/>
    </row>
    <row r="231" spans="1:96" ht="25.5" customHeight="1" x14ac:dyDescent="0.2">
      <c r="A231" s="410">
        <f t="shared" si="31"/>
        <v>216</v>
      </c>
      <c r="B231" s="280"/>
      <c r="C231" s="453"/>
      <c r="D231" s="411"/>
      <c r="E231" s="254"/>
      <c r="F231" s="277"/>
      <c r="G231" s="450"/>
      <c r="H231" s="451"/>
      <c r="I231" s="433" t="str">
        <f t="shared" si="25"/>
        <v/>
      </c>
      <c r="J231" s="434">
        <f t="shared" si="26"/>
        <v>0</v>
      </c>
      <c r="K231" s="452"/>
      <c r="L231" s="276"/>
      <c r="M231" s="435"/>
      <c r="N231" s="417" t="str">
        <f t="shared" si="27"/>
        <v/>
      </c>
      <c r="O231" s="418" t="str">
        <f>IF('Data Set up'!$G$40="JUNE",IF(OR($N231=7,$N231=8,$N231=9),1,IF(OR($N231=10,$N231=11,$N231=12),2,IF(OR($N231=1,$N231=2,$N231=3),3,IF(OR($N231=4,$N231=5,$N231=6),4,"")))),IF(OR($N231=9,$N231=10,$N231=11),1,IF(OR($N231=12,$N231=1,$N231=2),2,IF(OR($N231=3,$N231=4,$N231=5),3,IF(OR($N231=6,$N231=7,$N231=8),4,"")))))</f>
        <v/>
      </c>
      <c r="P231" s="445"/>
      <c r="Q231" s="291"/>
      <c r="R231" s="291"/>
      <c r="S231" s="275"/>
      <c r="T231" s="275"/>
      <c r="U231" s="275"/>
      <c r="V231" s="275"/>
      <c r="W231" s="275"/>
      <c r="X231" s="275"/>
      <c r="Y231" s="275"/>
      <c r="Z231" s="275"/>
      <c r="AA231" s="275"/>
      <c r="AB231" s="275"/>
      <c r="AC231" s="275"/>
      <c r="AD231" s="275"/>
      <c r="AE231" s="275"/>
      <c r="AF231" s="275"/>
      <c r="AG231" s="275"/>
      <c r="AH231" s="438"/>
      <c r="AI231" s="439">
        <f t="shared" si="28"/>
        <v>0</v>
      </c>
      <c r="AJ231" s="263"/>
      <c r="AK231" s="263"/>
      <c r="AL231" s="263"/>
      <c r="AM231" s="263"/>
      <c r="AN231" s="263"/>
      <c r="AO231" s="263"/>
      <c r="AP231" s="263"/>
      <c r="AQ231" s="436"/>
      <c r="AR231" s="275"/>
      <c r="AS231" s="275"/>
      <c r="AT231" s="275"/>
      <c r="AU231" s="275"/>
      <c r="AV231" s="275"/>
      <c r="AW231" s="275"/>
      <c r="AX231" s="275"/>
      <c r="AY231" s="437"/>
      <c r="AZ231" s="440">
        <f t="shared" si="29"/>
        <v>0</v>
      </c>
      <c r="BA231" s="275"/>
      <c r="BB231" s="275"/>
      <c r="BC231" s="275"/>
      <c r="BD231" s="275"/>
      <c r="BE231" s="275"/>
      <c r="BF231" s="275"/>
      <c r="BG231" s="275"/>
      <c r="BH231" s="436"/>
      <c r="BI231" s="275"/>
      <c r="BJ231" s="275"/>
      <c r="BK231" s="291"/>
      <c r="BL231" s="291"/>
      <c r="BM231" s="275"/>
      <c r="BN231" s="275"/>
      <c r="BO231" s="438"/>
      <c r="BP231" s="436"/>
      <c r="BQ231" s="275"/>
      <c r="BR231" s="275"/>
      <c r="BS231" s="275"/>
      <c r="BT231" s="275"/>
      <c r="BU231" s="275"/>
      <c r="BV231" s="275"/>
      <c r="BW231" s="275"/>
      <c r="BX231" s="438"/>
      <c r="BY231" s="436"/>
      <c r="BZ231" s="275"/>
      <c r="CA231" s="275"/>
      <c r="CB231" s="275"/>
      <c r="CC231" s="275"/>
      <c r="CD231" s="275"/>
      <c r="CE231" s="275"/>
      <c r="CF231" s="275"/>
      <c r="CG231" s="438"/>
      <c r="CH231" s="436"/>
      <c r="CI231" s="275"/>
      <c r="CJ231" s="275"/>
      <c r="CK231" s="275"/>
      <c r="CL231" s="275"/>
      <c r="CM231" s="275"/>
      <c r="CN231" s="275"/>
      <c r="CO231" s="442"/>
      <c r="CP231" s="443"/>
      <c r="CQ231" s="429">
        <f t="shared" si="30"/>
        <v>0</v>
      </c>
      <c r="CR231" s="430"/>
    </row>
    <row r="232" spans="1:96" ht="25.5" customHeight="1" x14ac:dyDescent="0.2">
      <c r="A232" s="410">
        <f t="shared" si="31"/>
        <v>217</v>
      </c>
      <c r="B232" s="280"/>
      <c r="C232" s="453"/>
      <c r="D232" s="411"/>
      <c r="E232" s="254"/>
      <c r="F232" s="277"/>
      <c r="G232" s="450"/>
      <c r="H232" s="451"/>
      <c r="I232" s="433" t="str">
        <f t="shared" si="25"/>
        <v/>
      </c>
      <c r="J232" s="434">
        <f t="shared" si="26"/>
        <v>0</v>
      </c>
      <c r="K232" s="452"/>
      <c r="L232" s="276"/>
      <c r="M232" s="435"/>
      <c r="N232" s="417" t="str">
        <f t="shared" si="27"/>
        <v/>
      </c>
      <c r="O232" s="418" t="str">
        <f>IF('Data Set up'!$G$40="JUNE",IF(OR($N232=7,$N232=8,$N232=9),1,IF(OR($N232=10,$N232=11,$N232=12),2,IF(OR($N232=1,$N232=2,$N232=3),3,IF(OR($N232=4,$N232=5,$N232=6),4,"")))),IF(OR($N232=9,$N232=10,$N232=11),1,IF(OR($N232=12,$N232=1,$N232=2),2,IF(OR($N232=3,$N232=4,$N232=5),3,IF(OR($N232=6,$N232=7,$N232=8),4,"")))))</f>
        <v/>
      </c>
      <c r="P232" s="445"/>
      <c r="Q232" s="291"/>
      <c r="R232" s="291"/>
      <c r="S232" s="275"/>
      <c r="T232" s="275"/>
      <c r="U232" s="275"/>
      <c r="V232" s="275"/>
      <c r="W232" s="275"/>
      <c r="X232" s="275"/>
      <c r="Y232" s="275"/>
      <c r="Z232" s="275"/>
      <c r="AA232" s="275"/>
      <c r="AB232" s="275"/>
      <c r="AC232" s="275"/>
      <c r="AD232" s="275"/>
      <c r="AE232" s="275"/>
      <c r="AF232" s="275"/>
      <c r="AG232" s="275"/>
      <c r="AH232" s="438"/>
      <c r="AI232" s="439">
        <f t="shared" si="28"/>
        <v>0</v>
      </c>
      <c r="AJ232" s="263"/>
      <c r="AK232" s="263"/>
      <c r="AL232" s="263"/>
      <c r="AM232" s="263"/>
      <c r="AN232" s="263"/>
      <c r="AO232" s="263"/>
      <c r="AP232" s="263"/>
      <c r="AQ232" s="436"/>
      <c r="AR232" s="275"/>
      <c r="AS232" s="275"/>
      <c r="AT232" s="275"/>
      <c r="AU232" s="275"/>
      <c r="AV232" s="275"/>
      <c r="AW232" s="275"/>
      <c r="AX232" s="275"/>
      <c r="AY232" s="437"/>
      <c r="AZ232" s="440">
        <f t="shared" si="29"/>
        <v>0</v>
      </c>
      <c r="BA232" s="275"/>
      <c r="BB232" s="275"/>
      <c r="BC232" s="275"/>
      <c r="BD232" s="275"/>
      <c r="BE232" s="275"/>
      <c r="BF232" s="275"/>
      <c r="BG232" s="275"/>
      <c r="BH232" s="436"/>
      <c r="BI232" s="275"/>
      <c r="BJ232" s="275"/>
      <c r="BK232" s="291"/>
      <c r="BL232" s="291"/>
      <c r="BM232" s="275"/>
      <c r="BN232" s="275"/>
      <c r="BO232" s="438"/>
      <c r="BP232" s="436"/>
      <c r="BQ232" s="275"/>
      <c r="BR232" s="275"/>
      <c r="BS232" s="275"/>
      <c r="BT232" s="275"/>
      <c r="BU232" s="275"/>
      <c r="BV232" s="275"/>
      <c r="BW232" s="275"/>
      <c r="BX232" s="438"/>
      <c r="BY232" s="436"/>
      <c r="BZ232" s="275"/>
      <c r="CA232" s="275"/>
      <c r="CB232" s="275"/>
      <c r="CC232" s="275"/>
      <c r="CD232" s="275"/>
      <c r="CE232" s="275"/>
      <c r="CF232" s="275"/>
      <c r="CG232" s="438"/>
      <c r="CH232" s="436"/>
      <c r="CI232" s="275"/>
      <c r="CJ232" s="275"/>
      <c r="CK232" s="275"/>
      <c r="CL232" s="275"/>
      <c r="CM232" s="275"/>
      <c r="CN232" s="275"/>
      <c r="CO232" s="442"/>
      <c r="CP232" s="443"/>
      <c r="CQ232" s="429">
        <f t="shared" si="30"/>
        <v>0</v>
      </c>
      <c r="CR232" s="430"/>
    </row>
    <row r="233" spans="1:96" ht="25.5" customHeight="1" x14ac:dyDescent="0.2">
      <c r="A233" s="410">
        <f t="shared" si="31"/>
        <v>218</v>
      </c>
      <c r="B233" s="280"/>
      <c r="C233" s="453"/>
      <c r="D233" s="411"/>
      <c r="E233" s="254"/>
      <c r="F233" s="277"/>
      <c r="G233" s="450"/>
      <c r="H233" s="451"/>
      <c r="I233" s="433" t="str">
        <f t="shared" si="25"/>
        <v/>
      </c>
      <c r="J233" s="434">
        <f t="shared" si="26"/>
        <v>0</v>
      </c>
      <c r="K233" s="452"/>
      <c r="L233" s="276"/>
      <c r="M233" s="435"/>
      <c r="N233" s="417" t="str">
        <f t="shared" si="27"/>
        <v/>
      </c>
      <c r="O233" s="418" t="str">
        <f>IF('Data Set up'!$G$40="JUNE",IF(OR($N233=7,$N233=8,$N233=9),1,IF(OR($N233=10,$N233=11,$N233=12),2,IF(OR($N233=1,$N233=2,$N233=3),3,IF(OR($N233=4,$N233=5,$N233=6),4,"")))),IF(OR($N233=9,$N233=10,$N233=11),1,IF(OR($N233=12,$N233=1,$N233=2),2,IF(OR($N233=3,$N233=4,$N233=5),3,IF(OR($N233=6,$N233=7,$N233=8),4,"")))))</f>
        <v/>
      </c>
      <c r="P233" s="445"/>
      <c r="Q233" s="291"/>
      <c r="R233" s="291"/>
      <c r="S233" s="275"/>
      <c r="T233" s="275"/>
      <c r="U233" s="275"/>
      <c r="V233" s="275"/>
      <c r="W233" s="275"/>
      <c r="X233" s="275"/>
      <c r="Y233" s="275"/>
      <c r="Z233" s="275"/>
      <c r="AA233" s="275"/>
      <c r="AB233" s="275"/>
      <c r="AC233" s="275"/>
      <c r="AD233" s="275"/>
      <c r="AE233" s="275"/>
      <c r="AF233" s="275"/>
      <c r="AG233" s="275"/>
      <c r="AH233" s="438"/>
      <c r="AI233" s="439">
        <f t="shared" si="28"/>
        <v>0</v>
      </c>
      <c r="AJ233" s="263"/>
      <c r="AK233" s="263"/>
      <c r="AL233" s="263"/>
      <c r="AM233" s="263"/>
      <c r="AN233" s="263"/>
      <c r="AO233" s="263"/>
      <c r="AP233" s="263"/>
      <c r="AQ233" s="436"/>
      <c r="AR233" s="275"/>
      <c r="AS233" s="275"/>
      <c r="AT233" s="275"/>
      <c r="AU233" s="275"/>
      <c r="AV233" s="275"/>
      <c r="AW233" s="275"/>
      <c r="AX233" s="275"/>
      <c r="AY233" s="437"/>
      <c r="AZ233" s="440">
        <f t="shared" si="29"/>
        <v>0</v>
      </c>
      <c r="BA233" s="275"/>
      <c r="BB233" s="275"/>
      <c r="BC233" s="275"/>
      <c r="BD233" s="275"/>
      <c r="BE233" s="275"/>
      <c r="BF233" s="275"/>
      <c r="BG233" s="275"/>
      <c r="BH233" s="436"/>
      <c r="BI233" s="275"/>
      <c r="BJ233" s="275"/>
      <c r="BK233" s="291"/>
      <c r="BL233" s="291"/>
      <c r="BM233" s="275"/>
      <c r="BN233" s="275"/>
      <c r="BO233" s="438"/>
      <c r="BP233" s="436"/>
      <c r="BQ233" s="275"/>
      <c r="BR233" s="275"/>
      <c r="BS233" s="275"/>
      <c r="BT233" s="275"/>
      <c r="BU233" s="275"/>
      <c r="BV233" s="275"/>
      <c r="BW233" s="275"/>
      <c r="BX233" s="438"/>
      <c r="BY233" s="436"/>
      <c r="BZ233" s="275"/>
      <c r="CA233" s="275"/>
      <c r="CB233" s="275"/>
      <c r="CC233" s="275"/>
      <c r="CD233" s="275"/>
      <c r="CE233" s="275"/>
      <c r="CF233" s="275"/>
      <c r="CG233" s="438"/>
      <c r="CH233" s="436"/>
      <c r="CI233" s="275"/>
      <c r="CJ233" s="275"/>
      <c r="CK233" s="275"/>
      <c r="CL233" s="275"/>
      <c r="CM233" s="275"/>
      <c r="CN233" s="275"/>
      <c r="CO233" s="442"/>
      <c r="CP233" s="443"/>
      <c r="CQ233" s="429">
        <f t="shared" si="30"/>
        <v>0</v>
      </c>
      <c r="CR233" s="430"/>
    </row>
    <row r="234" spans="1:96" ht="25.5" customHeight="1" x14ac:dyDescent="0.2">
      <c r="A234" s="410">
        <f t="shared" si="31"/>
        <v>219</v>
      </c>
      <c r="B234" s="280"/>
      <c r="C234" s="453"/>
      <c r="D234" s="411"/>
      <c r="E234" s="254"/>
      <c r="F234" s="277"/>
      <c r="G234" s="450"/>
      <c r="H234" s="451"/>
      <c r="I234" s="433" t="str">
        <f t="shared" si="25"/>
        <v/>
      </c>
      <c r="J234" s="434">
        <f t="shared" si="26"/>
        <v>0</v>
      </c>
      <c r="K234" s="452"/>
      <c r="L234" s="276"/>
      <c r="M234" s="435"/>
      <c r="N234" s="417" t="str">
        <f t="shared" si="27"/>
        <v/>
      </c>
      <c r="O234" s="418" t="str">
        <f>IF('Data Set up'!$G$40="JUNE",IF(OR($N234=7,$N234=8,$N234=9),1,IF(OR($N234=10,$N234=11,$N234=12),2,IF(OR($N234=1,$N234=2,$N234=3),3,IF(OR($N234=4,$N234=5,$N234=6),4,"")))),IF(OR($N234=9,$N234=10,$N234=11),1,IF(OR($N234=12,$N234=1,$N234=2),2,IF(OR($N234=3,$N234=4,$N234=5),3,IF(OR($N234=6,$N234=7,$N234=8),4,"")))))</f>
        <v/>
      </c>
      <c r="P234" s="445"/>
      <c r="Q234" s="291"/>
      <c r="R234" s="291"/>
      <c r="S234" s="275"/>
      <c r="T234" s="275"/>
      <c r="U234" s="275"/>
      <c r="V234" s="275"/>
      <c r="W234" s="275"/>
      <c r="X234" s="275"/>
      <c r="Y234" s="275"/>
      <c r="Z234" s="275"/>
      <c r="AA234" s="275"/>
      <c r="AB234" s="275"/>
      <c r="AC234" s="275"/>
      <c r="AD234" s="275"/>
      <c r="AE234" s="275"/>
      <c r="AF234" s="275"/>
      <c r="AG234" s="275"/>
      <c r="AH234" s="438"/>
      <c r="AI234" s="439">
        <f t="shared" si="28"/>
        <v>0</v>
      </c>
      <c r="AJ234" s="263"/>
      <c r="AK234" s="263"/>
      <c r="AL234" s="263"/>
      <c r="AM234" s="263"/>
      <c r="AN234" s="263"/>
      <c r="AO234" s="263"/>
      <c r="AP234" s="263"/>
      <c r="AQ234" s="436"/>
      <c r="AR234" s="275"/>
      <c r="AS234" s="275"/>
      <c r="AT234" s="275"/>
      <c r="AU234" s="275"/>
      <c r="AV234" s="275"/>
      <c r="AW234" s="275"/>
      <c r="AX234" s="275"/>
      <c r="AY234" s="437"/>
      <c r="AZ234" s="440">
        <f t="shared" si="29"/>
        <v>0</v>
      </c>
      <c r="BA234" s="275"/>
      <c r="BB234" s="275"/>
      <c r="BC234" s="275"/>
      <c r="BD234" s="275"/>
      <c r="BE234" s="275"/>
      <c r="BF234" s="275"/>
      <c r="BG234" s="275"/>
      <c r="BH234" s="436"/>
      <c r="BI234" s="275"/>
      <c r="BJ234" s="275"/>
      <c r="BK234" s="291"/>
      <c r="BL234" s="291"/>
      <c r="BM234" s="275"/>
      <c r="BN234" s="275"/>
      <c r="BO234" s="438"/>
      <c r="BP234" s="436"/>
      <c r="BQ234" s="275"/>
      <c r="BR234" s="275"/>
      <c r="BS234" s="275"/>
      <c r="BT234" s="275"/>
      <c r="BU234" s="275"/>
      <c r="BV234" s="275"/>
      <c r="BW234" s="275"/>
      <c r="BX234" s="438"/>
      <c r="BY234" s="436"/>
      <c r="BZ234" s="275"/>
      <c r="CA234" s="275"/>
      <c r="CB234" s="275"/>
      <c r="CC234" s="275"/>
      <c r="CD234" s="275"/>
      <c r="CE234" s="275"/>
      <c r="CF234" s="275"/>
      <c r="CG234" s="438"/>
      <c r="CH234" s="436"/>
      <c r="CI234" s="275"/>
      <c r="CJ234" s="275"/>
      <c r="CK234" s="275"/>
      <c r="CL234" s="275"/>
      <c r="CM234" s="275"/>
      <c r="CN234" s="275"/>
      <c r="CO234" s="442"/>
      <c r="CP234" s="443"/>
      <c r="CQ234" s="429">
        <f t="shared" si="30"/>
        <v>0</v>
      </c>
      <c r="CR234" s="430"/>
    </row>
    <row r="235" spans="1:96" ht="25.5" customHeight="1" x14ac:dyDescent="0.2">
      <c r="A235" s="410">
        <f t="shared" si="31"/>
        <v>220</v>
      </c>
      <c r="B235" s="280"/>
      <c r="C235" s="453"/>
      <c r="D235" s="411"/>
      <c r="E235" s="254"/>
      <c r="F235" s="277"/>
      <c r="G235" s="450"/>
      <c r="H235" s="451"/>
      <c r="I235" s="433" t="str">
        <f t="shared" si="25"/>
        <v/>
      </c>
      <c r="J235" s="434">
        <f t="shared" si="26"/>
        <v>0</v>
      </c>
      <c r="K235" s="452"/>
      <c r="L235" s="276"/>
      <c r="M235" s="435"/>
      <c r="N235" s="417" t="str">
        <f t="shared" si="27"/>
        <v/>
      </c>
      <c r="O235" s="418" t="str">
        <f>IF('Data Set up'!$G$40="JUNE",IF(OR($N235=7,$N235=8,$N235=9),1,IF(OR($N235=10,$N235=11,$N235=12),2,IF(OR($N235=1,$N235=2,$N235=3),3,IF(OR($N235=4,$N235=5,$N235=6),4,"")))),IF(OR($N235=9,$N235=10,$N235=11),1,IF(OR($N235=12,$N235=1,$N235=2),2,IF(OR($N235=3,$N235=4,$N235=5),3,IF(OR($N235=6,$N235=7,$N235=8),4,"")))))</f>
        <v/>
      </c>
      <c r="P235" s="445"/>
      <c r="Q235" s="291"/>
      <c r="R235" s="291"/>
      <c r="S235" s="275"/>
      <c r="T235" s="275"/>
      <c r="U235" s="275"/>
      <c r="V235" s="275"/>
      <c r="W235" s="275"/>
      <c r="X235" s="275"/>
      <c r="Y235" s="275"/>
      <c r="Z235" s="275"/>
      <c r="AA235" s="275"/>
      <c r="AB235" s="275"/>
      <c r="AC235" s="275"/>
      <c r="AD235" s="275"/>
      <c r="AE235" s="275"/>
      <c r="AF235" s="275"/>
      <c r="AG235" s="275"/>
      <c r="AH235" s="438"/>
      <c r="AI235" s="439">
        <f t="shared" si="28"/>
        <v>0</v>
      </c>
      <c r="AJ235" s="263"/>
      <c r="AK235" s="263"/>
      <c r="AL235" s="263"/>
      <c r="AM235" s="263"/>
      <c r="AN235" s="263"/>
      <c r="AO235" s="263"/>
      <c r="AP235" s="263"/>
      <c r="AQ235" s="436"/>
      <c r="AR235" s="275"/>
      <c r="AS235" s="275"/>
      <c r="AT235" s="275"/>
      <c r="AU235" s="275"/>
      <c r="AV235" s="275"/>
      <c r="AW235" s="275"/>
      <c r="AX235" s="275"/>
      <c r="AY235" s="437"/>
      <c r="AZ235" s="440">
        <f t="shared" si="29"/>
        <v>0</v>
      </c>
      <c r="BA235" s="275"/>
      <c r="BB235" s="275"/>
      <c r="BC235" s="275"/>
      <c r="BD235" s="275"/>
      <c r="BE235" s="275"/>
      <c r="BF235" s="275"/>
      <c r="BG235" s="275"/>
      <c r="BH235" s="436"/>
      <c r="BI235" s="275"/>
      <c r="BJ235" s="275"/>
      <c r="BK235" s="291"/>
      <c r="BL235" s="291"/>
      <c r="BM235" s="275"/>
      <c r="BN235" s="275"/>
      <c r="BO235" s="438"/>
      <c r="BP235" s="436"/>
      <c r="BQ235" s="275"/>
      <c r="BR235" s="275"/>
      <c r="BS235" s="275"/>
      <c r="BT235" s="275"/>
      <c r="BU235" s="275"/>
      <c r="BV235" s="275"/>
      <c r="BW235" s="275"/>
      <c r="BX235" s="438"/>
      <c r="BY235" s="436"/>
      <c r="BZ235" s="275"/>
      <c r="CA235" s="275"/>
      <c r="CB235" s="275"/>
      <c r="CC235" s="275"/>
      <c r="CD235" s="275"/>
      <c r="CE235" s="275"/>
      <c r="CF235" s="275"/>
      <c r="CG235" s="438"/>
      <c r="CH235" s="436"/>
      <c r="CI235" s="275"/>
      <c r="CJ235" s="275"/>
      <c r="CK235" s="275"/>
      <c r="CL235" s="275"/>
      <c r="CM235" s="275"/>
      <c r="CN235" s="275"/>
      <c r="CO235" s="442"/>
      <c r="CP235" s="443"/>
      <c r="CQ235" s="429">
        <f t="shared" si="30"/>
        <v>0</v>
      </c>
      <c r="CR235" s="430"/>
    </row>
    <row r="236" spans="1:96" ht="25.5" customHeight="1" x14ac:dyDescent="0.2">
      <c r="A236" s="410">
        <f t="shared" si="31"/>
        <v>221</v>
      </c>
      <c r="B236" s="280"/>
      <c r="C236" s="453"/>
      <c r="D236" s="411"/>
      <c r="E236" s="254"/>
      <c r="F236" s="277"/>
      <c r="G236" s="450"/>
      <c r="H236" s="451"/>
      <c r="I236" s="433" t="str">
        <f t="shared" si="25"/>
        <v/>
      </c>
      <c r="J236" s="434">
        <f t="shared" si="26"/>
        <v>0</v>
      </c>
      <c r="K236" s="452"/>
      <c r="L236" s="276"/>
      <c r="M236" s="435"/>
      <c r="N236" s="417" t="str">
        <f t="shared" si="27"/>
        <v/>
      </c>
      <c r="O236" s="418" t="str">
        <f>IF('Data Set up'!$G$40="JUNE",IF(OR($N236=7,$N236=8,$N236=9),1,IF(OR($N236=10,$N236=11,$N236=12),2,IF(OR($N236=1,$N236=2,$N236=3),3,IF(OR($N236=4,$N236=5,$N236=6),4,"")))),IF(OR($N236=9,$N236=10,$N236=11),1,IF(OR($N236=12,$N236=1,$N236=2),2,IF(OR($N236=3,$N236=4,$N236=5),3,IF(OR($N236=6,$N236=7,$N236=8),4,"")))))</f>
        <v/>
      </c>
      <c r="P236" s="445"/>
      <c r="Q236" s="291"/>
      <c r="R236" s="291"/>
      <c r="S236" s="275"/>
      <c r="T236" s="275"/>
      <c r="U236" s="275"/>
      <c r="V236" s="275"/>
      <c r="W236" s="275"/>
      <c r="X236" s="275"/>
      <c r="Y236" s="275"/>
      <c r="Z236" s="275"/>
      <c r="AA236" s="275"/>
      <c r="AB236" s="275"/>
      <c r="AC236" s="275"/>
      <c r="AD236" s="275"/>
      <c r="AE236" s="275"/>
      <c r="AF236" s="275"/>
      <c r="AG236" s="275"/>
      <c r="AH236" s="438"/>
      <c r="AI236" s="439">
        <f t="shared" si="28"/>
        <v>0</v>
      </c>
      <c r="AJ236" s="263"/>
      <c r="AK236" s="263"/>
      <c r="AL236" s="263"/>
      <c r="AM236" s="263"/>
      <c r="AN236" s="263"/>
      <c r="AO236" s="263"/>
      <c r="AP236" s="263"/>
      <c r="AQ236" s="436"/>
      <c r="AR236" s="275"/>
      <c r="AS236" s="275"/>
      <c r="AT236" s="275"/>
      <c r="AU236" s="275"/>
      <c r="AV236" s="275"/>
      <c r="AW236" s="275"/>
      <c r="AX236" s="275"/>
      <c r="AY236" s="437"/>
      <c r="AZ236" s="440">
        <f t="shared" si="29"/>
        <v>0</v>
      </c>
      <c r="BA236" s="275"/>
      <c r="BB236" s="275"/>
      <c r="BC236" s="275"/>
      <c r="BD236" s="275"/>
      <c r="BE236" s="275"/>
      <c r="BF236" s="275"/>
      <c r="BG236" s="275"/>
      <c r="BH236" s="436"/>
      <c r="BI236" s="275"/>
      <c r="BJ236" s="275"/>
      <c r="BK236" s="291"/>
      <c r="BL236" s="291"/>
      <c r="BM236" s="275"/>
      <c r="BN236" s="275"/>
      <c r="BO236" s="438"/>
      <c r="BP236" s="436"/>
      <c r="BQ236" s="275"/>
      <c r="BR236" s="275"/>
      <c r="BS236" s="275"/>
      <c r="BT236" s="275"/>
      <c r="BU236" s="275"/>
      <c r="BV236" s="275"/>
      <c r="BW236" s="275"/>
      <c r="BX236" s="438"/>
      <c r="BY236" s="436"/>
      <c r="BZ236" s="275"/>
      <c r="CA236" s="275"/>
      <c r="CB236" s="275"/>
      <c r="CC236" s="275"/>
      <c r="CD236" s="275"/>
      <c r="CE236" s="275"/>
      <c r="CF236" s="275"/>
      <c r="CG236" s="438"/>
      <c r="CH236" s="436"/>
      <c r="CI236" s="275"/>
      <c r="CJ236" s="275"/>
      <c r="CK236" s="275"/>
      <c r="CL236" s="275"/>
      <c r="CM236" s="275"/>
      <c r="CN236" s="275"/>
      <c r="CO236" s="442"/>
      <c r="CP236" s="443"/>
      <c r="CQ236" s="429">
        <f t="shared" si="30"/>
        <v>0</v>
      </c>
      <c r="CR236" s="430"/>
    </row>
    <row r="237" spans="1:96" ht="25.5" customHeight="1" x14ac:dyDescent="0.2">
      <c r="A237" s="410">
        <f t="shared" si="31"/>
        <v>222</v>
      </c>
      <c r="B237" s="280"/>
      <c r="C237" s="453"/>
      <c r="D237" s="411"/>
      <c r="E237" s="254"/>
      <c r="F237" s="277"/>
      <c r="G237" s="450"/>
      <c r="H237" s="451"/>
      <c r="I237" s="433" t="str">
        <f t="shared" si="25"/>
        <v/>
      </c>
      <c r="J237" s="434">
        <f t="shared" si="26"/>
        <v>0</v>
      </c>
      <c r="K237" s="452"/>
      <c r="L237" s="276"/>
      <c r="M237" s="435"/>
      <c r="N237" s="417" t="str">
        <f t="shared" si="27"/>
        <v/>
      </c>
      <c r="O237" s="418" t="str">
        <f>IF('Data Set up'!$G$40="JUNE",IF(OR($N237=7,$N237=8,$N237=9),1,IF(OR($N237=10,$N237=11,$N237=12),2,IF(OR($N237=1,$N237=2,$N237=3),3,IF(OR($N237=4,$N237=5,$N237=6),4,"")))),IF(OR($N237=9,$N237=10,$N237=11),1,IF(OR($N237=12,$N237=1,$N237=2),2,IF(OR($N237=3,$N237=4,$N237=5),3,IF(OR($N237=6,$N237=7,$N237=8),4,"")))))</f>
        <v/>
      </c>
      <c r="P237" s="445"/>
      <c r="Q237" s="291"/>
      <c r="R237" s="291"/>
      <c r="S237" s="275"/>
      <c r="T237" s="275"/>
      <c r="U237" s="275"/>
      <c r="V237" s="275"/>
      <c r="W237" s="275"/>
      <c r="X237" s="275"/>
      <c r="Y237" s="275"/>
      <c r="Z237" s="275"/>
      <c r="AA237" s="275"/>
      <c r="AB237" s="275"/>
      <c r="AC237" s="275"/>
      <c r="AD237" s="275"/>
      <c r="AE237" s="275"/>
      <c r="AF237" s="275"/>
      <c r="AG237" s="275"/>
      <c r="AH237" s="438"/>
      <c r="AI237" s="439">
        <f t="shared" si="28"/>
        <v>0</v>
      </c>
      <c r="AJ237" s="263"/>
      <c r="AK237" s="263"/>
      <c r="AL237" s="263"/>
      <c r="AM237" s="263"/>
      <c r="AN237" s="263"/>
      <c r="AO237" s="263"/>
      <c r="AP237" s="263"/>
      <c r="AQ237" s="436"/>
      <c r="AR237" s="275"/>
      <c r="AS237" s="275"/>
      <c r="AT237" s="275"/>
      <c r="AU237" s="275"/>
      <c r="AV237" s="275"/>
      <c r="AW237" s="275"/>
      <c r="AX237" s="275"/>
      <c r="AY237" s="437"/>
      <c r="AZ237" s="440">
        <f t="shared" si="29"/>
        <v>0</v>
      </c>
      <c r="BA237" s="275"/>
      <c r="BB237" s="275"/>
      <c r="BC237" s="275"/>
      <c r="BD237" s="275"/>
      <c r="BE237" s="275"/>
      <c r="BF237" s="275"/>
      <c r="BG237" s="275"/>
      <c r="BH237" s="436"/>
      <c r="BI237" s="275"/>
      <c r="BJ237" s="275"/>
      <c r="BK237" s="291"/>
      <c r="BL237" s="291"/>
      <c r="BM237" s="275"/>
      <c r="BN237" s="275"/>
      <c r="BO237" s="438"/>
      <c r="BP237" s="436"/>
      <c r="BQ237" s="275"/>
      <c r="BR237" s="275"/>
      <c r="BS237" s="275"/>
      <c r="BT237" s="275"/>
      <c r="BU237" s="275"/>
      <c r="BV237" s="275"/>
      <c r="BW237" s="275"/>
      <c r="BX237" s="438"/>
      <c r="BY237" s="436"/>
      <c r="BZ237" s="275"/>
      <c r="CA237" s="275"/>
      <c r="CB237" s="275"/>
      <c r="CC237" s="275"/>
      <c r="CD237" s="275"/>
      <c r="CE237" s="275"/>
      <c r="CF237" s="275"/>
      <c r="CG237" s="438"/>
      <c r="CH237" s="436"/>
      <c r="CI237" s="275"/>
      <c r="CJ237" s="275"/>
      <c r="CK237" s="275"/>
      <c r="CL237" s="275"/>
      <c r="CM237" s="275"/>
      <c r="CN237" s="275"/>
      <c r="CO237" s="442"/>
      <c r="CP237" s="443"/>
      <c r="CQ237" s="429">
        <f t="shared" si="30"/>
        <v>0</v>
      </c>
      <c r="CR237" s="430"/>
    </row>
    <row r="238" spans="1:96" ht="25.5" customHeight="1" x14ac:dyDescent="0.2">
      <c r="A238" s="410">
        <f t="shared" si="31"/>
        <v>223</v>
      </c>
      <c r="B238" s="280"/>
      <c r="C238" s="453"/>
      <c r="D238" s="411"/>
      <c r="E238" s="254"/>
      <c r="F238" s="277"/>
      <c r="G238" s="450"/>
      <c r="H238" s="451"/>
      <c r="I238" s="433" t="str">
        <f t="shared" si="25"/>
        <v/>
      </c>
      <c r="J238" s="434">
        <f t="shared" si="26"/>
        <v>0</v>
      </c>
      <c r="K238" s="452"/>
      <c r="L238" s="276"/>
      <c r="M238" s="435"/>
      <c r="N238" s="417" t="str">
        <f t="shared" si="27"/>
        <v/>
      </c>
      <c r="O238" s="418" t="str">
        <f>IF('Data Set up'!$G$40="JUNE",IF(OR($N238=7,$N238=8,$N238=9),1,IF(OR($N238=10,$N238=11,$N238=12),2,IF(OR($N238=1,$N238=2,$N238=3),3,IF(OR($N238=4,$N238=5,$N238=6),4,"")))),IF(OR($N238=9,$N238=10,$N238=11),1,IF(OR($N238=12,$N238=1,$N238=2),2,IF(OR($N238=3,$N238=4,$N238=5),3,IF(OR($N238=6,$N238=7,$N238=8),4,"")))))</f>
        <v/>
      </c>
      <c r="P238" s="445"/>
      <c r="Q238" s="291"/>
      <c r="R238" s="291"/>
      <c r="S238" s="275"/>
      <c r="T238" s="275"/>
      <c r="U238" s="275"/>
      <c r="V238" s="275"/>
      <c r="W238" s="275"/>
      <c r="X238" s="275"/>
      <c r="Y238" s="275"/>
      <c r="Z238" s="275"/>
      <c r="AA238" s="275"/>
      <c r="AB238" s="275"/>
      <c r="AC238" s="275"/>
      <c r="AD238" s="275"/>
      <c r="AE238" s="275"/>
      <c r="AF238" s="275"/>
      <c r="AG238" s="275"/>
      <c r="AH238" s="438"/>
      <c r="AI238" s="439">
        <f t="shared" si="28"/>
        <v>0</v>
      </c>
      <c r="AJ238" s="263"/>
      <c r="AK238" s="263"/>
      <c r="AL238" s="263"/>
      <c r="AM238" s="263"/>
      <c r="AN238" s="263"/>
      <c r="AO238" s="263"/>
      <c r="AP238" s="263"/>
      <c r="AQ238" s="436"/>
      <c r="AR238" s="275"/>
      <c r="AS238" s="275"/>
      <c r="AT238" s="275"/>
      <c r="AU238" s="275"/>
      <c r="AV238" s="275"/>
      <c r="AW238" s="275"/>
      <c r="AX238" s="275"/>
      <c r="AY238" s="437"/>
      <c r="AZ238" s="440">
        <f t="shared" si="29"/>
        <v>0</v>
      </c>
      <c r="BA238" s="275"/>
      <c r="BB238" s="275"/>
      <c r="BC238" s="275"/>
      <c r="BD238" s="275"/>
      <c r="BE238" s="275"/>
      <c r="BF238" s="275"/>
      <c r="BG238" s="275"/>
      <c r="BH238" s="436"/>
      <c r="BI238" s="275"/>
      <c r="BJ238" s="275"/>
      <c r="BK238" s="291"/>
      <c r="BL238" s="291"/>
      <c r="BM238" s="275"/>
      <c r="BN238" s="275"/>
      <c r="BO238" s="438"/>
      <c r="BP238" s="436"/>
      <c r="BQ238" s="275"/>
      <c r="BR238" s="275"/>
      <c r="BS238" s="275"/>
      <c r="BT238" s="275"/>
      <c r="BU238" s="275"/>
      <c r="BV238" s="275"/>
      <c r="BW238" s="275"/>
      <c r="BX238" s="438"/>
      <c r="BY238" s="436"/>
      <c r="BZ238" s="275"/>
      <c r="CA238" s="275"/>
      <c r="CB238" s="275"/>
      <c r="CC238" s="275"/>
      <c r="CD238" s="275"/>
      <c r="CE238" s="275"/>
      <c r="CF238" s="275"/>
      <c r="CG238" s="438"/>
      <c r="CH238" s="436"/>
      <c r="CI238" s="275"/>
      <c r="CJ238" s="275"/>
      <c r="CK238" s="275"/>
      <c r="CL238" s="275"/>
      <c r="CM238" s="275"/>
      <c r="CN238" s="275"/>
      <c r="CO238" s="442"/>
      <c r="CP238" s="443"/>
      <c r="CQ238" s="429">
        <f t="shared" si="30"/>
        <v>0</v>
      </c>
      <c r="CR238" s="430"/>
    </row>
    <row r="239" spans="1:96" ht="25.5" customHeight="1" x14ac:dyDescent="0.2">
      <c r="A239" s="410">
        <f t="shared" si="31"/>
        <v>224</v>
      </c>
      <c r="B239" s="280"/>
      <c r="C239" s="453"/>
      <c r="D239" s="411"/>
      <c r="E239" s="254"/>
      <c r="F239" s="277"/>
      <c r="G239" s="450"/>
      <c r="H239" s="451"/>
      <c r="I239" s="433" t="str">
        <f t="shared" si="25"/>
        <v/>
      </c>
      <c r="J239" s="434">
        <f t="shared" si="26"/>
        <v>0</v>
      </c>
      <c r="K239" s="452"/>
      <c r="L239" s="276"/>
      <c r="M239" s="435"/>
      <c r="N239" s="417" t="str">
        <f t="shared" si="27"/>
        <v/>
      </c>
      <c r="O239" s="418" t="str">
        <f>IF('Data Set up'!$G$40="JUNE",IF(OR($N239=7,$N239=8,$N239=9),1,IF(OR($N239=10,$N239=11,$N239=12),2,IF(OR($N239=1,$N239=2,$N239=3),3,IF(OR($N239=4,$N239=5,$N239=6),4,"")))),IF(OR($N239=9,$N239=10,$N239=11),1,IF(OR($N239=12,$N239=1,$N239=2),2,IF(OR($N239=3,$N239=4,$N239=5),3,IF(OR($N239=6,$N239=7,$N239=8),4,"")))))</f>
        <v/>
      </c>
      <c r="P239" s="445"/>
      <c r="Q239" s="291"/>
      <c r="R239" s="291"/>
      <c r="S239" s="275"/>
      <c r="T239" s="275"/>
      <c r="U239" s="275"/>
      <c r="V239" s="275"/>
      <c r="W239" s="275"/>
      <c r="X239" s="275"/>
      <c r="Y239" s="275"/>
      <c r="Z239" s="275"/>
      <c r="AA239" s="275"/>
      <c r="AB239" s="275"/>
      <c r="AC239" s="275"/>
      <c r="AD239" s="275"/>
      <c r="AE239" s="275"/>
      <c r="AF239" s="275"/>
      <c r="AG239" s="275"/>
      <c r="AH239" s="438"/>
      <c r="AI239" s="439">
        <f t="shared" si="28"/>
        <v>0</v>
      </c>
      <c r="AJ239" s="263"/>
      <c r="AK239" s="263"/>
      <c r="AL239" s="263"/>
      <c r="AM239" s="263"/>
      <c r="AN239" s="263"/>
      <c r="AO239" s="263"/>
      <c r="AP239" s="263"/>
      <c r="AQ239" s="436"/>
      <c r="AR239" s="275"/>
      <c r="AS239" s="275"/>
      <c r="AT239" s="275"/>
      <c r="AU239" s="275"/>
      <c r="AV239" s="275"/>
      <c r="AW239" s="275"/>
      <c r="AX239" s="275"/>
      <c r="AY239" s="437"/>
      <c r="AZ239" s="440">
        <f t="shared" si="29"/>
        <v>0</v>
      </c>
      <c r="BA239" s="275"/>
      <c r="BB239" s="275"/>
      <c r="BC239" s="275"/>
      <c r="BD239" s="275"/>
      <c r="BE239" s="275"/>
      <c r="BF239" s="275"/>
      <c r="BG239" s="275"/>
      <c r="BH239" s="436"/>
      <c r="BI239" s="275"/>
      <c r="BJ239" s="275"/>
      <c r="BK239" s="291"/>
      <c r="BL239" s="291"/>
      <c r="BM239" s="275"/>
      <c r="BN239" s="275"/>
      <c r="BO239" s="438"/>
      <c r="BP239" s="436"/>
      <c r="BQ239" s="275"/>
      <c r="BR239" s="275"/>
      <c r="BS239" s="275"/>
      <c r="BT239" s="275"/>
      <c r="BU239" s="275"/>
      <c r="BV239" s="275"/>
      <c r="BW239" s="275"/>
      <c r="BX239" s="438"/>
      <c r="BY239" s="436"/>
      <c r="BZ239" s="275"/>
      <c r="CA239" s="275"/>
      <c r="CB239" s="275"/>
      <c r="CC239" s="275"/>
      <c r="CD239" s="275"/>
      <c r="CE239" s="275"/>
      <c r="CF239" s="275"/>
      <c r="CG239" s="438"/>
      <c r="CH239" s="436"/>
      <c r="CI239" s="275"/>
      <c r="CJ239" s="275"/>
      <c r="CK239" s="275"/>
      <c r="CL239" s="275"/>
      <c r="CM239" s="275"/>
      <c r="CN239" s="275"/>
      <c r="CO239" s="442"/>
      <c r="CP239" s="443"/>
      <c r="CQ239" s="429">
        <f t="shared" si="30"/>
        <v>0</v>
      </c>
      <c r="CR239" s="430"/>
    </row>
    <row r="240" spans="1:96" ht="25.5" customHeight="1" x14ac:dyDescent="0.2">
      <c r="A240" s="410">
        <f t="shared" si="31"/>
        <v>225</v>
      </c>
      <c r="B240" s="280"/>
      <c r="C240" s="453"/>
      <c r="D240" s="411"/>
      <c r="E240" s="254"/>
      <c r="F240" s="277"/>
      <c r="G240" s="450"/>
      <c r="H240" s="451"/>
      <c r="I240" s="433" t="str">
        <f t="shared" si="25"/>
        <v/>
      </c>
      <c r="J240" s="434">
        <f t="shared" si="26"/>
        <v>0</v>
      </c>
      <c r="K240" s="452"/>
      <c r="L240" s="276"/>
      <c r="M240" s="435"/>
      <c r="N240" s="417" t="str">
        <f t="shared" si="27"/>
        <v/>
      </c>
      <c r="O240" s="418" t="str">
        <f>IF('Data Set up'!$G$40="JUNE",IF(OR($N240=7,$N240=8,$N240=9),1,IF(OR($N240=10,$N240=11,$N240=12),2,IF(OR($N240=1,$N240=2,$N240=3),3,IF(OR($N240=4,$N240=5,$N240=6),4,"")))),IF(OR($N240=9,$N240=10,$N240=11),1,IF(OR($N240=12,$N240=1,$N240=2),2,IF(OR($N240=3,$N240=4,$N240=5),3,IF(OR($N240=6,$N240=7,$N240=8),4,"")))))</f>
        <v/>
      </c>
      <c r="P240" s="445"/>
      <c r="Q240" s="291"/>
      <c r="R240" s="291"/>
      <c r="S240" s="275"/>
      <c r="T240" s="275"/>
      <c r="U240" s="275"/>
      <c r="V240" s="275"/>
      <c r="W240" s="275"/>
      <c r="X240" s="275"/>
      <c r="Y240" s="275"/>
      <c r="Z240" s="275"/>
      <c r="AA240" s="275"/>
      <c r="AB240" s="275"/>
      <c r="AC240" s="275"/>
      <c r="AD240" s="275"/>
      <c r="AE240" s="275"/>
      <c r="AF240" s="275"/>
      <c r="AG240" s="275"/>
      <c r="AH240" s="438"/>
      <c r="AI240" s="439">
        <f t="shared" si="28"/>
        <v>0</v>
      </c>
      <c r="AJ240" s="263"/>
      <c r="AK240" s="263"/>
      <c r="AL240" s="263"/>
      <c r="AM240" s="263"/>
      <c r="AN240" s="263"/>
      <c r="AO240" s="263"/>
      <c r="AP240" s="263"/>
      <c r="AQ240" s="436"/>
      <c r="AR240" s="275"/>
      <c r="AS240" s="275"/>
      <c r="AT240" s="275"/>
      <c r="AU240" s="275"/>
      <c r="AV240" s="275"/>
      <c r="AW240" s="275"/>
      <c r="AX240" s="275"/>
      <c r="AY240" s="437"/>
      <c r="AZ240" s="440">
        <f t="shared" si="29"/>
        <v>0</v>
      </c>
      <c r="BA240" s="275"/>
      <c r="BB240" s="275"/>
      <c r="BC240" s="275"/>
      <c r="BD240" s="275"/>
      <c r="BE240" s="275"/>
      <c r="BF240" s="275"/>
      <c r="BG240" s="275"/>
      <c r="BH240" s="436"/>
      <c r="BI240" s="275"/>
      <c r="BJ240" s="275"/>
      <c r="BK240" s="291"/>
      <c r="BL240" s="291"/>
      <c r="BM240" s="275"/>
      <c r="BN240" s="275"/>
      <c r="BO240" s="438"/>
      <c r="BP240" s="436"/>
      <c r="BQ240" s="275"/>
      <c r="BR240" s="275"/>
      <c r="BS240" s="275"/>
      <c r="BT240" s="275"/>
      <c r="BU240" s="275"/>
      <c r="BV240" s="275"/>
      <c r="BW240" s="275"/>
      <c r="BX240" s="438"/>
      <c r="BY240" s="436"/>
      <c r="BZ240" s="275"/>
      <c r="CA240" s="275"/>
      <c r="CB240" s="275"/>
      <c r="CC240" s="275"/>
      <c r="CD240" s="275"/>
      <c r="CE240" s="275"/>
      <c r="CF240" s="275"/>
      <c r="CG240" s="438"/>
      <c r="CH240" s="436"/>
      <c r="CI240" s="275"/>
      <c r="CJ240" s="275"/>
      <c r="CK240" s="275"/>
      <c r="CL240" s="275"/>
      <c r="CM240" s="275"/>
      <c r="CN240" s="275"/>
      <c r="CO240" s="442"/>
      <c r="CP240" s="443"/>
      <c r="CQ240" s="429">
        <f t="shared" si="30"/>
        <v>0</v>
      </c>
      <c r="CR240" s="430"/>
    </row>
    <row r="241" spans="1:96" ht="25.5" customHeight="1" x14ac:dyDescent="0.2">
      <c r="A241" s="410">
        <f t="shared" si="31"/>
        <v>226</v>
      </c>
      <c r="B241" s="280"/>
      <c r="C241" s="453"/>
      <c r="D241" s="411"/>
      <c r="E241" s="254"/>
      <c r="F241" s="277"/>
      <c r="G241" s="450"/>
      <c r="H241" s="451"/>
      <c r="I241" s="433" t="str">
        <f t="shared" si="25"/>
        <v/>
      </c>
      <c r="J241" s="434">
        <f t="shared" si="26"/>
        <v>0</v>
      </c>
      <c r="K241" s="452"/>
      <c r="L241" s="276"/>
      <c r="M241" s="435"/>
      <c r="N241" s="417" t="str">
        <f t="shared" si="27"/>
        <v/>
      </c>
      <c r="O241" s="418" t="str">
        <f>IF('Data Set up'!$G$40="JUNE",IF(OR($N241=7,$N241=8,$N241=9),1,IF(OR($N241=10,$N241=11,$N241=12),2,IF(OR($N241=1,$N241=2,$N241=3),3,IF(OR($N241=4,$N241=5,$N241=6),4,"")))),IF(OR($N241=9,$N241=10,$N241=11),1,IF(OR($N241=12,$N241=1,$N241=2),2,IF(OR($N241=3,$N241=4,$N241=5),3,IF(OR($N241=6,$N241=7,$N241=8),4,"")))))</f>
        <v/>
      </c>
      <c r="P241" s="445"/>
      <c r="Q241" s="291"/>
      <c r="R241" s="291"/>
      <c r="S241" s="275"/>
      <c r="T241" s="275"/>
      <c r="U241" s="275"/>
      <c r="V241" s="275"/>
      <c r="W241" s="275"/>
      <c r="X241" s="275"/>
      <c r="Y241" s="275"/>
      <c r="Z241" s="275"/>
      <c r="AA241" s="275"/>
      <c r="AB241" s="275"/>
      <c r="AC241" s="275"/>
      <c r="AD241" s="275"/>
      <c r="AE241" s="275"/>
      <c r="AF241" s="275"/>
      <c r="AG241" s="275"/>
      <c r="AH241" s="438"/>
      <c r="AI241" s="439">
        <f t="shared" si="28"/>
        <v>0</v>
      </c>
      <c r="AJ241" s="263"/>
      <c r="AK241" s="263"/>
      <c r="AL241" s="263"/>
      <c r="AM241" s="263"/>
      <c r="AN241" s="263"/>
      <c r="AO241" s="263"/>
      <c r="AP241" s="263"/>
      <c r="AQ241" s="436"/>
      <c r="AR241" s="275"/>
      <c r="AS241" s="275"/>
      <c r="AT241" s="275"/>
      <c r="AU241" s="275"/>
      <c r="AV241" s="275"/>
      <c r="AW241" s="275"/>
      <c r="AX241" s="275"/>
      <c r="AY241" s="437"/>
      <c r="AZ241" s="440">
        <f t="shared" si="29"/>
        <v>0</v>
      </c>
      <c r="BA241" s="275"/>
      <c r="BB241" s="275"/>
      <c r="BC241" s="275"/>
      <c r="BD241" s="275"/>
      <c r="BE241" s="275"/>
      <c r="BF241" s="275"/>
      <c r="BG241" s="275"/>
      <c r="BH241" s="436"/>
      <c r="BI241" s="275"/>
      <c r="BJ241" s="275"/>
      <c r="BK241" s="291"/>
      <c r="BL241" s="291"/>
      <c r="BM241" s="275"/>
      <c r="BN241" s="275"/>
      <c r="BO241" s="438"/>
      <c r="BP241" s="436"/>
      <c r="BQ241" s="275"/>
      <c r="BR241" s="275"/>
      <c r="BS241" s="275"/>
      <c r="BT241" s="275"/>
      <c r="BU241" s="275"/>
      <c r="BV241" s="275"/>
      <c r="BW241" s="275"/>
      <c r="BX241" s="438"/>
      <c r="BY241" s="436"/>
      <c r="BZ241" s="275"/>
      <c r="CA241" s="275"/>
      <c r="CB241" s="275"/>
      <c r="CC241" s="275"/>
      <c r="CD241" s="275"/>
      <c r="CE241" s="275"/>
      <c r="CF241" s="275"/>
      <c r="CG241" s="438"/>
      <c r="CH241" s="436"/>
      <c r="CI241" s="275"/>
      <c r="CJ241" s="275"/>
      <c r="CK241" s="275"/>
      <c r="CL241" s="275"/>
      <c r="CM241" s="275"/>
      <c r="CN241" s="275"/>
      <c r="CO241" s="442"/>
      <c r="CP241" s="443"/>
      <c r="CQ241" s="429">
        <f t="shared" si="30"/>
        <v>0</v>
      </c>
      <c r="CR241" s="430"/>
    </row>
    <row r="242" spans="1:96" ht="25.5" customHeight="1" x14ac:dyDescent="0.2">
      <c r="A242" s="410">
        <f t="shared" si="31"/>
        <v>227</v>
      </c>
      <c r="B242" s="280"/>
      <c r="C242" s="453"/>
      <c r="D242" s="411"/>
      <c r="E242" s="254"/>
      <c r="F242" s="277"/>
      <c r="G242" s="450"/>
      <c r="H242" s="451"/>
      <c r="I242" s="433" t="str">
        <f t="shared" si="25"/>
        <v/>
      </c>
      <c r="J242" s="434">
        <f t="shared" si="26"/>
        <v>0</v>
      </c>
      <c r="K242" s="452"/>
      <c r="L242" s="276"/>
      <c r="M242" s="435"/>
      <c r="N242" s="417" t="str">
        <f t="shared" si="27"/>
        <v/>
      </c>
      <c r="O242" s="418" t="str">
        <f>IF('Data Set up'!$G$40="JUNE",IF(OR($N242=7,$N242=8,$N242=9),1,IF(OR($N242=10,$N242=11,$N242=12),2,IF(OR($N242=1,$N242=2,$N242=3),3,IF(OR($N242=4,$N242=5,$N242=6),4,"")))),IF(OR($N242=9,$N242=10,$N242=11),1,IF(OR($N242=12,$N242=1,$N242=2),2,IF(OR($N242=3,$N242=4,$N242=5),3,IF(OR($N242=6,$N242=7,$N242=8),4,"")))))</f>
        <v/>
      </c>
      <c r="P242" s="445"/>
      <c r="Q242" s="291"/>
      <c r="R242" s="291"/>
      <c r="S242" s="275"/>
      <c r="T242" s="275"/>
      <c r="U242" s="275"/>
      <c r="V242" s="275"/>
      <c r="W242" s="275"/>
      <c r="X242" s="275"/>
      <c r="Y242" s="275"/>
      <c r="Z242" s="275"/>
      <c r="AA242" s="275"/>
      <c r="AB242" s="275"/>
      <c r="AC242" s="275"/>
      <c r="AD242" s="275"/>
      <c r="AE242" s="275"/>
      <c r="AF242" s="275"/>
      <c r="AG242" s="275"/>
      <c r="AH242" s="438"/>
      <c r="AI242" s="439">
        <f t="shared" si="28"/>
        <v>0</v>
      </c>
      <c r="AJ242" s="263"/>
      <c r="AK242" s="263"/>
      <c r="AL242" s="263"/>
      <c r="AM242" s="263"/>
      <c r="AN242" s="263"/>
      <c r="AO242" s="263"/>
      <c r="AP242" s="263"/>
      <c r="AQ242" s="436"/>
      <c r="AR242" s="275"/>
      <c r="AS242" s="275"/>
      <c r="AT242" s="275"/>
      <c r="AU242" s="275"/>
      <c r="AV242" s="275"/>
      <c r="AW242" s="275"/>
      <c r="AX242" s="275"/>
      <c r="AY242" s="437"/>
      <c r="AZ242" s="440">
        <f t="shared" si="29"/>
        <v>0</v>
      </c>
      <c r="BA242" s="275"/>
      <c r="BB242" s="275"/>
      <c r="BC242" s="275"/>
      <c r="BD242" s="275"/>
      <c r="BE242" s="275"/>
      <c r="BF242" s="275"/>
      <c r="BG242" s="275"/>
      <c r="BH242" s="436"/>
      <c r="BI242" s="275"/>
      <c r="BJ242" s="275"/>
      <c r="BK242" s="291"/>
      <c r="BL242" s="291"/>
      <c r="BM242" s="275"/>
      <c r="BN242" s="275"/>
      <c r="BO242" s="438"/>
      <c r="BP242" s="436"/>
      <c r="BQ242" s="275"/>
      <c r="BR242" s="275"/>
      <c r="BS242" s="275"/>
      <c r="BT242" s="275"/>
      <c r="BU242" s="275"/>
      <c r="BV242" s="275"/>
      <c r="BW242" s="275"/>
      <c r="BX242" s="438"/>
      <c r="BY242" s="436"/>
      <c r="BZ242" s="275"/>
      <c r="CA242" s="275"/>
      <c r="CB242" s="275"/>
      <c r="CC242" s="275"/>
      <c r="CD242" s="275"/>
      <c r="CE242" s="275"/>
      <c r="CF242" s="275"/>
      <c r="CG242" s="438"/>
      <c r="CH242" s="436"/>
      <c r="CI242" s="275"/>
      <c r="CJ242" s="275"/>
      <c r="CK242" s="275"/>
      <c r="CL242" s="275"/>
      <c r="CM242" s="275"/>
      <c r="CN242" s="275"/>
      <c r="CO242" s="442"/>
      <c r="CP242" s="443"/>
      <c r="CQ242" s="429">
        <f t="shared" si="30"/>
        <v>0</v>
      </c>
      <c r="CR242" s="430"/>
    </row>
    <row r="243" spans="1:96" ht="25.5" customHeight="1" x14ac:dyDescent="0.2">
      <c r="A243" s="410">
        <f t="shared" si="31"/>
        <v>228</v>
      </c>
      <c r="B243" s="280"/>
      <c r="C243" s="453"/>
      <c r="D243" s="411"/>
      <c r="E243" s="254"/>
      <c r="F243" s="277"/>
      <c r="G243" s="450"/>
      <c r="H243" s="451"/>
      <c r="I243" s="433" t="str">
        <f t="shared" si="25"/>
        <v/>
      </c>
      <c r="J243" s="434">
        <f t="shared" si="26"/>
        <v>0</v>
      </c>
      <c r="K243" s="452"/>
      <c r="L243" s="276"/>
      <c r="M243" s="435"/>
      <c r="N243" s="417" t="str">
        <f t="shared" si="27"/>
        <v/>
      </c>
      <c r="O243" s="418" t="str">
        <f>IF('Data Set up'!$G$40="JUNE",IF(OR($N243=7,$N243=8,$N243=9),1,IF(OR($N243=10,$N243=11,$N243=12),2,IF(OR($N243=1,$N243=2,$N243=3),3,IF(OR($N243=4,$N243=5,$N243=6),4,"")))),IF(OR($N243=9,$N243=10,$N243=11),1,IF(OR($N243=12,$N243=1,$N243=2),2,IF(OR($N243=3,$N243=4,$N243=5),3,IF(OR($N243=6,$N243=7,$N243=8),4,"")))))</f>
        <v/>
      </c>
      <c r="P243" s="445"/>
      <c r="Q243" s="291"/>
      <c r="R243" s="291"/>
      <c r="S243" s="275"/>
      <c r="T243" s="275"/>
      <c r="U243" s="275"/>
      <c r="V243" s="275"/>
      <c r="W243" s="275"/>
      <c r="X243" s="275"/>
      <c r="Y243" s="275"/>
      <c r="Z243" s="275"/>
      <c r="AA243" s="275"/>
      <c r="AB243" s="275"/>
      <c r="AC243" s="275"/>
      <c r="AD243" s="275"/>
      <c r="AE243" s="275"/>
      <c r="AF243" s="275"/>
      <c r="AG243" s="275"/>
      <c r="AH243" s="438"/>
      <c r="AI243" s="439">
        <f t="shared" si="28"/>
        <v>0</v>
      </c>
      <c r="AJ243" s="263"/>
      <c r="AK243" s="263"/>
      <c r="AL243" s="263"/>
      <c r="AM243" s="263"/>
      <c r="AN243" s="263"/>
      <c r="AO243" s="263"/>
      <c r="AP243" s="263"/>
      <c r="AQ243" s="436"/>
      <c r="AR243" s="275"/>
      <c r="AS243" s="275"/>
      <c r="AT243" s="275"/>
      <c r="AU243" s="275"/>
      <c r="AV243" s="275"/>
      <c r="AW243" s="275"/>
      <c r="AX243" s="275"/>
      <c r="AY243" s="437"/>
      <c r="AZ243" s="440">
        <f t="shared" si="29"/>
        <v>0</v>
      </c>
      <c r="BA243" s="275"/>
      <c r="BB243" s="275"/>
      <c r="BC243" s="275"/>
      <c r="BD243" s="275"/>
      <c r="BE243" s="275"/>
      <c r="BF243" s="275"/>
      <c r="BG243" s="275"/>
      <c r="BH243" s="436"/>
      <c r="BI243" s="275"/>
      <c r="BJ243" s="275"/>
      <c r="BK243" s="291"/>
      <c r="BL243" s="291"/>
      <c r="BM243" s="275"/>
      <c r="BN243" s="275"/>
      <c r="BO243" s="438"/>
      <c r="BP243" s="436"/>
      <c r="BQ243" s="275"/>
      <c r="BR243" s="275"/>
      <c r="BS243" s="275"/>
      <c r="BT243" s="275"/>
      <c r="BU243" s="275"/>
      <c r="BV243" s="275"/>
      <c r="BW243" s="275"/>
      <c r="BX243" s="438"/>
      <c r="BY243" s="436"/>
      <c r="BZ243" s="275"/>
      <c r="CA243" s="275"/>
      <c r="CB243" s="275"/>
      <c r="CC243" s="275"/>
      <c r="CD243" s="275"/>
      <c r="CE243" s="275"/>
      <c r="CF243" s="275"/>
      <c r="CG243" s="438"/>
      <c r="CH243" s="436"/>
      <c r="CI243" s="275"/>
      <c r="CJ243" s="275"/>
      <c r="CK243" s="275"/>
      <c r="CL243" s="275"/>
      <c r="CM243" s="275"/>
      <c r="CN243" s="275"/>
      <c r="CO243" s="442"/>
      <c r="CP243" s="443"/>
      <c r="CQ243" s="429">
        <f t="shared" si="30"/>
        <v>0</v>
      </c>
      <c r="CR243" s="430"/>
    </row>
    <row r="244" spans="1:96" ht="25.5" customHeight="1" x14ac:dyDescent="0.2">
      <c r="A244" s="410">
        <f t="shared" si="31"/>
        <v>229</v>
      </c>
      <c r="B244" s="280"/>
      <c r="C244" s="453"/>
      <c r="D244" s="411"/>
      <c r="E244" s="254"/>
      <c r="F244" s="277"/>
      <c r="G244" s="450"/>
      <c r="H244" s="451"/>
      <c r="I244" s="433" t="str">
        <f t="shared" si="25"/>
        <v/>
      </c>
      <c r="J244" s="434">
        <f t="shared" si="26"/>
        <v>0</v>
      </c>
      <c r="K244" s="452"/>
      <c r="L244" s="276"/>
      <c r="M244" s="435"/>
      <c r="N244" s="417" t="str">
        <f t="shared" si="27"/>
        <v/>
      </c>
      <c r="O244" s="418" t="str">
        <f>IF('Data Set up'!$G$40="JUNE",IF(OR($N244=7,$N244=8,$N244=9),1,IF(OR($N244=10,$N244=11,$N244=12),2,IF(OR($N244=1,$N244=2,$N244=3),3,IF(OR($N244=4,$N244=5,$N244=6),4,"")))),IF(OR($N244=9,$N244=10,$N244=11),1,IF(OR($N244=12,$N244=1,$N244=2),2,IF(OR($N244=3,$N244=4,$N244=5),3,IF(OR($N244=6,$N244=7,$N244=8),4,"")))))</f>
        <v/>
      </c>
      <c r="P244" s="445"/>
      <c r="Q244" s="291"/>
      <c r="R244" s="291"/>
      <c r="S244" s="275"/>
      <c r="T244" s="275"/>
      <c r="U244" s="275"/>
      <c r="V244" s="275"/>
      <c r="W244" s="275"/>
      <c r="X244" s="275"/>
      <c r="Y244" s="275"/>
      <c r="Z244" s="275"/>
      <c r="AA244" s="275"/>
      <c r="AB244" s="275"/>
      <c r="AC244" s="275"/>
      <c r="AD244" s="275"/>
      <c r="AE244" s="275"/>
      <c r="AF244" s="275"/>
      <c r="AG244" s="275"/>
      <c r="AH244" s="438"/>
      <c r="AI244" s="439">
        <f t="shared" si="28"/>
        <v>0</v>
      </c>
      <c r="AJ244" s="263"/>
      <c r="AK244" s="263"/>
      <c r="AL244" s="263"/>
      <c r="AM244" s="263"/>
      <c r="AN244" s="263"/>
      <c r="AO244" s="263"/>
      <c r="AP244" s="263"/>
      <c r="AQ244" s="436"/>
      <c r="AR244" s="275"/>
      <c r="AS244" s="275"/>
      <c r="AT244" s="275"/>
      <c r="AU244" s="275"/>
      <c r="AV244" s="275"/>
      <c r="AW244" s="275"/>
      <c r="AX244" s="275"/>
      <c r="AY244" s="437"/>
      <c r="AZ244" s="440">
        <f t="shared" si="29"/>
        <v>0</v>
      </c>
      <c r="BA244" s="275"/>
      <c r="BB244" s="275"/>
      <c r="BC244" s="275"/>
      <c r="BD244" s="275"/>
      <c r="BE244" s="275"/>
      <c r="BF244" s="275"/>
      <c r="BG244" s="275"/>
      <c r="BH244" s="436"/>
      <c r="BI244" s="275"/>
      <c r="BJ244" s="275"/>
      <c r="BK244" s="291"/>
      <c r="BL244" s="291"/>
      <c r="BM244" s="275"/>
      <c r="BN244" s="275"/>
      <c r="BO244" s="438"/>
      <c r="BP244" s="436"/>
      <c r="BQ244" s="275"/>
      <c r="BR244" s="275"/>
      <c r="BS244" s="275"/>
      <c r="BT244" s="275"/>
      <c r="BU244" s="275"/>
      <c r="BV244" s="275"/>
      <c r="BW244" s="275"/>
      <c r="BX244" s="438"/>
      <c r="BY244" s="436"/>
      <c r="BZ244" s="275"/>
      <c r="CA244" s="275"/>
      <c r="CB244" s="275"/>
      <c r="CC244" s="275"/>
      <c r="CD244" s="275"/>
      <c r="CE244" s="275"/>
      <c r="CF244" s="275"/>
      <c r="CG244" s="438"/>
      <c r="CH244" s="436"/>
      <c r="CI244" s="275"/>
      <c r="CJ244" s="275"/>
      <c r="CK244" s="275"/>
      <c r="CL244" s="275"/>
      <c r="CM244" s="275"/>
      <c r="CN244" s="275"/>
      <c r="CO244" s="442"/>
      <c r="CP244" s="443"/>
      <c r="CQ244" s="429">
        <f t="shared" si="30"/>
        <v>0</v>
      </c>
      <c r="CR244" s="430"/>
    </row>
    <row r="245" spans="1:96" ht="25.5" customHeight="1" x14ac:dyDescent="0.2">
      <c r="A245" s="410">
        <f t="shared" si="31"/>
        <v>230</v>
      </c>
      <c r="B245" s="280"/>
      <c r="C245" s="453"/>
      <c r="D245" s="411"/>
      <c r="E245" s="254"/>
      <c r="F245" s="277"/>
      <c r="G245" s="450"/>
      <c r="H245" s="451"/>
      <c r="I245" s="433" t="str">
        <f t="shared" si="25"/>
        <v/>
      </c>
      <c r="J245" s="434">
        <f t="shared" si="26"/>
        <v>0</v>
      </c>
      <c r="K245" s="452"/>
      <c r="L245" s="276"/>
      <c r="M245" s="435"/>
      <c r="N245" s="417" t="str">
        <f t="shared" si="27"/>
        <v/>
      </c>
      <c r="O245" s="418" t="str">
        <f>IF('Data Set up'!$G$40="JUNE",IF(OR($N245=7,$N245=8,$N245=9),1,IF(OR($N245=10,$N245=11,$N245=12),2,IF(OR($N245=1,$N245=2,$N245=3),3,IF(OR($N245=4,$N245=5,$N245=6),4,"")))),IF(OR($N245=9,$N245=10,$N245=11),1,IF(OR($N245=12,$N245=1,$N245=2),2,IF(OR($N245=3,$N245=4,$N245=5),3,IF(OR($N245=6,$N245=7,$N245=8),4,"")))))</f>
        <v/>
      </c>
      <c r="P245" s="445"/>
      <c r="Q245" s="291"/>
      <c r="R245" s="291"/>
      <c r="S245" s="275"/>
      <c r="T245" s="275"/>
      <c r="U245" s="275"/>
      <c r="V245" s="275"/>
      <c r="W245" s="275"/>
      <c r="X245" s="275"/>
      <c r="Y245" s="275"/>
      <c r="Z245" s="275"/>
      <c r="AA245" s="275"/>
      <c r="AB245" s="275"/>
      <c r="AC245" s="275"/>
      <c r="AD245" s="275"/>
      <c r="AE245" s="275"/>
      <c r="AF245" s="275"/>
      <c r="AG245" s="275"/>
      <c r="AH245" s="438"/>
      <c r="AI245" s="439">
        <f t="shared" si="28"/>
        <v>0</v>
      </c>
      <c r="AJ245" s="263"/>
      <c r="AK245" s="263"/>
      <c r="AL245" s="263"/>
      <c r="AM245" s="263"/>
      <c r="AN245" s="263"/>
      <c r="AO245" s="263"/>
      <c r="AP245" s="263"/>
      <c r="AQ245" s="436"/>
      <c r="AR245" s="275"/>
      <c r="AS245" s="275"/>
      <c r="AT245" s="275"/>
      <c r="AU245" s="275"/>
      <c r="AV245" s="275"/>
      <c r="AW245" s="275"/>
      <c r="AX245" s="275"/>
      <c r="AY245" s="437"/>
      <c r="AZ245" s="440">
        <f t="shared" si="29"/>
        <v>0</v>
      </c>
      <c r="BA245" s="275"/>
      <c r="BB245" s="275"/>
      <c r="BC245" s="275"/>
      <c r="BD245" s="275"/>
      <c r="BE245" s="275"/>
      <c r="BF245" s="275"/>
      <c r="BG245" s="275"/>
      <c r="BH245" s="436"/>
      <c r="BI245" s="275"/>
      <c r="BJ245" s="275"/>
      <c r="BK245" s="291"/>
      <c r="BL245" s="291"/>
      <c r="BM245" s="275"/>
      <c r="BN245" s="275"/>
      <c r="BO245" s="438"/>
      <c r="BP245" s="436"/>
      <c r="BQ245" s="275"/>
      <c r="BR245" s="275"/>
      <c r="BS245" s="275"/>
      <c r="BT245" s="275"/>
      <c r="BU245" s="275"/>
      <c r="BV245" s="275"/>
      <c r="BW245" s="275"/>
      <c r="BX245" s="438"/>
      <c r="BY245" s="436"/>
      <c r="BZ245" s="275"/>
      <c r="CA245" s="275"/>
      <c r="CB245" s="275"/>
      <c r="CC245" s="275"/>
      <c r="CD245" s="275"/>
      <c r="CE245" s="275"/>
      <c r="CF245" s="275"/>
      <c r="CG245" s="438"/>
      <c r="CH245" s="436"/>
      <c r="CI245" s="275"/>
      <c r="CJ245" s="275"/>
      <c r="CK245" s="275"/>
      <c r="CL245" s="275"/>
      <c r="CM245" s="275"/>
      <c r="CN245" s="275"/>
      <c r="CO245" s="442"/>
      <c r="CP245" s="443"/>
      <c r="CQ245" s="429">
        <f t="shared" si="30"/>
        <v>0</v>
      </c>
      <c r="CR245" s="430"/>
    </row>
    <row r="246" spans="1:96" ht="25.5" customHeight="1" x14ac:dyDescent="0.2">
      <c r="A246" s="410">
        <f t="shared" si="31"/>
        <v>231</v>
      </c>
      <c r="B246" s="280"/>
      <c r="C246" s="453"/>
      <c r="D246" s="411"/>
      <c r="E246" s="254"/>
      <c r="F246" s="277"/>
      <c r="G246" s="450"/>
      <c r="H246" s="451"/>
      <c r="I246" s="433" t="str">
        <f t="shared" si="25"/>
        <v/>
      </c>
      <c r="J246" s="434">
        <f t="shared" si="26"/>
        <v>0</v>
      </c>
      <c r="K246" s="452"/>
      <c r="L246" s="276"/>
      <c r="M246" s="435"/>
      <c r="N246" s="417" t="str">
        <f t="shared" si="27"/>
        <v/>
      </c>
      <c r="O246" s="418" t="str">
        <f>IF('Data Set up'!$G$40="JUNE",IF(OR($N246=7,$N246=8,$N246=9),1,IF(OR($N246=10,$N246=11,$N246=12),2,IF(OR($N246=1,$N246=2,$N246=3),3,IF(OR($N246=4,$N246=5,$N246=6),4,"")))),IF(OR($N246=9,$N246=10,$N246=11),1,IF(OR($N246=12,$N246=1,$N246=2),2,IF(OR($N246=3,$N246=4,$N246=5),3,IF(OR($N246=6,$N246=7,$N246=8),4,"")))))</f>
        <v/>
      </c>
      <c r="P246" s="445"/>
      <c r="Q246" s="291"/>
      <c r="R246" s="291"/>
      <c r="S246" s="275"/>
      <c r="T246" s="275"/>
      <c r="U246" s="275"/>
      <c r="V246" s="275"/>
      <c r="W246" s="275"/>
      <c r="X246" s="275"/>
      <c r="Y246" s="275"/>
      <c r="Z246" s="275"/>
      <c r="AA246" s="275"/>
      <c r="AB246" s="275"/>
      <c r="AC246" s="275"/>
      <c r="AD246" s="275"/>
      <c r="AE246" s="275"/>
      <c r="AF246" s="275"/>
      <c r="AG246" s="275"/>
      <c r="AH246" s="438"/>
      <c r="AI246" s="439">
        <f t="shared" si="28"/>
        <v>0</v>
      </c>
      <c r="AJ246" s="263"/>
      <c r="AK246" s="263"/>
      <c r="AL246" s="263"/>
      <c r="AM246" s="263"/>
      <c r="AN246" s="263"/>
      <c r="AO246" s="263"/>
      <c r="AP246" s="263"/>
      <c r="AQ246" s="436"/>
      <c r="AR246" s="275"/>
      <c r="AS246" s="275"/>
      <c r="AT246" s="275"/>
      <c r="AU246" s="275"/>
      <c r="AV246" s="275"/>
      <c r="AW246" s="275"/>
      <c r="AX246" s="275"/>
      <c r="AY246" s="437"/>
      <c r="AZ246" s="440">
        <f t="shared" si="29"/>
        <v>0</v>
      </c>
      <c r="BA246" s="275"/>
      <c r="BB246" s="275"/>
      <c r="BC246" s="275"/>
      <c r="BD246" s="275"/>
      <c r="BE246" s="275"/>
      <c r="BF246" s="275"/>
      <c r="BG246" s="275"/>
      <c r="BH246" s="436"/>
      <c r="BI246" s="275"/>
      <c r="BJ246" s="275"/>
      <c r="BK246" s="291"/>
      <c r="BL246" s="291"/>
      <c r="BM246" s="275"/>
      <c r="BN246" s="275"/>
      <c r="BO246" s="438"/>
      <c r="BP246" s="436"/>
      <c r="BQ246" s="275"/>
      <c r="BR246" s="275"/>
      <c r="BS246" s="275"/>
      <c r="BT246" s="275"/>
      <c r="BU246" s="275"/>
      <c r="BV246" s="275"/>
      <c r="BW246" s="275"/>
      <c r="BX246" s="438"/>
      <c r="BY246" s="436"/>
      <c r="BZ246" s="275"/>
      <c r="CA246" s="275"/>
      <c r="CB246" s="275"/>
      <c r="CC246" s="275"/>
      <c r="CD246" s="275"/>
      <c r="CE246" s="275"/>
      <c r="CF246" s="275"/>
      <c r="CG246" s="438"/>
      <c r="CH246" s="436"/>
      <c r="CI246" s="275"/>
      <c r="CJ246" s="275"/>
      <c r="CK246" s="275"/>
      <c r="CL246" s="275"/>
      <c r="CM246" s="275"/>
      <c r="CN246" s="275"/>
      <c r="CO246" s="442"/>
      <c r="CP246" s="443"/>
      <c r="CQ246" s="429">
        <f t="shared" si="30"/>
        <v>0</v>
      </c>
      <c r="CR246" s="430"/>
    </row>
    <row r="247" spans="1:96" ht="25.5" customHeight="1" x14ac:dyDescent="0.2">
      <c r="A247" s="410">
        <f t="shared" si="31"/>
        <v>232</v>
      </c>
      <c r="B247" s="280"/>
      <c r="C247" s="453"/>
      <c r="D247" s="411"/>
      <c r="E247" s="254"/>
      <c r="F247" s="277"/>
      <c r="G247" s="450"/>
      <c r="H247" s="451"/>
      <c r="I247" s="433" t="str">
        <f t="shared" si="25"/>
        <v/>
      </c>
      <c r="J247" s="434">
        <f t="shared" si="26"/>
        <v>0</v>
      </c>
      <c r="K247" s="452"/>
      <c r="L247" s="276"/>
      <c r="M247" s="435"/>
      <c r="N247" s="417" t="str">
        <f t="shared" si="27"/>
        <v/>
      </c>
      <c r="O247" s="418" t="str">
        <f>IF('Data Set up'!$G$40="JUNE",IF(OR($N247=7,$N247=8,$N247=9),1,IF(OR($N247=10,$N247=11,$N247=12),2,IF(OR($N247=1,$N247=2,$N247=3),3,IF(OR($N247=4,$N247=5,$N247=6),4,"")))),IF(OR($N247=9,$N247=10,$N247=11),1,IF(OR($N247=12,$N247=1,$N247=2),2,IF(OR($N247=3,$N247=4,$N247=5),3,IF(OR($N247=6,$N247=7,$N247=8),4,"")))))</f>
        <v/>
      </c>
      <c r="P247" s="445"/>
      <c r="Q247" s="291"/>
      <c r="R247" s="291"/>
      <c r="S247" s="275"/>
      <c r="T247" s="275"/>
      <c r="U247" s="275"/>
      <c r="V247" s="275"/>
      <c r="W247" s="275"/>
      <c r="X247" s="275"/>
      <c r="Y247" s="275"/>
      <c r="Z247" s="275"/>
      <c r="AA247" s="275"/>
      <c r="AB247" s="275"/>
      <c r="AC247" s="275"/>
      <c r="AD247" s="275"/>
      <c r="AE247" s="275"/>
      <c r="AF247" s="275"/>
      <c r="AG247" s="275"/>
      <c r="AH247" s="438"/>
      <c r="AI247" s="439">
        <f t="shared" si="28"/>
        <v>0</v>
      </c>
      <c r="AJ247" s="263"/>
      <c r="AK247" s="263"/>
      <c r="AL247" s="263"/>
      <c r="AM247" s="263"/>
      <c r="AN247" s="263"/>
      <c r="AO247" s="263"/>
      <c r="AP247" s="263"/>
      <c r="AQ247" s="436"/>
      <c r="AR247" s="275"/>
      <c r="AS247" s="275"/>
      <c r="AT247" s="275"/>
      <c r="AU247" s="275"/>
      <c r="AV247" s="275"/>
      <c r="AW247" s="275"/>
      <c r="AX247" s="275"/>
      <c r="AY247" s="437"/>
      <c r="AZ247" s="440">
        <f t="shared" si="29"/>
        <v>0</v>
      </c>
      <c r="BA247" s="275"/>
      <c r="BB247" s="275"/>
      <c r="BC247" s="275"/>
      <c r="BD247" s="275"/>
      <c r="BE247" s="275"/>
      <c r="BF247" s="275"/>
      <c r="BG247" s="275"/>
      <c r="BH247" s="436"/>
      <c r="BI247" s="275"/>
      <c r="BJ247" s="275"/>
      <c r="BK247" s="291"/>
      <c r="BL247" s="291"/>
      <c r="BM247" s="275"/>
      <c r="BN247" s="275"/>
      <c r="BO247" s="438"/>
      <c r="BP247" s="436"/>
      <c r="BQ247" s="275"/>
      <c r="BR247" s="275"/>
      <c r="BS247" s="275"/>
      <c r="BT247" s="275"/>
      <c r="BU247" s="275"/>
      <c r="BV247" s="275"/>
      <c r="BW247" s="275"/>
      <c r="BX247" s="438"/>
      <c r="BY247" s="436"/>
      <c r="BZ247" s="275"/>
      <c r="CA247" s="275"/>
      <c r="CB247" s="275"/>
      <c r="CC247" s="275"/>
      <c r="CD247" s="275"/>
      <c r="CE247" s="275"/>
      <c r="CF247" s="275"/>
      <c r="CG247" s="438"/>
      <c r="CH247" s="436"/>
      <c r="CI247" s="275"/>
      <c r="CJ247" s="275"/>
      <c r="CK247" s="275"/>
      <c r="CL247" s="275"/>
      <c r="CM247" s="275"/>
      <c r="CN247" s="275"/>
      <c r="CO247" s="442"/>
      <c r="CP247" s="443"/>
      <c r="CQ247" s="429">
        <f t="shared" si="30"/>
        <v>0</v>
      </c>
      <c r="CR247" s="430"/>
    </row>
    <row r="248" spans="1:96" ht="25.5" customHeight="1" x14ac:dyDescent="0.2">
      <c r="A248" s="410">
        <f t="shared" si="31"/>
        <v>233</v>
      </c>
      <c r="B248" s="280"/>
      <c r="C248" s="453"/>
      <c r="D248" s="411"/>
      <c r="E248" s="254"/>
      <c r="F248" s="277"/>
      <c r="G248" s="450"/>
      <c r="H248" s="451"/>
      <c r="I248" s="433" t="str">
        <f t="shared" si="25"/>
        <v/>
      </c>
      <c r="J248" s="434">
        <f t="shared" si="26"/>
        <v>0</v>
      </c>
      <c r="K248" s="452"/>
      <c r="L248" s="276"/>
      <c r="M248" s="435"/>
      <c r="N248" s="417" t="str">
        <f t="shared" si="27"/>
        <v/>
      </c>
      <c r="O248" s="418" t="str">
        <f>IF('Data Set up'!$G$40="JUNE",IF(OR($N248=7,$N248=8,$N248=9),1,IF(OR($N248=10,$N248=11,$N248=12),2,IF(OR($N248=1,$N248=2,$N248=3),3,IF(OR($N248=4,$N248=5,$N248=6),4,"")))),IF(OR($N248=9,$N248=10,$N248=11),1,IF(OR($N248=12,$N248=1,$N248=2),2,IF(OR($N248=3,$N248=4,$N248=5),3,IF(OR($N248=6,$N248=7,$N248=8),4,"")))))</f>
        <v/>
      </c>
      <c r="P248" s="445"/>
      <c r="Q248" s="291"/>
      <c r="R248" s="291"/>
      <c r="S248" s="275"/>
      <c r="T248" s="275"/>
      <c r="U248" s="275"/>
      <c r="V248" s="275"/>
      <c r="W248" s="275"/>
      <c r="X248" s="275"/>
      <c r="Y248" s="275"/>
      <c r="Z248" s="275"/>
      <c r="AA248" s="275"/>
      <c r="AB248" s="275"/>
      <c r="AC248" s="275"/>
      <c r="AD248" s="275"/>
      <c r="AE248" s="275"/>
      <c r="AF248" s="275"/>
      <c r="AG248" s="275"/>
      <c r="AH248" s="438"/>
      <c r="AI248" s="439">
        <f t="shared" si="28"/>
        <v>0</v>
      </c>
      <c r="AJ248" s="263"/>
      <c r="AK248" s="263"/>
      <c r="AL248" s="263"/>
      <c r="AM248" s="263"/>
      <c r="AN248" s="263"/>
      <c r="AO248" s="263"/>
      <c r="AP248" s="263"/>
      <c r="AQ248" s="436"/>
      <c r="AR248" s="275"/>
      <c r="AS248" s="275"/>
      <c r="AT248" s="275"/>
      <c r="AU248" s="275"/>
      <c r="AV248" s="275"/>
      <c r="AW248" s="275"/>
      <c r="AX248" s="275"/>
      <c r="AY248" s="437"/>
      <c r="AZ248" s="440">
        <f t="shared" si="29"/>
        <v>0</v>
      </c>
      <c r="BA248" s="275"/>
      <c r="BB248" s="275"/>
      <c r="BC248" s="275"/>
      <c r="BD248" s="275"/>
      <c r="BE248" s="275"/>
      <c r="BF248" s="275"/>
      <c r="BG248" s="275"/>
      <c r="BH248" s="436"/>
      <c r="BI248" s="275"/>
      <c r="BJ248" s="275"/>
      <c r="BK248" s="291"/>
      <c r="BL248" s="291"/>
      <c r="BM248" s="275"/>
      <c r="BN248" s="275"/>
      <c r="BO248" s="438"/>
      <c r="BP248" s="436"/>
      <c r="BQ248" s="275"/>
      <c r="BR248" s="275"/>
      <c r="BS248" s="275"/>
      <c r="BT248" s="275"/>
      <c r="BU248" s="275"/>
      <c r="BV248" s="275"/>
      <c r="BW248" s="275"/>
      <c r="BX248" s="438"/>
      <c r="BY248" s="436"/>
      <c r="BZ248" s="275"/>
      <c r="CA248" s="275"/>
      <c r="CB248" s="275"/>
      <c r="CC248" s="275"/>
      <c r="CD248" s="275"/>
      <c r="CE248" s="275"/>
      <c r="CF248" s="275"/>
      <c r="CG248" s="438"/>
      <c r="CH248" s="436"/>
      <c r="CI248" s="275"/>
      <c r="CJ248" s="275"/>
      <c r="CK248" s="275"/>
      <c r="CL248" s="275"/>
      <c r="CM248" s="275"/>
      <c r="CN248" s="275"/>
      <c r="CO248" s="442"/>
      <c r="CP248" s="443"/>
      <c r="CQ248" s="429">
        <f t="shared" si="30"/>
        <v>0</v>
      </c>
      <c r="CR248" s="430"/>
    </row>
    <row r="249" spans="1:96" ht="25.5" customHeight="1" x14ac:dyDescent="0.2">
      <c r="A249" s="410">
        <f t="shared" si="31"/>
        <v>234</v>
      </c>
      <c r="B249" s="280"/>
      <c r="C249" s="453"/>
      <c r="D249" s="411"/>
      <c r="E249" s="254"/>
      <c r="F249" s="277"/>
      <c r="G249" s="450"/>
      <c r="H249" s="451"/>
      <c r="I249" s="433" t="str">
        <f t="shared" si="25"/>
        <v/>
      </c>
      <c r="J249" s="434">
        <f t="shared" si="26"/>
        <v>0</v>
      </c>
      <c r="K249" s="452"/>
      <c r="L249" s="276"/>
      <c r="M249" s="435"/>
      <c r="N249" s="417" t="str">
        <f t="shared" si="27"/>
        <v/>
      </c>
      <c r="O249" s="418" t="str">
        <f>IF('Data Set up'!$G$40="JUNE",IF(OR($N249=7,$N249=8,$N249=9),1,IF(OR($N249=10,$N249=11,$N249=12),2,IF(OR($N249=1,$N249=2,$N249=3),3,IF(OR($N249=4,$N249=5,$N249=6),4,"")))),IF(OR($N249=9,$N249=10,$N249=11),1,IF(OR($N249=12,$N249=1,$N249=2),2,IF(OR($N249=3,$N249=4,$N249=5),3,IF(OR($N249=6,$N249=7,$N249=8),4,"")))))</f>
        <v/>
      </c>
      <c r="P249" s="445"/>
      <c r="Q249" s="291"/>
      <c r="R249" s="291"/>
      <c r="S249" s="275"/>
      <c r="T249" s="275"/>
      <c r="U249" s="275"/>
      <c r="V249" s="275"/>
      <c r="W249" s="275"/>
      <c r="X249" s="275"/>
      <c r="Y249" s="275"/>
      <c r="Z249" s="275"/>
      <c r="AA249" s="275"/>
      <c r="AB249" s="275"/>
      <c r="AC249" s="275"/>
      <c r="AD249" s="275"/>
      <c r="AE249" s="275"/>
      <c r="AF249" s="275"/>
      <c r="AG249" s="275"/>
      <c r="AH249" s="438"/>
      <c r="AI249" s="439">
        <f t="shared" si="28"/>
        <v>0</v>
      </c>
      <c r="AJ249" s="263"/>
      <c r="AK249" s="263"/>
      <c r="AL249" s="263"/>
      <c r="AM249" s="263"/>
      <c r="AN249" s="263"/>
      <c r="AO249" s="263"/>
      <c r="AP249" s="263"/>
      <c r="AQ249" s="436"/>
      <c r="AR249" s="275"/>
      <c r="AS249" s="275"/>
      <c r="AT249" s="275"/>
      <c r="AU249" s="275"/>
      <c r="AV249" s="275"/>
      <c r="AW249" s="275"/>
      <c r="AX249" s="275"/>
      <c r="AY249" s="437"/>
      <c r="AZ249" s="440">
        <f t="shared" si="29"/>
        <v>0</v>
      </c>
      <c r="BA249" s="275"/>
      <c r="BB249" s="275"/>
      <c r="BC249" s="275"/>
      <c r="BD249" s="275"/>
      <c r="BE249" s="275"/>
      <c r="BF249" s="275"/>
      <c r="BG249" s="275"/>
      <c r="BH249" s="436"/>
      <c r="BI249" s="275"/>
      <c r="BJ249" s="275"/>
      <c r="BK249" s="291"/>
      <c r="BL249" s="291"/>
      <c r="BM249" s="275"/>
      <c r="BN249" s="275"/>
      <c r="BO249" s="438"/>
      <c r="BP249" s="436"/>
      <c r="BQ249" s="275"/>
      <c r="BR249" s="275"/>
      <c r="BS249" s="275"/>
      <c r="BT249" s="275"/>
      <c r="BU249" s="275"/>
      <c r="BV249" s="275"/>
      <c r="BW249" s="275"/>
      <c r="BX249" s="438"/>
      <c r="BY249" s="436"/>
      <c r="BZ249" s="275"/>
      <c r="CA249" s="275"/>
      <c r="CB249" s="275"/>
      <c r="CC249" s="275"/>
      <c r="CD249" s="275"/>
      <c r="CE249" s="275"/>
      <c r="CF249" s="275"/>
      <c r="CG249" s="438"/>
      <c r="CH249" s="436"/>
      <c r="CI249" s="275"/>
      <c r="CJ249" s="275"/>
      <c r="CK249" s="275"/>
      <c r="CL249" s="275"/>
      <c r="CM249" s="275"/>
      <c r="CN249" s="275"/>
      <c r="CO249" s="442"/>
      <c r="CP249" s="443"/>
      <c r="CQ249" s="429">
        <f t="shared" si="30"/>
        <v>0</v>
      </c>
      <c r="CR249" s="430"/>
    </row>
    <row r="250" spans="1:96" ht="25.5" customHeight="1" x14ac:dyDescent="0.2">
      <c r="A250" s="410">
        <f t="shared" si="31"/>
        <v>235</v>
      </c>
      <c r="B250" s="280"/>
      <c r="C250" s="453"/>
      <c r="D250" s="411"/>
      <c r="E250" s="254"/>
      <c r="F250" s="277"/>
      <c r="G250" s="450"/>
      <c r="H250" s="451"/>
      <c r="I250" s="433" t="str">
        <f t="shared" si="25"/>
        <v/>
      </c>
      <c r="J250" s="434">
        <f t="shared" si="26"/>
        <v>0</v>
      </c>
      <c r="K250" s="452"/>
      <c r="L250" s="276"/>
      <c r="M250" s="435"/>
      <c r="N250" s="417" t="str">
        <f t="shared" si="27"/>
        <v/>
      </c>
      <c r="O250" s="418" t="str">
        <f>IF('Data Set up'!$G$40="JUNE",IF(OR($N250=7,$N250=8,$N250=9),1,IF(OR($N250=10,$N250=11,$N250=12),2,IF(OR($N250=1,$N250=2,$N250=3),3,IF(OR($N250=4,$N250=5,$N250=6),4,"")))),IF(OR($N250=9,$N250=10,$N250=11),1,IF(OR($N250=12,$N250=1,$N250=2),2,IF(OR($N250=3,$N250=4,$N250=5),3,IF(OR($N250=6,$N250=7,$N250=8),4,"")))))</f>
        <v/>
      </c>
      <c r="P250" s="445"/>
      <c r="Q250" s="291"/>
      <c r="R250" s="291"/>
      <c r="S250" s="275"/>
      <c r="T250" s="275"/>
      <c r="U250" s="275"/>
      <c r="V250" s="275"/>
      <c r="W250" s="275"/>
      <c r="X250" s="275"/>
      <c r="Y250" s="275"/>
      <c r="Z250" s="275"/>
      <c r="AA250" s="275"/>
      <c r="AB250" s="275"/>
      <c r="AC250" s="275"/>
      <c r="AD250" s="275"/>
      <c r="AE250" s="275"/>
      <c r="AF250" s="275"/>
      <c r="AG250" s="275"/>
      <c r="AH250" s="438"/>
      <c r="AI250" s="439">
        <f t="shared" si="28"/>
        <v>0</v>
      </c>
      <c r="AJ250" s="263"/>
      <c r="AK250" s="263"/>
      <c r="AL250" s="263"/>
      <c r="AM250" s="263"/>
      <c r="AN250" s="263"/>
      <c r="AO250" s="263"/>
      <c r="AP250" s="263"/>
      <c r="AQ250" s="436"/>
      <c r="AR250" s="275"/>
      <c r="AS250" s="275"/>
      <c r="AT250" s="275"/>
      <c r="AU250" s="275"/>
      <c r="AV250" s="275"/>
      <c r="AW250" s="275"/>
      <c r="AX250" s="275"/>
      <c r="AY250" s="437"/>
      <c r="AZ250" s="440">
        <f t="shared" si="29"/>
        <v>0</v>
      </c>
      <c r="BA250" s="275"/>
      <c r="BB250" s="275"/>
      <c r="BC250" s="275"/>
      <c r="BD250" s="275"/>
      <c r="BE250" s="275"/>
      <c r="BF250" s="275"/>
      <c r="BG250" s="275"/>
      <c r="BH250" s="436"/>
      <c r="BI250" s="275"/>
      <c r="BJ250" s="275"/>
      <c r="BK250" s="291"/>
      <c r="BL250" s="291"/>
      <c r="BM250" s="275"/>
      <c r="BN250" s="275"/>
      <c r="BO250" s="438"/>
      <c r="BP250" s="436"/>
      <c r="BQ250" s="275"/>
      <c r="BR250" s="275"/>
      <c r="BS250" s="275"/>
      <c r="BT250" s="275"/>
      <c r="BU250" s="275"/>
      <c r="BV250" s="275"/>
      <c r="BW250" s="275"/>
      <c r="BX250" s="438"/>
      <c r="BY250" s="436"/>
      <c r="BZ250" s="275"/>
      <c r="CA250" s="275"/>
      <c r="CB250" s="275"/>
      <c r="CC250" s="275"/>
      <c r="CD250" s="275"/>
      <c r="CE250" s="275"/>
      <c r="CF250" s="275"/>
      <c r="CG250" s="438"/>
      <c r="CH250" s="436"/>
      <c r="CI250" s="275"/>
      <c r="CJ250" s="275"/>
      <c r="CK250" s="275"/>
      <c r="CL250" s="275"/>
      <c r="CM250" s="275"/>
      <c r="CN250" s="275"/>
      <c r="CO250" s="442"/>
      <c r="CP250" s="443"/>
      <c r="CQ250" s="429">
        <f t="shared" si="30"/>
        <v>0</v>
      </c>
      <c r="CR250" s="430"/>
    </row>
    <row r="251" spans="1:96" ht="25.5" customHeight="1" x14ac:dyDescent="0.2">
      <c r="A251" s="410">
        <f t="shared" si="31"/>
        <v>236</v>
      </c>
      <c r="B251" s="280"/>
      <c r="C251" s="453"/>
      <c r="D251" s="411"/>
      <c r="E251" s="254"/>
      <c r="F251" s="277"/>
      <c r="G251" s="450"/>
      <c r="H251" s="451"/>
      <c r="I251" s="433" t="str">
        <f t="shared" si="25"/>
        <v/>
      </c>
      <c r="J251" s="434">
        <f t="shared" si="26"/>
        <v>0</v>
      </c>
      <c r="K251" s="452"/>
      <c r="L251" s="276"/>
      <c r="M251" s="435"/>
      <c r="N251" s="417" t="str">
        <f t="shared" si="27"/>
        <v/>
      </c>
      <c r="O251" s="418" t="str">
        <f>IF('Data Set up'!$G$40="JUNE",IF(OR($N251=7,$N251=8,$N251=9),1,IF(OR($N251=10,$N251=11,$N251=12),2,IF(OR($N251=1,$N251=2,$N251=3),3,IF(OR($N251=4,$N251=5,$N251=6),4,"")))),IF(OR($N251=9,$N251=10,$N251=11),1,IF(OR($N251=12,$N251=1,$N251=2),2,IF(OR($N251=3,$N251=4,$N251=5),3,IF(OR($N251=6,$N251=7,$N251=8),4,"")))))</f>
        <v/>
      </c>
      <c r="P251" s="445"/>
      <c r="Q251" s="291"/>
      <c r="R251" s="291"/>
      <c r="S251" s="275"/>
      <c r="T251" s="275"/>
      <c r="U251" s="275"/>
      <c r="V251" s="275"/>
      <c r="W251" s="275"/>
      <c r="X251" s="275"/>
      <c r="Y251" s="275"/>
      <c r="Z251" s="275"/>
      <c r="AA251" s="275"/>
      <c r="AB251" s="275"/>
      <c r="AC251" s="275"/>
      <c r="AD251" s="275"/>
      <c r="AE251" s="275"/>
      <c r="AF251" s="275"/>
      <c r="AG251" s="275"/>
      <c r="AH251" s="438"/>
      <c r="AI251" s="439">
        <f t="shared" si="28"/>
        <v>0</v>
      </c>
      <c r="AJ251" s="263"/>
      <c r="AK251" s="263"/>
      <c r="AL251" s="263"/>
      <c r="AM251" s="263"/>
      <c r="AN251" s="263"/>
      <c r="AO251" s="263"/>
      <c r="AP251" s="263"/>
      <c r="AQ251" s="436"/>
      <c r="AR251" s="275"/>
      <c r="AS251" s="275"/>
      <c r="AT251" s="275"/>
      <c r="AU251" s="275"/>
      <c r="AV251" s="275"/>
      <c r="AW251" s="275"/>
      <c r="AX251" s="275"/>
      <c r="AY251" s="437"/>
      <c r="AZ251" s="440">
        <f t="shared" si="29"/>
        <v>0</v>
      </c>
      <c r="BA251" s="275"/>
      <c r="BB251" s="275"/>
      <c r="BC251" s="275"/>
      <c r="BD251" s="275"/>
      <c r="BE251" s="275"/>
      <c r="BF251" s="275"/>
      <c r="BG251" s="275"/>
      <c r="BH251" s="436"/>
      <c r="BI251" s="275"/>
      <c r="BJ251" s="275"/>
      <c r="BK251" s="291"/>
      <c r="BL251" s="291"/>
      <c r="BM251" s="275"/>
      <c r="BN251" s="275"/>
      <c r="BO251" s="438"/>
      <c r="BP251" s="436"/>
      <c r="BQ251" s="275"/>
      <c r="BR251" s="275"/>
      <c r="BS251" s="275"/>
      <c r="BT251" s="275"/>
      <c r="BU251" s="275"/>
      <c r="BV251" s="275"/>
      <c r="BW251" s="275"/>
      <c r="BX251" s="438"/>
      <c r="BY251" s="436"/>
      <c r="BZ251" s="275"/>
      <c r="CA251" s="275"/>
      <c r="CB251" s="275"/>
      <c r="CC251" s="275"/>
      <c r="CD251" s="275"/>
      <c r="CE251" s="275"/>
      <c r="CF251" s="275"/>
      <c r="CG251" s="438"/>
      <c r="CH251" s="436"/>
      <c r="CI251" s="275"/>
      <c r="CJ251" s="275"/>
      <c r="CK251" s="275"/>
      <c r="CL251" s="275"/>
      <c r="CM251" s="275"/>
      <c r="CN251" s="275"/>
      <c r="CO251" s="442"/>
      <c r="CP251" s="443"/>
      <c r="CQ251" s="429">
        <f t="shared" si="30"/>
        <v>0</v>
      </c>
      <c r="CR251" s="430"/>
    </row>
    <row r="252" spans="1:96" ht="25.5" customHeight="1" x14ac:dyDescent="0.2">
      <c r="A252" s="410">
        <f t="shared" si="31"/>
        <v>237</v>
      </c>
      <c r="B252" s="280"/>
      <c r="C252" s="453"/>
      <c r="D252" s="411"/>
      <c r="E252" s="254"/>
      <c r="F252" s="277"/>
      <c r="G252" s="450"/>
      <c r="H252" s="451"/>
      <c r="I252" s="433" t="str">
        <f t="shared" si="25"/>
        <v/>
      </c>
      <c r="J252" s="434">
        <f t="shared" si="26"/>
        <v>0</v>
      </c>
      <c r="K252" s="452"/>
      <c r="L252" s="276"/>
      <c r="M252" s="435"/>
      <c r="N252" s="417" t="str">
        <f t="shared" si="27"/>
        <v/>
      </c>
      <c r="O252" s="418" t="str">
        <f>IF('Data Set up'!$G$40="JUNE",IF(OR($N252=7,$N252=8,$N252=9),1,IF(OR($N252=10,$N252=11,$N252=12),2,IF(OR($N252=1,$N252=2,$N252=3),3,IF(OR($N252=4,$N252=5,$N252=6),4,"")))),IF(OR($N252=9,$N252=10,$N252=11),1,IF(OR($N252=12,$N252=1,$N252=2),2,IF(OR($N252=3,$N252=4,$N252=5),3,IF(OR($N252=6,$N252=7,$N252=8),4,"")))))</f>
        <v/>
      </c>
      <c r="P252" s="445"/>
      <c r="Q252" s="291"/>
      <c r="R252" s="291"/>
      <c r="S252" s="275"/>
      <c r="T252" s="275"/>
      <c r="U252" s="275"/>
      <c r="V252" s="275"/>
      <c r="W252" s="275"/>
      <c r="X252" s="275"/>
      <c r="Y252" s="275"/>
      <c r="Z252" s="275"/>
      <c r="AA252" s="275"/>
      <c r="AB252" s="275"/>
      <c r="AC252" s="275"/>
      <c r="AD252" s="275"/>
      <c r="AE252" s="275"/>
      <c r="AF252" s="275"/>
      <c r="AG252" s="275"/>
      <c r="AH252" s="438"/>
      <c r="AI252" s="439">
        <f t="shared" si="28"/>
        <v>0</v>
      </c>
      <c r="AJ252" s="263"/>
      <c r="AK252" s="263"/>
      <c r="AL252" s="263"/>
      <c r="AM252" s="263"/>
      <c r="AN252" s="263"/>
      <c r="AO252" s="263"/>
      <c r="AP252" s="263"/>
      <c r="AQ252" s="436"/>
      <c r="AR252" s="275"/>
      <c r="AS252" s="275"/>
      <c r="AT252" s="275"/>
      <c r="AU252" s="275"/>
      <c r="AV252" s="275"/>
      <c r="AW252" s="275"/>
      <c r="AX252" s="275"/>
      <c r="AY252" s="437"/>
      <c r="AZ252" s="440">
        <f t="shared" si="29"/>
        <v>0</v>
      </c>
      <c r="BA252" s="275"/>
      <c r="BB252" s="275"/>
      <c r="BC252" s="275"/>
      <c r="BD252" s="275"/>
      <c r="BE252" s="275"/>
      <c r="BF252" s="275"/>
      <c r="BG252" s="275"/>
      <c r="BH252" s="436"/>
      <c r="BI252" s="275"/>
      <c r="BJ252" s="275"/>
      <c r="BK252" s="291"/>
      <c r="BL252" s="291"/>
      <c r="BM252" s="275"/>
      <c r="BN252" s="275"/>
      <c r="BO252" s="438"/>
      <c r="BP252" s="436"/>
      <c r="BQ252" s="275"/>
      <c r="BR252" s="275"/>
      <c r="BS252" s="275"/>
      <c r="BT252" s="275"/>
      <c r="BU252" s="275"/>
      <c r="BV252" s="275"/>
      <c r="BW252" s="275"/>
      <c r="BX252" s="438"/>
      <c r="BY252" s="436"/>
      <c r="BZ252" s="275"/>
      <c r="CA252" s="275"/>
      <c r="CB252" s="275"/>
      <c r="CC252" s="275"/>
      <c r="CD252" s="275"/>
      <c r="CE252" s="275"/>
      <c r="CF252" s="275"/>
      <c r="CG252" s="438"/>
      <c r="CH252" s="436"/>
      <c r="CI252" s="275"/>
      <c r="CJ252" s="275"/>
      <c r="CK252" s="275"/>
      <c r="CL252" s="275"/>
      <c r="CM252" s="275"/>
      <c r="CN252" s="275"/>
      <c r="CO252" s="442"/>
      <c r="CP252" s="443"/>
      <c r="CQ252" s="429">
        <f t="shared" si="30"/>
        <v>0</v>
      </c>
      <c r="CR252" s="430"/>
    </row>
    <row r="253" spans="1:96" ht="25.5" customHeight="1" x14ac:dyDescent="0.2">
      <c r="A253" s="410">
        <f t="shared" si="31"/>
        <v>238</v>
      </c>
      <c r="B253" s="280"/>
      <c r="C253" s="453"/>
      <c r="D253" s="411"/>
      <c r="E253" s="254"/>
      <c r="F253" s="277"/>
      <c r="G253" s="450"/>
      <c r="H253" s="451"/>
      <c r="I253" s="433" t="str">
        <f t="shared" si="25"/>
        <v/>
      </c>
      <c r="J253" s="434">
        <f t="shared" si="26"/>
        <v>0</v>
      </c>
      <c r="K253" s="452"/>
      <c r="L253" s="276"/>
      <c r="M253" s="435"/>
      <c r="N253" s="417" t="str">
        <f t="shared" si="27"/>
        <v/>
      </c>
      <c r="O253" s="418" t="str">
        <f>IF('Data Set up'!$G$40="JUNE",IF(OR($N253=7,$N253=8,$N253=9),1,IF(OR($N253=10,$N253=11,$N253=12),2,IF(OR($N253=1,$N253=2,$N253=3),3,IF(OR($N253=4,$N253=5,$N253=6),4,"")))),IF(OR($N253=9,$N253=10,$N253=11),1,IF(OR($N253=12,$N253=1,$N253=2),2,IF(OR($N253=3,$N253=4,$N253=5),3,IF(OR($N253=6,$N253=7,$N253=8),4,"")))))</f>
        <v/>
      </c>
      <c r="P253" s="445"/>
      <c r="Q253" s="291"/>
      <c r="R253" s="291"/>
      <c r="S253" s="275"/>
      <c r="T253" s="275"/>
      <c r="U253" s="275"/>
      <c r="V253" s="275"/>
      <c r="W253" s="275"/>
      <c r="X253" s="275"/>
      <c r="Y253" s="275"/>
      <c r="Z253" s="275"/>
      <c r="AA253" s="275"/>
      <c r="AB253" s="275"/>
      <c r="AC253" s="275"/>
      <c r="AD253" s="275"/>
      <c r="AE253" s="275"/>
      <c r="AF253" s="275"/>
      <c r="AG253" s="275"/>
      <c r="AH253" s="438"/>
      <c r="AI253" s="439">
        <f t="shared" si="28"/>
        <v>0</v>
      </c>
      <c r="AJ253" s="263"/>
      <c r="AK253" s="263"/>
      <c r="AL253" s="263"/>
      <c r="AM253" s="263"/>
      <c r="AN253" s="263"/>
      <c r="AO253" s="263"/>
      <c r="AP253" s="263"/>
      <c r="AQ253" s="436"/>
      <c r="AR253" s="275"/>
      <c r="AS253" s="275"/>
      <c r="AT253" s="275"/>
      <c r="AU253" s="275"/>
      <c r="AV253" s="275"/>
      <c r="AW253" s="275"/>
      <c r="AX253" s="275"/>
      <c r="AY253" s="437"/>
      <c r="AZ253" s="440">
        <f t="shared" si="29"/>
        <v>0</v>
      </c>
      <c r="BA253" s="275"/>
      <c r="BB253" s="275"/>
      <c r="BC253" s="275"/>
      <c r="BD253" s="275"/>
      <c r="BE253" s="275"/>
      <c r="BF253" s="275"/>
      <c r="BG253" s="275"/>
      <c r="BH253" s="436"/>
      <c r="BI253" s="275"/>
      <c r="BJ253" s="275"/>
      <c r="BK253" s="291"/>
      <c r="BL253" s="291"/>
      <c r="BM253" s="275"/>
      <c r="BN253" s="275"/>
      <c r="BO253" s="438"/>
      <c r="BP253" s="436"/>
      <c r="BQ253" s="275"/>
      <c r="BR253" s="275"/>
      <c r="BS253" s="275"/>
      <c r="BT253" s="275"/>
      <c r="BU253" s="275"/>
      <c r="BV253" s="275"/>
      <c r="BW253" s="275"/>
      <c r="BX253" s="438"/>
      <c r="BY253" s="436"/>
      <c r="BZ253" s="275"/>
      <c r="CA253" s="275"/>
      <c r="CB253" s="275"/>
      <c r="CC253" s="275"/>
      <c r="CD253" s="275"/>
      <c r="CE253" s="275"/>
      <c r="CF253" s="275"/>
      <c r="CG253" s="438"/>
      <c r="CH253" s="436"/>
      <c r="CI253" s="275"/>
      <c r="CJ253" s="275"/>
      <c r="CK253" s="275"/>
      <c r="CL253" s="275"/>
      <c r="CM253" s="275"/>
      <c r="CN253" s="275"/>
      <c r="CO253" s="442"/>
      <c r="CP253" s="443"/>
      <c r="CQ253" s="429">
        <f t="shared" si="30"/>
        <v>0</v>
      </c>
      <c r="CR253" s="430"/>
    </row>
    <row r="254" spans="1:96" ht="25.5" customHeight="1" x14ac:dyDescent="0.2">
      <c r="A254" s="410">
        <f t="shared" si="31"/>
        <v>239</v>
      </c>
      <c r="B254" s="280"/>
      <c r="C254" s="453"/>
      <c r="D254" s="411"/>
      <c r="E254" s="254"/>
      <c r="F254" s="277"/>
      <c r="G254" s="450"/>
      <c r="H254" s="451"/>
      <c r="I254" s="433" t="str">
        <f t="shared" si="25"/>
        <v/>
      </c>
      <c r="J254" s="434">
        <f t="shared" si="26"/>
        <v>0</v>
      </c>
      <c r="K254" s="452"/>
      <c r="L254" s="276"/>
      <c r="M254" s="435"/>
      <c r="N254" s="417" t="str">
        <f t="shared" si="27"/>
        <v/>
      </c>
      <c r="O254" s="418" t="str">
        <f>IF('Data Set up'!$G$40="JUNE",IF(OR($N254=7,$N254=8,$N254=9),1,IF(OR($N254=10,$N254=11,$N254=12),2,IF(OR($N254=1,$N254=2,$N254=3),3,IF(OR($N254=4,$N254=5,$N254=6),4,"")))),IF(OR($N254=9,$N254=10,$N254=11),1,IF(OR($N254=12,$N254=1,$N254=2),2,IF(OR($N254=3,$N254=4,$N254=5),3,IF(OR($N254=6,$N254=7,$N254=8),4,"")))))</f>
        <v/>
      </c>
      <c r="P254" s="445"/>
      <c r="Q254" s="291"/>
      <c r="R254" s="291"/>
      <c r="S254" s="275"/>
      <c r="T254" s="275"/>
      <c r="U254" s="275"/>
      <c r="V254" s="275"/>
      <c r="W254" s="275"/>
      <c r="X254" s="275"/>
      <c r="Y254" s="275"/>
      <c r="Z254" s="275"/>
      <c r="AA254" s="275"/>
      <c r="AB254" s="275"/>
      <c r="AC254" s="275"/>
      <c r="AD254" s="275"/>
      <c r="AE254" s="275"/>
      <c r="AF254" s="275"/>
      <c r="AG254" s="275"/>
      <c r="AH254" s="438"/>
      <c r="AI254" s="439">
        <f t="shared" si="28"/>
        <v>0</v>
      </c>
      <c r="AJ254" s="263"/>
      <c r="AK254" s="263"/>
      <c r="AL254" s="263"/>
      <c r="AM254" s="263"/>
      <c r="AN254" s="263"/>
      <c r="AO254" s="263"/>
      <c r="AP254" s="263"/>
      <c r="AQ254" s="436"/>
      <c r="AR254" s="275"/>
      <c r="AS254" s="275"/>
      <c r="AT254" s="275"/>
      <c r="AU254" s="275"/>
      <c r="AV254" s="275"/>
      <c r="AW254" s="275"/>
      <c r="AX254" s="275"/>
      <c r="AY254" s="437"/>
      <c r="AZ254" s="440">
        <f t="shared" si="29"/>
        <v>0</v>
      </c>
      <c r="BA254" s="275"/>
      <c r="BB254" s="275"/>
      <c r="BC254" s="275"/>
      <c r="BD254" s="275"/>
      <c r="BE254" s="275"/>
      <c r="BF254" s="275"/>
      <c r="BG254" s="275"/>
      <c r="BH254" s="436"/>
      <c r="BI254" s="275"/>
      <c r="BJ254" s="275"/>
      <c r="BK254" s="291"/>
      <c r="BL254" s="291"/>
      <c r="BM254" s="275"/>
      <c r="BN254" s="275"/>
      <c r="BO254" s="438"/>
      <c r="BP254" s="436"/>
      <c r="BQ254" s="275"/>
      <c r="BR254" s="275"/>
      <c r="BS254" s="275"/>
      <c r="BT254" s="275"/>
      <c r="BU254" s="275"/>
      <c r="BV254" s="275"/>
      <c r="BW254" s="275"/>
      <c r="BX254" s="438"/>
      <c r="BY254" s="436"/>
      <c r="BZ254" s="275"/>
      <c r="CA254" s="275"/>
      <c r="CB254" s="275"/>
      <c r="CC254" s="275"/>
      <c r="CD254" s="275"/>
      <c r="CE254" s="275"/>
      <c r="CF254" s="275"/>
      <c r="CG254" s="438"/>
      <c r="CH254" s="436"/>
      <c r="CI254" s="275"/>
      <c r="CJ254" s="275"/>
      <c r="CK254" s="275"/>
      <c r="CL254" s="275"/>
      <c r="CM254" s="275"/>
      <c r="CN254" s="275"/>
      <c r="CO254" s="442"/>
      <c r="CP254" s="443"/>
      <c r="CQ254" s="429">
        <f t="shared" si="30"/>
        <v>0</v>
      </c>
      <c r="CR254" s="430"/>
    </row>
    <row r="255" spans="1:96" ht="25.5" customHeight="1" x14ac:dyDescent="0.2">
      <c r="A255" s="410">
        <f t="shared" si="31"/>
        <v>240</v>
      </c>
      <c r="B255" s="280"/>
      <c r="C255" s="453"/>
      <c r="D255" s="411"/>
      <c r="E255" s="254"/>
      <c r="F255" s="277"/>
      <c r="G255" s="450"/>
      <c r="H255" s="451"/>
      <c r="I255" s="433" t="str">
        <f t="shared" si="25"/>
        <v/>
      </c>
      <c r="J255" s="434">
        <f t="shared" si="26"/>
        <v>0</v>
      </c>
      <c r="K255" s="452"/>
      <c r="L255" s="276"/>
      <c r="M255" s="435"/>
      <c r="N255" s="417" t="str">
        <f t="shared" si="27"/>
        <v/>
      </c>
      <c r="O255" s="418" t="str">
        <f>IF('Data Set up'!$G$40="JUNE",IF(OR($N255=7,$N255=8,$N255=9),1,IF(OR($N255=10,$N255=11,$N255=12),2,IF(OR($N255=1,$N255=2,$N255=3),3,IF(OR($N255=4,$N255=5,$N255=6),4,"")))),IF(OR($N255=9,$N255=10,$N255=11),1,IF(OR($N255=12,$N255=1,$N255=2),2,IF(OR($N255=3,$N255=4,$N255=5),3,IF(OR($N255=6,$N255=7,$N255=8),4,"")))))</f>
        <v/>
      </c>
      <c r="P255" s="445"/>
      <c r="Q255" s="291"/>
      <c r="R255" s="291"/>
      <c r="S255" s="275"/>
      <c r="T255" s="275"/>
      <c r="U255" s="275"/>
      <c r="V255" s="275"/>
      <c r="W255" s="275"/>
      <c r="X255" s="275"/>
      <c r="Y255" s="275"/>
      <c r="Z255" s="275"/>
      <c r="AA255" s="275"/>
      <c r="AB255" s="275"/>
      <c r="AC255" s="275"/>
      <c r="AD255" s="275"/>
      <c r="AE255" s="275"/>
      <c r="AF255" s="275"/>
      <c r="AG255" s="275"/>
      <c r="AH255" s="438"/>
      <c r="AI255" s="439">
        <f t="shared" si="28"/>
        <v>0</v>
      </c>
      <c r="AJ255" s="263"/>
      <c r="AK255" s="263"/>
      <c r="AL255" s="263"/>
      <c r="AM255" s="263"/>
      <c r="AN255" s="263"/>
      <c r="AO255" s="263"/>
      <c r="AP255" s="263"/>
      <c r="AQ255" s="436"/>
      <c r="AR255" s="275"/>
      <c r="AS255" s="275"/>
      <c r="AT255" s="275"/>
      <c r="AU255" s="275"/>
      <c r="AV255" s="275"/>
      <c r="AW255" s="275"/>
      <c r="AX255" s="275"/>
      <c r="AY255" s="437"/>
      <c r="AZ255" s="440">
        <f t="shared" si="29"/>
        <v>0</v>
      </c>
      <c r="BA255" s="275"/>
      <c r="BB255" s="275"/>
      <c r="BC255" s="275"/>
      <c r="BD255" s="275"/>
      <c r="BE255" s="275"/>
      <c r="BF255" s="275"/>
      <c r="BG255" s="275"/>
      <c r="BH255" s="436"/>
      <c r="BI255" s="275"/>
      <c r="BJ255" s="275"/>
      <c r="BK255" s="291"/>
      <c r="BL255" s="291"/>
      <c r="BM255" s="275"/>
      <c r="BN255" s="275"/>
      <c r="BO255" s="438"/>
      <c r="BP255" s="436"/>
      <c r="BQ255" s="275"/>
      <c r="BR255" s="275"/>
      <c r="BS255" s="275"/>
      <c r="BT255" s="275"/>
      <c r="BU255" s="275"/>
      <c r="BV255" s="275"/>
      <c r="BW255" s="275"/>
      <c r="BX255" s="438"/>
      <c r="BY255" s="436"/>
      <c r="BZ255" s="275"/>
      <c r="CA255" s="275"/>
      <c r="CB255" s="275"/>
      <c r="CC255" s="275"/>
      <c r="CD255" s="275"/>
      <c r="CE255" s="275"/>
      <c r="CF255" s="275"/>
      <c r="CG255" s="438"/>
      <c r="CH255" s="436"/>
      <c r="CI255" s="275"/>
      <c r="CJ255" s="275"/>
      <c r="CK255" s="275"/>
      <c r="CL255" s="275"/>
      <c r="CM255" s="275"/>
      <c r="CN255" s="275"/>
      <c r="CO255" s="442"/>
      <c r="CP255" s="443"/>
      <c r="CQ255" s="429">
        <f t="shared" si="30"/>
        <v>0</v>
      </c>
      <c r="CR255" s="430"/>
    </row>
    <row r="256" spans="1:96" ht="25.5" customHeight="1" x14ac:dyDescent="0.2">
      <c r="A256" s="410">
        <f t="shared" si="31"/>
        <v>241</v>
      </c>
      <c r="B256" s="280"/>
      <c r="C256" s="453"/>
      <c r="D256" s="411"/>
      <c r="E256" s="254"/>
      <c r="F256" s="277"/>
      <c r="G256" s="450"/>
      <c r="H256" s="451"/>
      <c r="I256" s="433" t="str">
        <f t="shared" si="25"/>
        <v/>
      </c>
      <c r="J256" s="434">
        <f t="shared" si="26"/>
        <v>0</v>
      </c>
      <c r="K256" s="452"/>
      <c r="L256" s="276"/>
      <c r="M256" s="435"/>
      <c r="N256" s="417" t="str">
        <f t="shared" si="27"/>
        <v/>
      </c>
      <c r="O256" s="418" t="str">
        <f>IF('Data Set up'!$G$40="JUNE",IF(OR($N256=7,$N256=8,$N256=9),1,IF(OR($N256=10,$N256=11,$N256=12),2,IF(OR($N256=1,$N256=2,$N256=3),3,IF(OR($N256=4,$N256=5,$N256=6),4,"")))),IF(OR($N256=9,$N256=10,$N256=11),1,IF(OR($N256=12,$N256=1,$N256=2),2,IF(OR($N256=3,$N256=4,$N256=5),3,IF(OR($N256=6,$N256=7,$N256=8),4,"")))))</f>
        <v/>
      </c>
      <c r="P256" s="445"/>
      <c r="Q256" s="291"/>
      <c r="R256" s="291"/>
      <c r="S256" s="275"/>
      <c r="T256" s="275"/>
      <c r="U256" s="275"/>
      <c r="V256" s="275"/>
      <c r="W256" s="275"/>
      <c r="X256" s="275"/>
      <c r="Y256" s="275"/>
      <c r="Z256" s="275"/>
      <c r="AA256" s="275"/>
      <c r="AB256" s="275"/>
      <c r="AC256" s="275"/>
      <c r="AD256" s="275"/>
      <c r="AE256" s="275"/>
      <c r="AF256" s="275"/>
      <c r="AG256" s="275"/>
      <c r="AH256" s="438"/>
      <c r="AI256" s="439">
        <f t="shared" si="28"/>
        <v>0</v>
      </c>
      <c r="AJ256" s="263"/>
      <c r="AK256" s="263"/>
      <c r="AL256" s="263"/>
      <c r="AM256" s="263"/>
      <c r="AN256" s="263"/>
      <c r="AO256" s="263"/>
      <c r="AP256" s="263"/>
      <c r="AQ256" s="436"/>
      <c r="AR256" s="275"/>
      <c r="AS256" s="275"/>
      <c r="AT256" s="275"/>
      <c r="AU256" s="275"/>
      <c r="AV256" s="275"/>
      <c r="AW256" s="275"/>
      <c r="AX256" s="275"/>
      <c r="AY256" s="437"/>
      <c r="AZ256" s="440">
        <f t="shared" si="29"/>
        <v>0</v>
      </c>
      <c r="BA256" s="275"/>
      <c r="BB256" s="275"/>
      <c r="BC256" s="275"/>
      <c r="BD256" s="275"/>
      <c r="BE256" s="275"/>
      <c r="BF256" s="275"/>
      <c r="BG256" s="275"/>
      <c r="BH256" s="436"/>
      <c r="BI256" s="275"/>
      <c r="BJ256" s="275"/>
      <c r="BK256" s="291"/>
      <c r="BL256" s="291"/>
      <c r="BM256" s="275"/>
      <c r="BN256" s="275"/>
      <c r="BO256" s="438"/>
      <c r="BP256" s="436"/>
      <c r="BQ256" s="275"/>
      <c r="BR256" s="275"/>
      <c r="BS256" s="275"/>
      <c r="BT256" s="275"/>
      <c r="BU256" s="275"/>
      <c r="BV256" s="275"/>
      <c r="BW256" s="275"/>
      <c r="BX256" s="438"/>
      <c r="BY256" s="436"/>
      <c r="BZ256" s="275"/>
      <c r="CA256" s="275"/>
      <c r="CB256" s="275"/>
      <c r="CC256" s="275"/>
      <c r="CD256" s="275"/>
      <c r="CE256" s="275"/>
      <c r="CF256" s="275"/>
      <c r="CG256" s="438"/>
      <c r="CH256" s="436"/>
      <c r="CI256" s="275"/>
      <c r="CJ256" s="275"/>
      <c r="CK256" s="275"/>
      <c r="CL256" s="275"/>
      <c r="CM256" s="275"/>
      <c r="CN256" s="275"/>
      <c r="CO256" s="442"/>
      <c r="CP256" s="443"/>
      <c r="CQ256" s="429">
        <f t="shared" si="30"/>
        <v>0</v>
      </c>
      <c r="CR256" s="430"/>
    </row>
    <row r="257" spans="1:96" ht="25.5" customHeight="1" x14ac:dyDescent="0.2">
      <c r="A257" s="410">
        <f t="shared" si="31"/>
        <v>242</v>
      </c>
      <c r="B257" s="280"/>
      <c r="C257" s="453"/>
      <c r="D257" s="411"/>
      <c r="E257" s="254"/>
      <c r="F257" s="277"/>
      <c r="G257" s="450"/>
      <c r="H257" s="451"/>
      <c r="I257" s="433" t="str">
        <f t="shared" si="25"/>
        <v/>
      </c>
      <c r="J257" s="434">
        <f t="shared" si="26"/>
        <v>0</v>
      </c>
      <c r="K257" s="452"/>
      <c r="L257" s="276"/>
      <c r="M257" s="435"/>
      <c r="N257" s="417" t="str">
        <f t="shared" si="27"/>
        <v/>
      </c>
      <c r="O257" s="418" t="str">
        <f>IF('Data Set up'!$G$40="JUNE",IF(OR($N257=7,$N257=8,$N257=9),1,IF(OR($N257=10,$N257=11,$N257=12),2,IF(OR($N257=1,$N257=2,$N257=3),3,IF(OR($N257=4,$N257=5,$N257=6),4,"")))),IF(OR($N257=9,$N257=10,$N257=11),1,IF(OR($N257=12,$N257=1,$N257=2),2,IF(OR($N257=3,$N257=4,$N257=5),3,IF(OR($N257=6,$N257=7,$N257=8),4,"")))))</f>
        <v/>
      </c>
      <c r="P257" s="445"/>
      <c r="Q257" s="291"/>
      <c r="R257" s="291"/>
      <c r="S257" s="275"/>
      <c r="T257" s="275"/>
      <c r="U257" s="275"/>
      <c r="V257" s="275"/>
      <c r="W257" s="275"/>
      <c r="X257" s="275"/>
      <c r="Y257" s="275"/>
      <c r="Z257" s="275"/>
      <c r="AA257" s="275"/>
      <c r="AB257" s="275"/>
      <c r="AC257" s="275"/>
      <c r="AD257" s="275"/>
      <c r="AE257" s="275"/>
      <c r="AF257" s="275"/>
      <c r="AG257" s="275"/>
      <c r="AH257" s="438"/>
      <c r="AI257" s="439">
        <f t="shared" si="28"/>
        <v>0</v>
      </c>
      <c r="AJ257" s="263"/>
      <c r="AK257" s="263"/>
      <c r="AL257" s="263"/>
      <c r="AM257" s="263"/>
      <c r="AN257" s="263"/>
      <c r="AO257" s="263"/>
      <c r="AP257" s="263"/>
      <c r="AQ257" s="436"/>
      <c r="AR257" s="275"/>
      <c r="AS257" s="275"/>
      <c r="AT257" s="275"/>
      <c r="AU257" s="275"/>
      <c r="AV257" s="275"/>
      <c r="AW257" s="275"/>
      <c r="AX257" s="275"/>
      <c r="AY257" s="437"/>
      <c r="AZ257" s="440">
        <f t="shared" si="29"/>
        <v>0</v>
      </c>
      <c r="BA257" s="275"/>
      <c r="BB257" s="275"/>
      <c r="BC257" s="275"/>
      <c r="BD257" s="275"/>
      <c r="BE257" s="275"/>
      <c r="BF257" s="275"/>
      <c r="BG257" s="275"/>
      <c r="BH257" s="436"/>
      <c r="BI257" s="275"/>
      <c r="BJ257" s="275"/>
      <c r="BK257" s="291"/>
      <c r="BL257" s="291"/>
      <c r="BM257" s="275"/>
      <c r="BN257" s="275"/>
      <c r="BO257" s="438"/>
      <c r="BP257" s="436"/>
      <c r="BQ257" s="275"/>
      <c r="BR257" s="275"/>
      <c r="BS257" s="275"/>
      <c r="BT257" s="275"/>
      <c r="BU257" s="275"/>
      <c r="BV257" s="275"/>
      <c r="BW257" s="275"/>
      <c r="BX257" s="438"/>
      <c r="BY257" s="436"/>
      <c r="BZ257" s="275"/>
      <c r="CA257" s="275"/>
      <c r="CB257" s="275"/>
      <c r="CC257" s="275"/>
      <c r="CD257" s="275"/>
      <c r="CE257" s="275"/>
      <c r="CF257" s="275"/>
      <c r="CG257" s="438"/>
      <c r="CH257" s="436"/>
      <c r="CI257" s="275"/>
      <c r="CJ257" s="275"/>
      <c r="CK257" s="275"/>
      <c r="CL257" s="275"/>
      <c r="CM257" s="275"/>
      <c r="CN257" s="275"/>
      <c r="CO257" s="442"/>
      <c r="CP257" s="443"/>
      <c r="CQ257" s="429">
        <f t="shared" si="30"/>
        <v>0</v>
      </c>
      <c r="CR257" s="430"/>
    </row>
    <row r="258" spans="1:96" ht="25.5" customHeight="1" x14ac:dyDescent="0.2">
      <c r="A258" s="410">
        <f t="shared" si="31"/>
        <v>243</v>
      </c>
      <c r="B258" s="280"/>
      <c r="C258" s="453"/>
      <c r="D258" s="411"/>
      <c r="E258" s="254"/>
      <c r="F258" s="277"/>
      <c r="G258" s="450"/>
      <c r="H258" s="451"/>
      <c r="I258" s="433" t="str">
        <f t="shared" si="25"/>
        <v/>
      </c>
      <c r="J258" s="434">
        <f t="shared" si="26"/>
        <v>0</v>
      </c>
      <c r="K258" s="452"/>
      <c r="L258" s="276"/>
      <c r="M258" s="435"/>
      <c r="N258" s="417" t="str">
        <f t="shared" si="27"/>
        <v/>
      </c>
      <c r="O258" s="418" t="str">
        <f>IF('Data Set up'!$G$40="JUNE",IF(OR($N258=7,$N258=8,$N258=9),1,IF(OR($N258=10,$N258=11,$N258=12),2,IF(OR($N258=1,$N258=2,$N258=3),3,IF(OR($N258=4,$N258=5,$N258=6),4,"")))),IF(OR($N258=9,$N258=10,$N258=11),1,IF(OR($N258=12,$N258=1,$N258=2),2,IF(OR($N258=3,$N258=4,$N258=5),3,IF(OR($N258=6,$N258=7,$N258=8),4,"")))))</f>
        <v/>
      </c>
      <c r="P258" s="445"/>
      <c r="Q258" s="291"/>
      <c r="R258" s="291"/>
      <c r="S258" s="275"/>
      <c r="T258" s="275"/>
      <c r="U258" s="275"/>
      <c r="V258" s="275"/>
      <c r="W258" s="275"/>
      <c r="X258" s="275"/>
      <c r="Y258" s="275"/>
      <c r="Z258" s="275"/>
      <c r="AA258" s="275"/>
      <c r="AB258" s="275"/>
      <c r="AC258" s="275"/>
      <c r="AD258" s="275"/>
      <c r="AE258" s="275"/>
      <c r="AF258" s="275"/>
      <c r="AG258" s="275"/>
      <c r="AH258" s="438"/>
      <c r="AI258" s="439">
        <f t="shared" si="28"/>
        <v>0</v>
      </c>
      <c r="AJ258" s="263"/>
      <c r="AK258" s="263"/>
      <c r="AL258" s="263"/>
      <c r="AM258" s="263"/>
      <c r="AN258" s="263"/>
      <c r="AO258" s="263"/>
      <c r="AP258" s="263"/>
      <c r="AQ258" s="436"/>
      <c r="AR258" s="275"/>
      <c r="AS258" s="275"/>
      <c r="AT258" s="275"/>
      <c r="AU258" s="275"/>
      <c r="AV258" s="275"/>
      <c r="AW258" s="275"/>
      <c r="AX258" s="275"/>
      <c r="AY258" s="437"/>
      <c r="AZ258" s="440">
        <f t="shared" si="29"/>
        <v>0</v>
      </c>
      <c r="BA258" s="275"/>
      <c r="BB258" s="275"/>
      <c r="BC258" s="275"/>
      <c r="BD258" s="275"/>
      <c r="BE258" s="275"/>
      <c r="BF258" s="275"/>
      <c r="BG258" s="275"/>
      <c r="BH258" s="436"/>
      <c r="BI258" s="275"/>
      <c r="BJ258" s="275"/>
      <c r="BK258" s="291"/>
      <c r="BL258" s="291"/>
      <c r="BM258" s="275"/>
      <c r="BN258" s="275"/>
      <c r="BO258" s="438"/>
      <c r="BP258" s="436"/>
      <c r="BQ258" s="275"/>
      <c r="BR258" s="275"/>
      <c r="BS258" s="275"/>
      <c r="BT258" s="275"/>
      <c r="BU258" s="275"/>
      <c r="BV258" s="275"/>
      <c r="BW258" s="275"/>
      <c r="BX258" s="438"/>
      <c r="BY258" s="436"/>
      <c r="BZ258" s="275"/>
      <c r="CA258" s="275"/>
      <c r="CB258" s="275"/>
      <c r="CC258" s="275"/>
      <c r="CD258" s="275"/>
      <c r="CE258" s="275"/>
      <c r="CF258" s="275"/>
      <c r="CG258" s="438"/>
      <c r="CH258" s="436"/>
      <c r="CI258" s="275"/>
      <c r="CJ258" s="275"/>
      <c r="CK258" s="275"/>
      <c r="CL258" s="275"/>
      <c r="CM258" s="275"/>
      <c r="CN258" s="275"/>
      <c r="CO258" s="442"/>
      <c r="CP258" s="443"/>
      <c r="CQ258" s="429">
        <f t="shared" si="30"/>
        <v>0</v>
      </c>
      <c r="CR258" s="430"/>
    </row>
    <row r="259" spans="1:96" ht="25.5" customHeight="1" x14ac:dyDescent="0.2">
      <c r="A259" s="410">
        <f t="shared" si="31"/>
        <v>244</v>
      </c>
      <c r="B259" s="280"/>
      <c r="C259" s="453"/>
      <c r="D259" s="411"/>
      <c r="E259" s="254"/>
      <c r="F259" s="277"/>
      <c r="G259" s="450"/>
      <c r="H259" s="451"/>
      <c r="I259" s="433" t="str">
        <f t="shared" si="25"/>
        <v/>
      </c>
      <c r="J259" s="434">
        <f t="shared" si="26"/>
        <v>0</v>
      </c>
      <c r="K259" s="452"/>
      <c r="L259" s="276"/>
      <c r="M259" s="435"/>
      <c r="N259" s="417" t="str">
        <f t="shared" si="27"/>
        <v/>
      </c>
      <c r="O259" s="418" t="str">
        <f>IF('Data Set up'!$G$40="JUNE",IF(OR($N259=7,$N259=8,$N259=9),1,IF(OR($N259=10,$N259=11,$N259=12),2,IF(OR($N259=1,$N259=2,$N259=3),3,IF(OR($N259=4,$N259=5,$N259=6),4,"")))),IF(OR($N259=9,$N259=10,$N259=11),1,IF(OR($N259=12,$N259=1,$N259=2),2,IF(OR($N259=3,$N259=4,$N259=5),3,IF(OR($N259=6,$N259=7,$N259=8),4,"")))))</f>
        <v/>
      </c>
      <c r="P259" s="445"/>
      <c r="Q259" s="291"/>
      <c r="R259" s="291"/>
      <c r="S259" s="275"/>
      <c r="T259" s="275"/>
      <c r="U259" s="275"/>
      <c r="V259" s="275"/>
      <c r="W259" s="275"/>
      <c r="X259" s="275"/>
      <c r="Y259" s="275"/>
      <c r="Z259" s="275"/>
      <c r="AA259" s="275"/>
      <c r="AB259" s="275"/>
      <c r="AC259" s="275"/>
      <c r="AD259" s="275"/>
      <c r="AE259" s="275"/>
      <c r="AF259" s="275"/>
      <c r="AG259" s="275"/>
      <c r="AH259" s="438"/>
      <c r="AI259" s="439">
        <f t="shared" si="28"/>
        <v>0</v>
      </c>
      <c r="AJ259" s="263"/>
      <c r="AK259" s="263"/>
      <c r="AL259" s="263"/>
      <c r="AM259" s="263"/>
      <c r="AN259" s="263"/>
      <c r="AO259" s="263"/>
      <c r="AP259" s="263"/>
      <c r="AQ259" s="436"/>
      <c r="AR259" s="275"/>
      <c r="AS259" s="275"/>
      <c r="AT259" s="275"/>
      <c r="AU259" s="275"/>
      <c r="AV259" s="275"/>
      <c r="AW259" s="275"/>
      <c r="AX259" s="275"/>
      <c r="AY259" s="437"/>
      <c r="AZ259" s="440">
        <f t="shared" si="29"/>
        <v>0</v>
      </c>
      <c r="BA259" s="275"/>
      <c r="BB259" s="275"/>
      <c r="BC259" s="275"/>
      <c r="BD259" s="275"/>
      <c r="BE259" s="275"/>
      <c r="BF259" s="275"/>
      <c r="BG259" s="275"/>
      <c r="BH259" s="436"/>
      <c r="BI259" s="275"/>
      <c r="BJ259" s="275"/>
      <c r="BK259" s="291"/>
      <c r="BL259" s="291"/>
      <c r="BM259" s="275"/>
      <c r="BN259" s="275"/>
      <c r="BO259" s="438"/>
      <c r="BP259" s="436"/>
      <c r="BQ259" s="275"/>
      <c r="BR259" s="275"/>
      <c r="BS259" s="275"/>
      <c r="BT259" s="275"/>
      <c r="BU259" s="275"/>
      <c r="BV259" s="275"/>
      <c r="BW259" s="275"/>
      <c r="BX259" s="438"/>
      <c r="BY259" s="436"/>
      <c r="BZ259" s="275"/>
      <c r="CA259" s="275"/>
      <c r="CB259" s="275"/>
      <c r="CC259" s="275"/>
      <c r="CD259" s="275"/>
      <c r="CE259" s="275"/>
      <c r="CF259" s="275"/>
      <c r="CG259" s="438"/>
      <c r="CH259" s="436"/>
      <c r="CI259" s="275"/>
      <c r="CJ259" s="275"/>
      <c r="CK259" s="275"/>
      <c r="CL259" s="275"/>
      <c r="CM259" s="275"/>
      <c r="CN259" s="275"/>
      <c r="CO259" s="442"/>
      <c r="CP259" s="443"/>
      <c r="CQ259" s="429">
        <f t="shared" si="30"/>
        <v>0</v>
      </c>
      <c r="CR259" s="430"/>
    </row>
    <row r="260" spans="1:96" ht="25.5" customHeight="1" x14ac:dyDescent="0.2">
      <c r="A260" s="410">
        <f t="shared" si="31"/>
        <v>245</v>
      </c>
      <c r="B260" s="280"/>
      <c r="C260" s="453"/>
      <c r="D260" s="411"/>
      <c r="E260" s="254"/>
      <c r="F260" s="277"/>
      <c r="G260" s="450"/>
      <c r="H260" s="451"/>
      <c r="I260" s="433" t="str">
        <f t="shared" si="25"/>
        <v/>
      </c>
      <c r="J260" s="434">
        <f t="shared" si="26"/>
        <v>0</v>
      </c>
      <c r="K260" s="452"/>
      <c r="L260" s="276"/>
      <c r="M260" s="435"/>
      <c r="N260" s="417" t="str">
        <f t="shared" si="27"/>
        <v/>
      </c>
      <c r="O260" s="418" t="str">
        <f>IF('Data Set up'!$G$40="JUNE",IF(OR($N260=7,$N260=8,$N260=9),1,IF(OR($N260=10,$N260=11,$N260=12),2,IF(OR($N260=1,$N260=2,$N260=3),3,IF(OR($N260=4,$N260=5,$N260=6),4,"")))),IF(OR($N260=9,$N260=10,$N260=11),1,IF(OR($N260=12,$N260=1,$N260=2),2,IF(OR($N260=3,$N260=4,$N260=5),3,IF(OR($N260=6,$N260=7,$N260=8),4,"")))))</f>
        <v/>
      </c>
      <c r="P260" s="445"/>
      <c r="Q260" s="291"/>
      <c r="R260" s="291"/>
      <c r="S260" s="275"/>
      <c r="T260" s="275"/>
      <c r="U260" s="275"/>
      <c r="V260" s="275"/>
      <c r="W260" s="275"/>
      <c r="X260" s="275"/>
      <c r="Y260" s="275"/>
      <c r="Z260" s="275"/>
      <c r="AA260" s="275"/>
      <c r="AB260" s="275"/>
      <c r="AC260" s="275"/>
      <c r="AD260" s="275"/>
      <c r="AE260" s="275"/>
      <c r="AF260" s="275"/>
      <c r="AG260" s="275"/>
      <c r="AH260" s="438"/>
      <c r="AI260" s="439">
        <f t="shared" si="28"/>
        <v>0</v>
      </c>
      <c r="AJ260" s="263"/>
      <c r="AK260" s="263"/>
      <c r="AL260" s="263"/>
      <c r="AM260" s="263"/>
      <c r="AN260" s="263"/>
      <c r="AO260" s="263"/>
      <c r="AP260" s="263"/>
      <c r="AQ260" s="436"/>
      <c r="AR260" s="275"/>
      <c r="AS260" s="275"/>
      <c r="AT260" s="275"/>
      <c r="AU260" s="275"/>
      <c r="AV260" s="275"/>
      <c r="AW260" s="275"/>
      <c r="AX260" s="275"/>
      <c r="AY260" s="437"/>
      <c r="AZ260" s="440">
        <f t="shared" si="29"/>
        <v>0</v>
      </c>
      <c r="BA260" s="275"/>
      <c r="BB260" s="275"/>
      <c r="BC260" s="275"/>
      <c r="BD260" s="275"/>
      <c r="BE260" s="275"/>
      <c r="BF260" s="275"/>
      <c r="BG260" s="275"/>
      <c r="BH260" s="436"/>
      <c r="BI260" s="275"/>
      <c r="BJ260" s="275"/>
      <c r="BK260" s="291"/>
      <c r="BL260" s="291"/>
      <c r="BM260" s="275"/>
      <c r="BN260" s="275"/>
      <c r="BO260" s="438"/>
      <c r="BP260" s="436"/>
      <c r="BQ260" s="275"/>
      <c r="BR260" s="275"/>
      <c r="BS260" s="275"/>
      <c r="BT260" s="275"/>
      <c r="BU260" s="275"/>
      <c r="BV260" s="275"/>
      <c r="BW260" s="275"/>
      <c r="BX260" s="438"/>
      <c r="BY260" s="436"/>
      <c r="BZ260" s="275"/>
      <c r="CA260" s="275"/>
      <c r="CB260" s="275"/>
      <c r="CC260" s="275"/>
      <c r="CD260" s="275"/>
      <c r="CE260" s="275"/>
      <c r="CF260" s="275"/>
      <c r="CG260" s="438"/>
      <c r="CH260" s="436"/>
      <c r="CI260" s="275"/>
      <c r="CJ260" s="275"/>
      <c r="CK260" s="275"/>
      <c r="CL260" s="275"/>
      <c r="CM260" s="275"/>
      <c r="CN260" s="275"/>
      <c r="CO260" s="442"/>
      <c r="CP260" s="443"/>
      <c r="CQ260" s="429">
        <f t="shared" si="30"/>
        <v>0</v>
      </c>
      <c r="CR260" s="430"/>
    </row>
    <row r="261" spans="1:96" ht="25.5" customHeight="1" x14ac:dyDescent="0.2">
      <c r="A261" s="410">
        <f t="shared" si="31"/>
        <v>246</v>
      </c>
      <c r="B261" s="280"/>
      <c r="C261" s="453"/>
      <c r="D261" s="411"/>
      <c r="E261" s="254"/>
      <c r="F261" s="277"/>
      <c r="G261" s="450"/>
      <c r="H261" s="451"/>
      <c r="I261" s="433" t="str">
        <f t="shared" si="25"/>
        <v/>
      </c>
      <c r="J261" s="434">
        <f t="shared" si="26"/>
        <v>0</v>
      </c>
      <c r="K261" s="452"/>
      <c r="L261" s="276"/>
      <c r="M261" s="435"/>
      <c r="N261" s="417" t="str">
        <f t="shared" si="27"/>
        <v/>
      </c>
      <c r="O261" s="418" t="str">
        <f>IF('Data Set up'!$G$40="JUNE",IF(OR($N261=7,$N261=8,$N261=9),1,IF(OR($N261=10,$N261=11,$N261=12),2,IF(OR($N261=1,$N261=2,$N261=3),3,IF(OR($N261=4,$N261=5,$N261=6),4,"")))),IF(OR($N261=9,$N261=10,$N261=11),1,IF(OR($N261=12,$N261=1,$N261=2),2,IF(OR($N261=3,$N261=4,$N261=5),3,IF(OR($N261=6,$N261=7,$N261=8),4,"")))))</f>
        <v/>
      </c>
      <c r="P261" s="445"/>
      <c r="Q261" s="291"/>
      <c r="R261" s="291"/>
      <c r="S261" s="275"/>
      <c r="T261" s="275"/>
      <c r="U261" s="275"/>
      <c r="V261" s="275"/>
      <c r="W261" s="275"/>
      <c r="X261" s="275"/>
      <c r="Y261" s="275"/>
      <c r="Z261" s="275"/>
      <c r="AA261" s="275"/>
      <c r="AB261" s="275"/>
      <c r="AC261" s="275"/>
      <c r="AD261" s="275"/>
      <c r="AE261" s="275"/>
      <c r="AF261" s="275"/>
      <c r="AG261" s="275"/>
      <c r="AH261" s="438"/>
      <c r="AI261" s="439">
        <f t="shared" si="28"/>
        <v>0</v>
      </c>
      <c r="AJ261" s="263"/>
      <c r="AK261" s="263"/>
      <c r="AL261" s="263"/>
      <c r="AM261" s="263"/>
      <c r="AN261" s="263"/>
      <c r="AO261" s="263"/>
      <c r="AP261" s="263"/>
      <c r="AQ261" s="436"/>
      <c r="AR261" s="275"/>
      <c r="AS261" s="275"/>
      <c r="AT261" s="275"/>
      <c r="AU261" s="275"/>
      <c r="AV261" s="275"/>
      <c r="AW261" s="275"/>
      <c r="AX261" s="275"/>
      <c r="AY261" s="437"/>
      <c r="AZ261" s="440">
        <f t="shared" si="29"/>
        <v>0</v>
      </c>
      <c r="BA261" s="275"/>
      <c r="BB261" s="275"/>
      <c r="BC261" s="275"/>
      <c r="BD261" s="275"/>
      <c r="BE261" s="275"/>
      <c r="BF261" s="275"/>
      <c r="BG261" s="275"/>
      <c r="BH261" s="436"/>
      <c r="BI261" s="275"/>
      <c r="BJ261" s="275"/>
      <c r="BK261" s="291"/>
      <c r="BL261" s="291"/>
      <c r="BM261" s="275"/>
      <c r="BN261" s="275"/>
      <c r="BO261" s="438"/>
      <c r="BP261" s="436"/>
      <c r="BQ261" s="275"/>
      <c r="BR261" s="275"/>
      <c r="BS261" s="275"/>
      <c r="BT261" s="275"/>
      <c r="BU261" s="275"/>
      <c r="BV261" s="275"/>
      <c r="BW261" s="275"/>
      <c r="BX261" s="438"/>
      <c r="BY261" s="436"/>
      <c r="BZ261" s="275"/>
      <c r="CA261" s="275"/>
      <c r="CB261" s="275"/>
      <c r="CC261" s="275"/>
      <c r="CD261" s="275"/>
      <c r="CE261" s="275"/>
      <c r="CF261" s="275"/>
      <c r="CG261" s="438"/>
      <c r="CH261" s="436"/>
      <c r="CI261" s="275"/>
      <c r="CJ261" s="275"/>
      <c r="CK261" s="275"/>
      <c r="CL261" s="275"/>
      <c r="CM261" s="275"/>
      <c r="CN261" s="275"/>
      <c r="CO261" s="442"/>
      <c r="CP261" s="443"/>
      <c r="CQ261" s="429">
        <f t="shared" si="30"/>
        <v>0</v>
      </c>
      <c r="CR261" s="430"/>
    </row>
    <row r="262" spans="1:96" ht="25.5" customHeight="1" x14ac:dyDescent="0.2">
      <c r="A262" s="410">
        <f t="shared" si="31"/>
        <v>247</v>
      </c>
      <c r="B262" s="280"/>
      <c r="C262" s="453"/>
      <c r="D262" s="411"/>
      <c r="E262" s="254"/>
      <c r="F262" s="277"/>
      <c r="G262" s="450"/>
      <c r="H262" s="451"/>
      <c r="I262" s="433" t="str">
        <f t="shared" si="25"/>
        <v/>
      </c>
      <c r="J262" s="434">
        <f t="shared" si="26"/>
        <v>0</v>
      </c>
      <c r="K262" s="452"/>
      <c r="L262" s="276"/>
      <c r="M262" s="435"/>
      <c r="N262" s="417" t="str">
        <f t="shared" si="27"/>
        <v/>
      </c>
      <c r="O262" s="418" t="str">
        <f>IF('Data Set up'!$G$40="JUNE",IF(OR($N262=7,$N262=8,$N262=9),1,IF(OR($N262=10,$N262=11,$N262=12),2,IF(OR($N262=1,$N262=2,$N262=3),3,IF(OR($N262=4,$N262=5,$N262=6),4,"")))),IF(OR($N262=9,$N262=10,$N262=11),1,IF(OR($N262=12,$N262=1,$N262=2),2,IF(OR($N262=3,$N262=4,$N262=5),3,IF(OR($N262=6,$N262=7,$N262=8),4,"")))))</f>
        <v/>
      </c>
      <c r="P262" s="445"/>
      <c r="Q262" s="291"/>
      <c r="R262" s="291"/>
      <c r="S262" s="275"/>
      <c r="T262" s="275"/>
      <c r="U262" s="275"/>
      <c r="V262" s="275"/>
      <c r="W262" s="275"/>
      <c r="X262" s="275"/>
      <c r="Y262" s="275"/>
      <c r="Z262" s="275"/>
      <c r="AA262" s="275"/>
      <c r="AB262" s="275"/>
      <c r="AC262" s="275"/>
      <c r="AD262" s="275"/>
      <c r="AE262" s="275"/>
      <c r="AF262" s="275"/>
      <c r="AG262" s="275"/>
      <c r="AH262" s="438"/>
      <c r="AI262" s="439">
        <f t="shared" si="28"/>
        <v>0</v>
      </c>
      <c r="AJ262" s="263"/>
      <c r="AK262" s="263"/>
      <c r="AL262" s="263"/>
      <c r="AM262" s="263"/>
      <c r="AN262" s="263"/>
      <c r="AO262" s="263"/>
      <c r="AP262" s="263"/>
      <c r="AQ262" s="436"/>
      <c r="AR262" s="275"/>
      <c r="AS262" s="275"/>
      <c r="AT262" s="275"/>
      <c r="AU262" s="275"/>
      <c r="AV262" s="275"/>
      <c r="AW262" s="275"/>
      <c r="AX262" s="275"/>
      <c r="AY262" s="437"/>
      <c r="AZ262" s="440">
        <f t="shared" si="29"/>
        <v>0</v>
      </c>
      <c r="BA262" s="275"/>
      <c r="BB262" s="275"/>
      <c r="BC262" s="275"/>
      <c r="BD262" s="275"/>
      <c r="BE262" s="275"/>
      <c r="BF262" s="275"/>
      <c r="BG262" s="275"/>
      <c r="BH262" s="436"/>
      <c r="BI262" s="275"/>
      <c r="BJ262" s="275"/>
      <c r="BK262" s="291"/>
      <c r="BL262" s="291"/>
      <c r="BM262" s="275"/>
      <c r="BN262" s="275"/>
      <c r="BO262" s="438"/>
      <c r="BP262" s="436"/>
      <c r="BQ262" s="275"/>
      <c r="BR262" s="275"/>
      <c r="BS262" s="275"/>
      <c r="BT262" s="275"/>
      <c r="BU262" s="275"/>
      <c r="BV262" s="275"/>
      <c r="BW262" s="275"/>
      <c r="BX262" s="438"/>
      <c r="BY262" s="436"/>
      <c r="BZ262" s="275"/>
      <c r="CA262" s="275"/>
      <c r="CB262" s="275"/>
      <c r="CC262" s="275"/>
      <c r="CD262" s="275"/>
      <c r="CE262" s="275"/>
      <c r="CF262" s="275"/>
      <c r="CG262" s="438"/>
      <c r="CH262" s="436"/>
      <c r="CI262" s="275"/>
      <c r="CJ262" s="275"/>
      <c r="CK262" s="275"/>
      <c r="CL262" s="275"/>
      <c r="CM262" s="275"/>
      <c r="CN262" s="275"/>
      <c r="CO262" s="442"/>
      <c r="CP262" s="443"/>
      <c r="CQ262" s="429">
        <f t="shared" si="30"/>
        <v>0</v>
      </c>
      <c r="CR262" s="430"/>
    </row>
    <row r="263" spans="1:96" ht="25.5" customHeight="1" x14ac:dyDescent="0.2">
      <c r="A263" s="410">
        <f t="shared" si="31"/>
        <v>248</v>
      </c>
      <c r="B263" s="280"/>
      <c r="C263" s="453"/>
      <c r="D263" s="411"/>
      <c r="E263" s="254"/>
      <c r="F263" s="277"/>
      <c r="G263" s="450"/>
      <c r="H263" s="451"/>
      <c r="I263" s="433" t="str">
        <f t="shared" si="25"/>
        <v/>
      </c>
      <c r="J263" s="434">
        <f t="shared" si="26"/>
        <v>0</v>
      </c>
      <c r="K263" s="452"/>
      <c r="L263" s="276"/>
      <c r="M263" s="435"/>
      <c r="N263" s="417" t="str">
        <f t="shared" si="27"/>
        <v/>
      </c>
      <c r="O263" s="418" t="str">
        <f>IF('Data Set up'!$G$40="JUNE",IF(OR($N263=7,$N263=8,$N263=9),1,IF(OR($N263=10,$N263=11,$N263=12),2,IF(OR($N263=1,$N263=2,$N263=3),3,IF(OR($N263=4,$N263=5,$N263=6),4,"")))),IF(OR($N263=9,$N263=10,$N263=11),1,IF(OR($N263=12,$N263=1,$N263=2),2,IF(OR($N263=3,$N263=4,$N263=5),3,IF(OR($N263=6,$N263=7,$N263=8),4,"")))))</f>
        <v/>
      </c>
      <c r="P263" s="445"/>
      <c r="Q263" s="291"/>
      <c r="R263" s="291"/>
      <c r="S263" s="275"/>
      <c r="T263" s="275"/>
      <c r="U263" s="275"/>
      <c r="V263" s="275"/>
      <c r="W263" s="275"/>
      <c r="X263" s="275"/>
      <c r="Y263" s="275"/>
      <c r="Z263" s="275"/>
      <c r="AA263" s="275"/>
      <c r="AB263" s="275"/>
      <c r="AC263" s="275"/>
      <c r="AD263" s="275"/>
      <c r="AE263" s="275"/>
      <c r="AF263" s="275"/>
      <c r="AG263" s="275"/>
      <c r="AH263" s="438"/>
      <c r="AI263" s="439">
        <f t="shared" si="28"/>
        <v>0</v>
      </c>
      <c r="AJ263" s="263"/>
      <c r="AK263" s="263"/>
      <c r="AL263" s="263"/>
      <c r="AM263" s="263"/>
      <c r="AN263" s="263"/>
      <c r="AO263" s="263"/>
      <c r="AP263" s="263"/>
      <c r="AQ263" s="436"/>
      <c r="AR263" s="275"/>
      <c r="AS263" s="275"/>
      <c r="AT263" s="275"/>
      <c r="AU263" s="275"/>
      <c r="AV263" s="275"/>
      <c r="AW263" s="275"/>
      <c r="AX263" s="275"/>
      <c r="AY263" s="437"/>
      <c r="AZ263" s="440">
        <f t="shared" si="29"/>
        <v>0</v>
      </c>
      <c r="BA263" s="275"/>
      <c r="BB263" s="275"/>
      <c r="BC263" s="275"/>
      <c r="BD263" s="275"/>
      <c r="BE263" s="275"/>
      <c r="BF263" s="275"/>
      <c r="BG263" s="275"/>
      <c r="BH263" s="436"/>
      <c r="BI263" s="275"/>
      <c r="BJ263" s="275"/>
      <c r="BK263" s="291"/>
      <c r="BL263" s="291"/>
      <c r="BM263" s="275"/>
      <c r="BN263" s="275"/>
      <c r="BO263" s="438"/>
      <c r="BP263" s="436"/>
      <c r="BQ263" s="275"/>
      <c r="BR263" s="275"/>
      <c r="BS263" s="275"/>
      <c r="BT263" s="275"/>
      <c r="BU263" s="275"/>
      <c r="BV263" s="275"/>
      <c r="BW263" s="275"/>
      <c r="BX263" s="438"/>
      <c r="BY263" s="436"/>
      <c r="BZ263" s="275"/>
      <c r="CA263" s="275"/>
      <c r="CB263" s="275"/>
      <c r="CC263" s="275"/>
      <c r="CD263" s="275"/>
      <c r="CE263" s="275"/>
      <c r="CF263" s="275"/>
      <c r="CG263" s="438"/>
      <c r="CH263" s="436"/>
      <c r="CI263" s="275"/>
      <c r="CJ263" s="275"/>
      <c r="CK263" s="275"/>
      <c r="CL263" s="275"/>
      <c r="CM263" s="275"/>
      <c r="CN263" s="275"/>
      <c r="CO263" s="442"/>
      <c r="CP263" s="443"/>
      <c r="CQ263" s="429">
        <f t="shared" si="30"/>
        <v>0</v>
      </c>
      <c r="CR263" s="430"/>
    </row>
    <row r="264" spans="1:96" ht="25.5" customHeight="1" x14ac:dyDescent="0.2">
      <c r="A264" s="410">
        <f t="shared" si="31"/>
        <v>249</v>
      </c>
      <c r="B264" s="280"/>
      <c r="C264" s="453"/>
      <c r="D264" s="411"/>
      <c r="E264" s="254"/>
      <c r="F264" s="277"/>
      <c r="G264" s="450"/>
      <c r="H264" s="451"/>
      <c r="I264" s="433" t="str">
        <f t="shared" si="25"/>
        <v/>
      </c>
      <c r="J264" s="434">
        <f t="shared" si="26"/>
        <v>0</v>
      </c>
      <c r="K264" s="452"/>
      <c r="L264" s="276"/>
      <c r="M264" s="435"/>
      <c r="N264" s="417" t="str">
        <f t="shared" si="27"/>
        <v/>
      </c>
      <c r="O264" s="418" t="str">
        <f>IF('Data Set up'!$G$40="JUNE",IF(OR($N264=7,$N264=8,$N264=9),1,IF(OR($N264=10,$N264=11,$N264=12),2,IF(OR($N264=1,$N264=2,$N264=3),3,IF(OR($N264=4,$N264=5,$N264=6),4,"")))),IF(OR($N264=9,$N264=10,$N264=11),1,IF(OR($N264=12,$N264=1,$N264=2),2,IF(OR($N264=3,$N264=4,$N264=5),3,IF(OR($N264=6,$N264=7,$N264=8),4,"")))))</f>
        <v/>
      </c>
      <c r="P264" s="445"/>
      <c r="Q264" s="291"/>
      <c r="R264" s="291"/>
      <c r="S264" s="275"/>
      <c r="T264" s="275"/>
      <c r="U264" s="275"/>
      <c r="V264" s="275"/>
      <c r="W264" s="275"/>
      <c r="X264" s="275"/>
      <c r="Y264" s="275"/>
      <c r="Z264" s="275"/>
      <c r="AA264" s="275"/>
      <c r="AB264" s="275"/>
      <c r="AC264" s="275"/>
      <c r="AD264" s="275"/>
      <c r="AE264" s="275"/>
      <c r="AF264" s="275"/>
      <c r="AG264" s="275"/>
      <c r="AH264" s="438"/>
      <c r="AI264" s="439">
        <f t="shared" si="28"/>
        <v>0</v>
      </c>
      <c r="AJ264" s="263"/>
      <c r="AK264" s="263"/>
      <c r="AL264" s="263"/>
      <c r="AM264" s="263"/>
      <c r="AN264" s="263"/>
      <c r="AO264" s="263"/>
      <c r="AP264" s="263"/>
      <c r="AQ264" s="436"/>
      <c r="AR264" s="275"/>
      <c r="AS264" s="275"/>
      <c r="AT264" s="275"/>
      <c r="AU264" s="275"/>
      <c r="AV264" s="275"/>
      <c r="AW264" s="275"/>
      <c r="AX264" s="275"/>
      <c r="AY264" s="437"/>
      <c r="AZ264" s="440">
        <f t="shared" si="29"/>
        <v>0</v>
      </c>
      <c r="BA264" s="275"/>
      <c r="BB264" s="275"/>
      <c r="BC264" s="275"/>
      <c r="BD264" s="275"/>
      <c r="BE264" s="275"/>
      <c r="BF264" s="275"/>
      <c r="BG264" s="275"/>
      <c r="BH264" s="436"/>
      <c r="BI264" s="275"/>
      <c r="BJ264" s="275"/>
      <c r="BK264" s="291"/>
      <c r="BL264" s="291"/>
      <c r="BM264" s="275"/>
      <c r="BN264" s="275"/>
      <c r="BO264" s="438"/>
      <c r="BP264" s="436"/>
      <c r="BQ264" s="275"/>
      <c r="BR264" s="275"/>
      <c r="BS264" s="275"/>
      <c r="BT264" s="275"/>
      <c r="BU264" s="275"/>
      <c r="BV264" s="275"/>
      <c r="BW264" s="275"/>
      <c r="BX264" s="438"/>
      <c r="BY264" s="436"/>
      <c r="BZ264" s="275"/>
      <c r="CA264" s="275"/>
      <c r="CB264" s="275"/>
      <c r="CC264" s="275"/>
      <c r="CD264" s="275"/>
      <c r="CE264" s="275"/>
      <c r="CF264" s="275"/>
      <c r="CG264" s="438"/>
      <c r="CH264" s="436"/>
      <c r="CI264" s="275"/>
      <c r="CJ264" s="275"/>
      <c r="CK264" s="275"/>
      <c r="CL264" s="275"/>
      <c r="CM264" s="275"/>
      <c r="CN264" s="275"/>
      <c r="CO264" s="442"/>
      <c r="CP264" s="443"/>
      <c r="CQ264" s="429">
        <f t="shared" si="30"/>
        <v>0</v>
      </c>
      <c r="CR264" s="430"/>
    </row>
    <row r="265" spans="1:96" ht="25.5" customHeight="1" x14ac:dyDescent="0.2">
      <c r="A265" s="410">
        <f t="shared" si="31"/>
        <v>250</v>
      </c>
      <c r="B265" s="280"/>
      <c r="C265" s="453"/>
      <c r="D265" s="411"/>
      <c r="E265" s="254"/>
      <c r="F265" s="277"/>
      <c r="G265" s="450"/>
      <c r="H265" s="451"/>
      <c r="I265" s="433" t="str">
        <f t="shared" si="25"/>
        <v/>
      </c>
      <c r="J265" s="434">
        <f t="shared" si="26"/>
        <v>0</v>
      </c>
      <c r="K265" s="452"/>
      <c r="L265" s="276"/>
      <c r="M265" s="435"/>
      <c r="N265" s="417" t="str">
        <f t="shared" si="27"/>
        <v/>
      </c>
      <c r="O265" s="418" t="str">
        <f>IF('Data Set up'!$G$40="JUNE",IF(OR($N265=7,$N265=8,$N265=9),1,IF(OR($N265=10,$N265=11,$N265=12),2,IF(OR($N265=1,$N265=2,$N265=3),3,IF(OR($N265=4,$N265=5,$N265=6),4,"")))),IF(OR($N265=9,$N265=10,$N265=11),1,IF(OR($N265=12,$N265=1,$N265=2),2,IF(OR($N265=3,$N265=4,$N265=5),3,IF(OR($N265=6,$N265=7,$N265=8),4,"")))))</f>
        <v/>
      </c>
      <c r="P265" s="445"/>
      <c r="Q265" s="291"/>
      <c r="R265" s="291"/>
      <c r="S265" s="275"/>
      <c r="T265" s="275"/>
      <c r="U265" s="275"/>
      <c r="V265" s="275"/>
      <c r="W265" s="275"/>
      <c r="X265" s="275"/>
      <c r="Y265" s="275"/>
      <c r="Z265" s="275"/>
      <c r="AA265" s="275"/>
      <c r="AB265" s="275"/>
      <c r="AC265" s="275"/>
      <c r="AD265" s="275"/>
      <c r="AE265" s="275"/>
      <c r="AF265" s="275"/>
      <c r="AG265" s="275"/>
      <c r="AH265" s="438"/>
      <c r="AI265" s="439">
        <f t="shared" si="28"/>
        <v>0</v>
      </c>
      <c r="AJ265" s="263"/>
      <c r="AK265" s="263"/>
      <c r="AL265" s="263"/>
      <c r="AM265" s="263"/>
      <c r="AN265" s="263"/>
      <c r="AO265" s="263"/>
      <c r="AP265" s="263"/>
      <c r="AQ265" s="436"/>
      <c r="AR265" s="275"/>
      <c r="AS265" s="275"/>
      <c r="AT265" s="275"/>
      <c r="AU265" s="275"/>
      <c r="AV265" s="275"/>
      <c r="AW265" s="275"/>
      <c r="AX265" s="275"/>
      <c r="AY265" s="437"/>
      <c r="AZ265" s="440">
        <f t="shared" si="29"/>
        <v>0</v>
      </c>
      <c r="BA265" s="275"/>
      <c r="BB265" s="275"/>
      <c r="BC265" s="275"/>
      <c r="BD265" s="275"/>
      <c r="BE265" s="275"/>
      <c r="BF265" s="275"/>
      <c r="BG265" s="275"/>
      <c r="BH265" s="436"/>
      <c r="BI265" s="275"/>
      <c r="BJ265" s="275"/>
      <c r="BK265" s="291"/>
      <c r="BL265" s="291"/>
      <c r="BM265" s="275"/>
      <c r="BN265" s="275"/>
      <c r="BO265" s="438"/>
      <c r="BP265" s="436"/>
      <c r="BQ265" s="275"/>
      <c r="BR265" s="275"/>
      <c r="BS265" s="275"/>
      <c r="BT265" s="275"/>
      <c r="BU265" s="275"/>
      <c r="BV265" s="275"/>
      <c r="BW265" s="275"/>
      <c r="BX265" s="438"/>
      <c r="BY265" s="436"/>
      <c r="BZ265" s="275"/>
      <c r="CA265" s="275"/>
      <c r="CB265" s="275"/>
      <c r="CC265" s="275"/>
      <c r="CD265" s="275"/>
      <c r="CE265" s="275"/>
      <c r="CF265" s="275"/>
      <c r="CG265" s="438"/>
      <c r="CH265" s="436"/>
      <c r="CI265" s="275"/>
      <c r="CJ265" s="275"/>
      <c r="CK265" s="275"/>
      <c r="CL265" s="275"/>
      <c r="CM265" s="275"/>
      <c r="CN265" s="275"/>
      <c r="CO265" s="442"/>
      <c r="CP265" s="443"/>
      <c r="CQ265" s="429">
        <f t="shared" si="30"/>
        <v>0</v>
      </c>
      <c r="CR265" s="430"/>
    </row>
    <row r="266" spans="1:96" ht="25.5" customHeight="1" x14ac:dyDescent="0.2">
      <c r="A266" s="410">
        <f t="shared" si="31"/>
        <v>251</v>
      </c>
      <c r="B266" s="280"/>
      <c r="C266" s="453"/>
      <c r="D266" s="411"/>
      <c r="E266" s="254"/>
      <c r="F266" s="277"/>
      <c r="G266" s="450"/>
      <c r="H266" s="451"/>
      <c r="I266" s="433" t="str">
        <f t="shared" si="25"/>
        <v/>
      </c>
      <c r="J266" s="434">
        <f t="shared" si="26"/>
        <v>0</v>
      </c>
      <c r="K266" s="452"/>
      <c r="L266" s="276"/>
      <c r="M266" s="435"/>
      <c r="N266" s="417" t="str">
        <f t="shared" si="27"/>
        <v/>
      </c>
      <c r="O266" s="418" t="str">
        <f>IF('Data Set up'!$G$40="JUNE",IF(OR($N266=7,$N266=8,$N266=9),1,IF(OR($N266=10,$N266=11,$N266=12),2,IF(OR($N266=1,$N266=2,$N266=3),3,IF(OR($N266=4,$N266=5,$N266=6),4,"")))),IF(OR($N266=9,$N266=10,$N266=11),1,IF(OR($N266=12,$N266=1,$N266=2),2,IF(OR($N266=3,$N266=4,$N266=5),3,IF(OR($N266=6,$N266=7,$N266=8),4,"")))))</f>
        <v/>
      </c>
      <c r="P266" s="445"/>
      <c r="Q266" s="291"/>
      <c r="R266" s="291"/>
      <c r="S266" s="275"/>
      <c r="T266" s="275"/>
      <c r="U266" s="275"/>
      <c r="V266" s="275"/>
      <c r="W266" s="275"/>
      <c r="X266" s="275"/>
      <c r="Y266" s="275"/>
      <c r="Z266" s="275"/>
      <c r="AA266" s="275"/>
      <c r="AB266" s="275"/>
      <c r="AC266" s="275"/>
      <c r="AD266" s="275"/>
      <c r="AE266" s="275"/>
      <c r="AF266" s="275"/>
      <c r="AG266" s="275"/>
      <c r="AH266" s="438"/>
      <c r="AI266" s="439">
        <f t="shared" si="28"/>
        <v>0</v>
      </c>
      <c r="AJ266" s="263"/>
      <c r="AK266" s="263"/>
      <c r="AL266" s="263"/>
      <c r="AM266" s="263"/>
      <c r="AN266" s="263"/>
      <c r="AO266" s="263"/>
      <c r="AP266" s="263"/>
      <c r="AQ266" s="436"/>
      <c r="AR266" s="275"/>
      <c r="AS266" s="275"/>
      <c r="AT266" s="275"/>
      <c r="AU266" s="275"/>
      <c r="AV266" s="275"/>
      <c r="AW266" s="275"/>
      <c r="AX266" s="275"/>
      <c r="AY266" s="437"/>
      <c r="AZ266" s="440">
        <f t="shared" si="29"/>
        <v>0</v>
      </c>
      <c r="BA266" s="275"/>
      <c r="BB266" s="275"/>
      <c r="BC266" s="275"/>
      <c r="BD266" s="275"/>
      <c r="BE266" s="275"/>
      <c r="BF266" s="275"/>
      <c r="BG266" s="275"/>
      <c r="BH266" s="436"/>
      <c r="BI266" s="275"/>
      <c r="BJ266" s="275"/>
      <c r="BK266" s="291"/>
      <c r="BL266" s="291"/>
      <c r="BM266" s="275"/>
      <c r="BN266" s="275"/>
      <c r="BO266" s="438"/>
      <c r="BP266" s="436"/>
      <c r="BQ266" s="275"/>
      <c r="BR266" s="275"/>
      <c r="BS266" s="275"/>
      <c r="BT266" s="275"/>
      <c r="BU266" s="275"/>
      <c r="BV266" s="275"/>
      <c r="BW266" s="275"/>
      <c r="BX266" s="438"/>
      <c r="BY266" s="436"/>
      <c r="BZ266" s="275"/>
      <c r="CA266" s="275"/>
      <c r="CB266" s="275"/>
      <c r="CC266" s="275"/>
      <c r="CD266" s="275"/>
      <c r="CE266" s="275"/>
      <c r="CF266" s="275"/>
      <c r="CG266" s="438"/>
      <c r="CH266" s="436"/>
      <c r="CI266" s="275"/>
      <c r="CJ266" s="275"/>
      <c r="CK266" s="275"/>
      <c r="CL266" s="275"/>
      <c r="CM266" s="275"/>
      <c r="CN266" s="275"/>
      <c r="CO266" s="442"/>
      <c r="CP266" s="443"/>
      <c r="CQ266" s="429">
        <f t="shared" si="30"/>
        <v>0</v>
      </c>
      <c r="CR266" s="430"/>
    </row>
    <row r="267" spans="1:96" ht="25.5" customHeight="1" x14ac:dyDescent="0.2">
      <c r="A267" s="410">
        <f t="shared" si="31"/>
        <v>252</v>
      </c>
      <c r="B267" s="280"/>
      <c r="C267" s="453"/>
      <c r="D267" s="411"/>
      <c r="E267" s="254"/>
      <c r="F267" s="277"/>
      <c r="G267" s="450"/>
      <c r="H267" s="451"/>
      <c r="I267" s="433" t="str">
        <f t="shared" si="25"/>
        <v/>
      </c>
      <c r="J267" s="434">
        <f t="shared" si="26"/>
        <v>0</v>
      </c>
      <c r="K267" s="452"/>
      <c r="L267" s="276"/>
      <c r="M267" s="435"/>
      <c r="N267" s="417" t="str">
        <f t="shared" si="27"/>
        <v/>
      </c>
      <c r="O267" s="418" t="str">
        <f>IF('Data Set up'!$G$40="JUNE",IF(OR($N267=7,$N267=8,$N267=9),1,IF(OR($N267=10,$N267=11,$N267=12),2,IF(OR($N267=1,$N267=2,$N267=3),3,IF(OR($N267=4,$N267=5,$N267=6),4,"")))),IF(OR($N267=9,$N267=10,$N267=11),1,IF(OR($N267=12,$N267=1,$N267=2),2,IF(OR($N267=3,$N267=4,$N267=5),3,IF(OR($N267=6,$N267=7,$N267=8),4,"")))))</f>
        <v/>
      </c>
      <c r="P267" s="445"/>
      <c r="Q267" s="291"/>
      <c r="R267" s="291"/>
      <c r="S267" s="275"/>
      <c r="T267" s="275"/>
      <c r="U267" s="275"/>
      <c r="V267" s="275"/>
      <c r="W267" s="275"/>
      <c r="X267" s="275"/>
      <c r="Y267" s="275"/>
      <c r="Z267" s="275"/>
      <c r="AA267" s="275"/>
      <c r="AB267" s="275"/>
      <c r="AC267" s="275"/>
      <c r="AD267" s="275"/>
      <c r="AE267" s="275"/>
      <c r="AF267" s="275"/>
      <c r="AG267" s="275"/>
      <c r="AH267" s="438"/>
      <c r="AI267" s="439">
        <f t="shared" si="28"/>
        <v>0</v>
      </c>
      <c r="AJ267" s="263"/>
      <c r="AK267" s="263"/>
      <c r="AL267" s="263"/>
      <c r="AM267" s="263"/>
      <c r="AN267" s="263"/>
      <c r="AO267" s="263"/>
      <c r="AP267" s="263"/>
      <c r="AQ267" s="436"/>
      <c r="AR267" s="275"/>
      <c r="AS267" s="275"/>
      <c r="AT267" s="275"/>
      <c r="AU267" s="275"/>
      <c r="AV267" s="275"/>
      <c r="AW267" s="275"/>
      <c r="AX267" s="275"/>
      <c r="AY267" s="437"/>
      <c r="AZ267" s="440">
        <f t="shared" si="29"/>
        <v>0</v>
      </c>
      <c r="BA267" s="275"/>
      <c r="BB267" s="275"/>
      <c r="BC267" s="275"/>
      <c r="BD267" s="275"/>
      <c r="BE267" s="275"/>
      <c r="BF267" s="275"/>
      <c r="BG267" s="275"/>
      <c r="BH267" s="436"/>
      <c r="BI267" s="275"/>
      <c r="BJ267" s="275"/>
      <c r="BK267" s="291"/>
      <c r="BL267" s="291"/>
      <c r="BM267" s="275"/>
      <c r="BN267" s="275"/>
      <c r="BO267" s="438"/>
      <c r="BP267" s="436"/>
      <c r="BQ267" s="275"/>
      <c r="BR267" s="275"/>
      <c r="BS267" s="275"/>
      <c r="BT267" s="275"/>
      <c r="BU267" s="275"/>
      <c r="BV267" s="275"/>
      <c r="BW267" s="275"/>
      <c r="BX267" s="438"/>
      <c r="BY267" s="436"/>
      <c r="BZ267" s="275"/>
      <c r="CA267" s="275"/>
      <c r="CB267" s="275"/>
      <c r="CC267" s="275"/>
      <c r="CD267" s="275"/>
      <c r="CE267" s="275"/>
      <c r="CF267" s="275"/>
      <c r="CG267" s="438"/>
      <c r="CH267" s="436"/>
      <c r="CI267" s="275"/>
      <c r="CJ267" s="275"/>
      <c r="CK267" s="275"/>
      <c r="CL267" s="275"/>
      <c r="CM267" s="275"/>
      <c r="CN267" s="275"/>
      <c r="CO267" s="442"/>
      <c r="CP267" s="443"/>
      <c r="CQ267" s="429">
        <f t="shared" si="30"/>
        <v>0</v>
      </c>
      <c r="CR267" s="430"/>
    </row>
    <row r="268" spans="1:96" ht="25.5" customHeight="1" x14ac:dyDescent="0.2">
      <c r="A268" s="410">
        <f t="shared" si="31"/>
        <v>253</v>
      </c>
      <c r="B268" s="280"/>
      <c r="C268" s="453"/>
      <c r="D268" s="411"/>
      <c r="E268" s="254"/>
      <c r="F268" s="277"/>
      <c r="G268" s="450"/>
      <c r="H268" s="451"/>
      <c r="I268" s="433" t="str">
        <f t="shared" si="25"/>
        <v/>
      </c>
      <c r="J268" s="434">
        <f t="shared" si="26"/>
        <v>0</v>
      </c>
      <c r="K268" s="452"/>
      <c r="L268" s="276"/>
      <c r="M268" s="435"/>
      <c r="N268" s="417" t="str">
        <f t="shared" si="27"/>
        <v/>
      </c>
      <c r="O268" s="418" t="str">
        <f>IF('Data Set up'!$G$40="JUNE",IF(OR($N268=7,$N268=8,$N268=9),1,IF(OR($N268=10,$N268=11,$N268=12),2,IF(OR($N268=1,$N268=2,$N268=3),3,IF(OR($N268=4,$N268=5,$N268=6),4,"")))),IF(OR($N268=9,$N268=10,$N268=11),1,IF(OR($N268=12,$N268=1,$N268=2),2,IF(OR($N268=3,$N268=4,$N268=5),3,IF(OR($N268=6,$N268=7,$N268=8),4,"")))))</f>
        <v/>
      </c>
      <c r="P268" s="445"/>
      <c r="Q268" s="291"/>
      <c r="R268" s="291"/>
      <c r="S268" s="275"/>
      <c r="T268" s="275"/>
      <c r="U268" s="275"/>
      <c r="V268" s="275"/>
      <c r="W268" s="275"/>
      <c r="X268" s="275"/>
      <c r="Y268" s="275"/>
      <c r="Z268" s="275"/>
      <c r="AA268" s="275"/>
      <c r="AB268" s="275"/>
      <c r="AC268" s="275"/>
      <c r="AD268" s="275"/>
      <c r="AE268" s="275"/>
      <c r="AF268" s="275"/>
      <c r="AG268" s="275"/>
      <c r="AH268" s="438"/>
      <c r="AI268" s="439">
        <f t="shared" si="28"/>
        <v>0</v>
      </c>
      <c r="AJ268" s="263"/>
      <c r="AK268" s="263"/>
      <c r="AL268" s="263"/>
      <c r="AM268" s="263"/>
      <c r="AN268" s="263"/>
      <c r="AO268" s="263"/>
      <c r="AP268" s="263"/>
      <c r="AQ268" s="436"/>
      <c r="AR268" s="275"/>
      <c r="AS268" s="275"/>
      <c r="AT268" s="275"/>
      <c r="AU268" s="275"/>
      <c r="AV268" s="275"/>
      <c r="AW268" s="275"/>
      <c r="AX268" s="275"/>
      <c r="AY268" s="437"/>
      <c r="AZ268" s="440">
        <f t="shared" si="29"/>
        <v>0</v>
      </c>
      <c r="BA268" s="275"/>
      <c r="BB268" s="275"/>
      <c r="BC268" s="275"/>
      <c r="BD268" s="275"/>
      <c r="BE268" s="275"/>
      <c r="BF268" s="275"/>
      <c r="BG268" s="275"/>
      <c r="BH268" s="436"/>
      <c r="BI268" s="275"/>
      <c r="BJ268" s="275"/>
      <c r="BK268" s="291"/>
      <c r="BL268" s="291"/>
      <c r="BM268" s="275"/>
      <c r="BN268" s="275"/>
      <c r="BO268" s="438"/>
      <c r="BP268" s="436"/>
      <c r="BQ268" s="275"/>
      <c r="BR268" s="275"/>
      <c r="BS268" s="275"/>
      <c r="BT268" s="275"/>
      <c r="BU268" s="275"/>
      <c r="BV268" s="275"/>
      <c r="BW268" s="275"/>
      <c r="BX268" s="438"/>
      <c r="BY268" s="436"/>
      <c r="BZ268" s="275"/>
      <c r="CA268" s="275"/>
      <c r="CB268" s="275"/>
      <c r="CC268" s="275"/>
      <c r="CD268" s="275"/>
      <c r="CE268" s="275"/>
      <c r="CF268" s="275"/>
      <c r="CG268" s="438"/>
      <c r="CH268" s="436"/>
      <c r="CI268" s="275"/>
      <c r="CJ268" s="275"/>
      <c r="CK268" s="275"/>
      <c r="CL268" s="275"/>
      <c r="CM268" s="275"/>
      <c r="CN268" s="275"/>
      <c r="CO268" s="442"/>
      <c r="CP268" s="443"/>
      <c r="CQ268" s="429">
        <f t="shared" si="30"/>
        <v>0</v>
      </c>
      <c r="CR268" s="430"/>
    </row>
    <row r="269" spans="1:96" ht="25.5" customHeight="1" x14ac:dyDescent="0.2">
      <c r="A269" s="410">
        <f t="shared" si="31"/>
        <v>254</v>
      </c>
      <c r="B269" s="280"/>
      <c r="C269" s="453"/>
      <c r="D269" s="411"/>
      <c r="E269" s="254"/>
      <c r="F269" s="277"/>
      <c r="G269" s="450"/>
      <c r="H269" s="451"/>
      <c r="I269" s="433" t="str">
        <f t="shared" si="25"/>
        <v/>
      </c>
      <c r="J269" s="434">
        <f t="shared" si="26"/>
        <v>0</v>
      </c>
      <c r="K269" s="452"/>
      <c r="L269" s="276"/>
      <c r="M269" s="435"/>
      <c r="N269" s="417" t="str">
        <f t="shared" si="27"/>
        <v/>
      </c>
      <c r="O269" s="418" t="str">
        <f>IF('Data Set up'!$G$40="JUNE",IF(OR($N269=7,$N269=8,$N269=9),1,IF(OR($N269=10,$N269=11,$N269=12),2,IF(OR($N269=1,$N269=2,$N269=3),3,IF(OR($N269=4,$N269=5,$N269=6),4,"")))),IF(OR($N269=9,$N269=10,$N269=11),1,IF(OR($N269=12,$N269=1,$N269=2),2,IF(OR($N269=3,$N269=4,$N269=5),3,IF(OR($N269=6,$N269=7,$N269=8),4,"")))))</f>
        <v/>
      </c>
      <c r="P269" s="445"/>
      <c r="Q269" s="291"/>
      <c r="R269" s="291"/>
      <c r="S269" s="275"/>
      <c r="T269" s="275"/>
      <c r="U269" s="275"/>
      <c r="V269" s="275"/>
      <c r="W269" s="275"/>
      <c r="X269" s="275"/>
      <c r="Y269" s="275"/>
      <c r="Z269" s="275"/>
      <c r="AA269" s="275"/>
      <c r="AB269" s="275"/>
      <c r="AC269" s="275"/>
      <c r="AD269" s="275"/>
      <c r="AE269" s="275"/>
      <c r="AF269" s="275"/>
      <c r="AG269" s="275"/>
      <c r="AH269" s="438"/>
      <c r="AI269" s="439">
        <f t="shared" si="28"/>
        <v>0</v>
      </c>
      <c r="AJ269" s="263"/>
      <c r="AK269" s="263"/>
      <c r="AL269" s="263"/>
      <c r="AM269" s="263"/>
      <c r="AN269" s="263"/>
      <c r="AO269" s="263"/>
      <c r="AP269" s="263"/>
      <c r="AQ269" s="436"/>
      <c r="AR269" s="275"/>
      <c r="AS269" s="275"/>
      <c r="AT269" s="275"/>
      <c r="AU269" s="275"/>
      <c r="AV269" s="275"/>
      <c r="AW269" s="275"/>
      <c r="AX269" s="275"/>
      <c r="AY269" s="437"/>
      <c r="AZ269" s="440">
        <f t="shared" si="29"/>
        <v>0</v>
      </c>
      <c r="BA269" s="275"/>
      <c r="BB269" s="275"/>
      <c r="BC269" s="275"/>
      <c r="BD269" s="275"/>
      <c r="BE269" s="275"/>
      <c r="BF269" s="275"/>
      <c r="BG269" s="275"/>
      <c r="BH269" s="436"/>
      <c r="BI269" s="275"/>
      <c r="BJ269" s="275"/>
      <c r="BK269" s="291"/>
      <c r="BL269" s="291"/>
      <c r="BM269" s="275"/>
      <c r="BN269" s="275"/>
      <c r="BO269" s="438"/>
      <c r="BP269" s="436"/>
      <c r="BQ269" s="275"/>
      <c r="BR269" s="275"/>
      <c r="BS269" s="275"/>
      <c r="BT269" s="275"/>
      <c r="BU269" s="275"/>
      <c r="BV269" s="275"/>
      <c r="BW269" s="275"/>
      <c r="BX269" s="438"/>
      <c r="BY269" s="436"/>
      <c r="BZ269" s="275"/>
      <c r="CA269" s="275"/>
      <c r="CB269" s="275"/>
      <c r="CC269" s="275"/>
      <c r="CD269" s="275"/>
      <c r="CE269" s="275"/>
      <c r="CF269" s="275"/>
      <c r="CG269" s="438"/>
      <c r="CH269" s="436"/>
      <c r="CI269" s="275"/>
      <c r="CJ269" s="275"/>
      <c r="CK269" s="275"/>
      <c r="CL269" s="275"/>
      <c r="CM269" s="275"/>
      <c r="CN269" s="275"/>
      <c r="CO269" s="442"/>
      <c r="CP269" s="443"/>
      <c r="CQ269" s="429">
        <f t="shared" si="30"/>
        <v>0</v>
      </c>
      <c r="CR269" s="430"/>
    </row>
    <row r="270" spans="1:96" ht="25.5" customHeight="1" x14ac:dyDescent="0.2">
      <c r="A270" s="410">
        <f t="shared" si="31"/>
        <v>255</v>
      </c>
      <c r="B270" s="280"/>
      <c r="C270" s="453"/>
      <c r="D270" s="411"/>
      <c r="E270" s="254"/>
      <c r="F270" s="277"/>
      <c r="G270" s="450"/>
      <c r="H270" s="451"/>
      <c r="I270" s="433" t="str">
        <f t="shared" si="25"/>
        <v/>
      </c>
      <c r="J270" s="434">
        <f t="shared" si="26"/>
        <v>0</v>
      </c>
      <c r="K270" s="452"/>
      <c r="L270" s="276"/>
      <c r="M270" s="435"/>
      <c r="N270" s="417" t="str">
        <f t="shared" si="27"/>
        <v/>
      </c>
      <c r="O270" s="418" t="str">
        <f>IF('Data Set up'!$G$40="JUNE",IF(OR($N270=7,$N270=8,$N270=9),1,IF(OR($N270=10,$N270=11,$N270=12),2,IF(OR($N270=1,$N270=2,$N270=3),3,IF(OR($N270=4,$N270=5,$N270=6),4,"")))),IF(OR($N270=9,$N270=10,$N270=11),1,IF(OR($N270=12,$N270=1,$N270=2),2,IF(OR($N270=3,$N270=4,$N270=5),3,IF(OR($N270=6,$N270=7,$N270=8),4,"")))))</f>
        <v/>
      </c>
      <c r="P270" s="445"/>
      <c r="Q270" s="291"/>
      <c r="R270" s="291"/>
      <c r="S270" s="275"/>
      <c r="T270" s="275"/>
      <c r="U270" s="275"/>
      <c r="V270" s="275"/>
      <c r="W270" s="275"/>
      <c r="X270" s="275"/>
      <c r="Y270" s="275"/>
      <c r="Z270" s="275"/>
      <c r="AA270" s="275"/>
      <c r="AB270" s="275"/>
      <c r="AC270" s="275"/>
      <c r="AD270" s="275"/>
      <c r="AE270" s="275"/>
      <c r="AF270" s="275"/>
      <c r="AG270" s="275"/>
      <c r="AH270" s="438"/>
      <c r="AI270" s="439">
        <f t="shared" si="28"/>
        <v>0</v>
      </c>
      <c r="AJ270" s="263"/>
      <c r="AK270" s="263"/>
      <c r="AL270" s="263"/>
      <c r="AM270" s="263"/>
      <c r="AN270" s="263"/>
      <c r="AO270" s="263"/>
      <c r="AP270" s="263"/>
      <c r="AQ270" s="436"/>
      <c r="AR270" s="275"/>
      <c r="AS270" s="275"/>
      <c r="AT270" s="275"/>
      <c r="AU270" s="275"/>
      <c r="AV270" s="275"/>
      <c r="AW270" s="275"/>
      <c r="AX270" s="275"/>
      <c r="AY270" s="437"/>
      <c r="AZ270" s="440">
        <f t="shared" si="29"/>
        <v>0</v>
      </c>
      <c r="BA270" s="275"/>
      <c r="BB270" s="275"/>
      <c r="BC270" s="275"/>
      <c r="BD270" s="275"/>
      <c r="BE270" s="275"/>
      <c r="BF270" s="275"/>
      <c r="BG270" s="275"/>
      <c r="BH270" s="436"/>
      <c r="BI270" s="275"/>
      <c r="BJ270" s="275"/>
      <c r="BK270" s="291"/>
      <c r="BL270" s="291"/>
      <c r="BM270" s="275"/>
      <c r="BN270" s="275"/>
      <c r="BO270" s="438"/>
      <c r="BP270" s="436"/>
      <c r="BQ270" s="275"/>
      <c r="BR270" s="275"/>
      <c r="BS270" s="275"/>
      <c r="BT270" s="275"/>
      <c r="BU270" s="275"/>
      <c r="BV270" s="275"/>
      <c r="BW270" s="275"/>
      <c r="BX270" s="438"/>
      <c r="BY270" s="436"/>
      <c r="BZ270" s="275"/>
      <c r="CA270" s="275"/>
      <c r="CB270" s="275"/>
      <c r="CC270" s="275"/>
      <c r="CD270" s="275"/>
      <c r="CE270" s="275"/>
      <c r="CF270" s="275"/>
      <c r="CG270" s="438"/>
      <c r="CH270" s="436"/>
      <c r="CI270" s="275"/>
      <c r="CJ270" s="275"/>
      <c r="CK270" s="275"/>
      <c r="CL270" s="275"/>
      <c r="CM270" s="275"/>
      <c r="CN270" s="275"/>
      <c r="CO270" s="442"/>
      <c r="CP270" s="443"/>
      <c r="CQ270" s="429">
        <f t="shared" si="30"/>
        <v>0</v>
      </c>
      <c r="CR270" s="430"/>
    </row>
    <row r="271" spans="1:96" ht="25.5" customHeight="1" x14ac:dyDescent="0.2">
      <c r="A271" s="410">
        <f t="shared" si="31"/>
        <v>256</v>
      </c>
      <c r="B271" s="280"/>
      <c r="C271" s="453"/>
      <c r="D271" s="411"/>
      <c r="E271" s="254"/>
      <c r="F271" s="277"/>
      <c r="G271" s="450"/>
      <c r="H271" s="451"/>
      <c r="I271" s="433" t="str">
        <f t="shared" si="25"/>
        <v/>
      </c>
      <c r="J271" s="434">
        <f t="shared" si="26"/>
        <v>0</v>
      </c>
      <c r="K271" s="452"/>
      <c r="L271" s="276"/>
      <c r="M271" s="435"/>
      <c r="N271" s="417" t="str">
        <f t="shared" si="27"/>
        <v/>
      </c>
      <c r="O271" s="418" t="str">
        <f>IF('Data Set up'!$G$40="JUNE",IF(OR($N271=7,$N271=8,$N271=9),1,IF(OR($N271=10,$N271=11,$N271=12),2,IF(OR($N271=1,$N271=2,$N271=3),3,IF(OR($N271=4,$N271=5,$N271=6),4,"")))),IF(OR($N271=9,$N271=10,$N271=11),1,IF(OR($N271=12,$N271=1,$N271=2),2,IF(OR($N271=3,$N271=4,$N271=5),3,IF(OR($N271=6,$N271=7,$N271=8),4,"")))))</f>
        <v/>
      </c>
      <c r="P271" s="445"/>
      <c r="Q271" s="291"/>
      <c r="R271" s="291"/>
      <c r="S271" s="275"/>
      <c r="T271" s="275"/>
      <c r="U271" s="275"/>
      <c r="V271" s="275"/>
      <c r="W271" s="275"/>
      <c r="X271" s="275"/>
      <c r="Y271" s="275"/>
      <c r="Z271" s="275"/>
      <c r="AA271" s="275"/>
      <c r="AB271" s="275"/>
      <c r="AC271" s="275"/>
      <c r="AD271" s="275"/>
      <c r="AE271" s="275"/>
      <c r="AF271" s="275"/>
      <c r="AG271" s="275"/>
      <c r="AH271" s="438"/>
      <c r="AI271" s="439">
        <f t="shared" si="28"/>
        <v>0</v>
      </c>
      <c r="AJ271" s="263"/>
      <c r="AK271" s="263"/>
      <c r="AL271" s="263"/>
      <c r="AM271" s="263"/>
      <c r="AN271" s="263"/>
      <c r="AO271" s="263"/>
      <c r="AP271" s="263"/>
      <c r="AQ271" s="436"/>
      <c r="AR271" s="275"/>
      <c r="AS271" s="275"/>
      <c r="AT271" s="275"/>
      <c r="AU271" s="275"/>
      <c r="AV271" s="275"/>
      <c r="AW271" s="275"/>
      <c r="AX271" s="275"/>
      <c r="AY271" s="437"/>
      <c r="AZ271" s="440">
        <f t="shared" si="29"/>
        <v>0</v>
      </c>
      <c r="BA271" s="275"/>
      <c r="BB271" s="275"/>
      <c r="BC271" s="275"/>
      <c r="BD271" s="275"/>
      <c r="BE271" s="275"/>
      <c r="BF271" s="275"/>
      <c r="BG271" s="275"/>
      <c r="BH271" s="436"/>
      <c r="BI271" s="275"/>
      <c r="BJ271" s="275"/>
      <c r="BK271" s="291"/>
      <c r="BL271" s="291"/>
      <c r="BM271" s="275"/>
      <c r="BN271" s="275"/>
      <c r="BO271" s="438"/>
      <c r="BP271" s="436"/>
      <c r="BQ271" s="275"/>
      <c r="BR271" s="275"/>
      <c r="BS271" s="275"/>
      <c r="BT271" s="275"/>
      <c r="BU271" s="275"/>
      <c r="BV271" s="275"/>
      <c r="BW271" s="275"/>
      <c r="BX271" s="438"/>
      <c r="BY271" s="436"/>
      <c r="BZ271" s="275"/>
      <c r="CA271" s="275"/>
      <c r="CB271" s="275"/>
      <c r="CC271" s="275"/>
      <c r="CD271" s="275"/>
      <c r="CE271" s="275"/>
      <c r="CF271" s="275"/>
      <c r="CG271" s="438"/>
      <c r="CH271" s="436"/>
      <c r="CI271" s="275"/>
      <c r="CJ271" s="275"/>
      <c r="CK271" s="275"/>
      <c r="CL271" s="275"/>
      <c r="CM271" s="275"/>
      <c r="CN271" s="275"/>
      <c r="CO271" s="442"/>
      <c r="CP271" s="443"/>
      <c r="CQ271" s="429">
        <f t="shared" si="30"/>
        <v>0</v>
      </c>
      <c r="CR271" s="430"/>
    </row>
    <row r="272" spans="1:96" ht="25.5" customHeight="1" x14ac:dyDescent="0.2">
      <c r="A272" s="410">
        <f t="shared" si="31"/>
        <v>257</v>
      </c>
      <c r="B272" s="280"/>
      <c r="C272" s="453"/>
      <c r="D272" s="411"/>
      <c r="E272" s="254"/>
      <c r="F272" s="277"/>
      <c r="G272" s="450"/>
      <c r="H272" s="451"/>
      <c r="I272" s="433" t="str">
        <f t="shared" ref="I272:I335" si="32">LEFT(H272,4)</f>
        <v/>
      </c>
      <c r="J272" s="434">
        <f t="shared" ref="J272:J335" si="33">G272-CQ272</f>
        <v>0</v>
      </c>
      <c r="K272" s="452"/>
      <c r="L272" s="276"/>
      <c r="M272" s="435"/>
      <c r="N272" s="417" t="str">
        <f t="shared" ref="N272:N335" si="34">IF($E272="","",MONTH($E272))</f>
        <v/>
      </c>
      <c r="O272" s="418" t="str">
        <f>IF('Data Set up'!$G$40="JUNE",IF(OR($N272=7,$N272=8,$N272=9),1,IF(OR($N272=10,$N272=11,$N272=12),2,IF(OR($N272=1,$N272=2,$N272=3),3,IF(OR($N272=4,$N272=5,$N272=6),4,"")))),IF(OR($N272=9,$N272=10,$N272=11),1,IF(OR($N272=12,$N272=1,$N272=2),2,IF(OR($N272=3,$N272=4,$N272=5),3,IF(OR($N272=6,$N272=7,$N272=8),4,"")))))</f>
        <v/>
      </c>
      <c r="P272" s="445"/>
      <c r="Q272" s="291"/>
      <c r="R272" s="291"/>
      <c r="S272" s="275"/>
      <c r="T272" s="275"/>
      <c r="U272" s="275"/>
      <c r="V272" s="275"/>
      <c r="W272" s="275"/>
      <c r="X272" s="275"/>
      <c r="Y272" s="275"/>
      <c r="Z272" s="275"/>
      <c r="AA272" s="275"/>
      <c r="AB272" s="275"/>
      <c r="AC272" s="275"/>
      <c r="AD272" s="275"/>
      <c r="AE272" s="275"/>
      <c r="AF272" s="275"/>
      <c r="AG272" s="275"/>
      <c r="AH272" s="438"/>
      <c r="AI272" s="439">
        <f t="shared" ref="AI272:AI335" si="35">SUM(AJ272:AP272)</f>
        <v>0</v>
      </c>
      <c r="AJ272" s="263"/>
      <c r="AK272" s="263"/>
      <c r="AL272" s="263"/>
      <c r="AM272" s="263"/>
      <c r="AN272" s="263"/>
      <c r="AO272" s="263"/>
      <c r="AP272" s="263"/>
      <c r="AQ272" s="436"/>
      <c r="AR272" s="275"/>
      <c r="AS272" s="275"/>
      <c r="AT272" s="275"/>
      <c r="AU272" s="275"/>
      <c r="AV272" s="275"/>
      <c r="AW272" s="275"/>
      <c r="AX272" s="275"/>
      <c r="AY272" s="437"/>
      <c r="AZ272" s="440">
        <f t="shared" ref="AZ272:AZ335" si="36">SUM(BA272:BG272)</f>
        <v>0</v>
      </c>
      <c r="BA272" s="275"/>
      <c r="BB272" s="275"/>
      <c r="BC272" s="275"/>
      <c r="BD272" s="275"/>
      <c r="BE272" s="275"/>
      <c r="BF272" s="275"/>
      <c r="BG272" s="275"/>
      <c r="BH272" s="436"/>
      <c r="BI272" s="275"/>
      <c r="BJ272" s="275"/>
      <c r="BK272" s="291"/>
      <c r="BL272" s="291"/>
      <c r="BM272" s="275"/>
      <c r="BN272" s="275"/>
      <c r="BO272" s="438"/>
      <c r="BP272" s="436"/>
      <c r="BQ272" s="275"/>
      <c r="BR272" s="275"/>
      <c r="BS272" s="275"/>
      <c r="BT272" s="275"/>
      <c r="BU272" s="275"/>
      <c r="BV272" s="275"/>
      <c r="BW272" s="275"/>
      <c r="BX272" s="438"/>
      <c r="BY272" s="436"/>
      <c r="BZ272" s="275"/>
      <c r="CA272" s="275"/>
      <c r="CB272" s="275"/>
      <c r="CC272" s="275"/>
      <c r="CD272" s="275"/>
      <c r="CE272" s="275"/>
      <c r="CF272" s="275"/>
      <c r="CG272" s="438"/>
      <c r="CH272" s="436"/>
      <c r="CI272" s="275"/>
      <c r="CJ272" s="275"/>
      <c r="CK272" s="275"/>
      <c r="CL272" s="275"/>
      <c r="CM272" s="275"/>
      <c r="CN272" s="275"/>
      <c r="CO272" s="442"/>
      <c r="CP272" s="443"/>
      <c r="CQ272" s="429">
        <f t="shared" ref="CQ272:CQ335" si="37">SUM(P272:AI272,AQ272:AZ272,BH272:CP272)</f>
        <v>0</v>
      </c>
      <c r="CR272" s="430"/>
    </row>
    <row r="273" spans="1:96" ht="25.5" customHeight="1" x14ac:dyDescent="0.2">
      <c r="A273" s="410">
        <f t="shared" ref="A273:A336" si="38">$A272+1</f>
        <v>258</v>
      </c>
      <c r="B273" s="280"/>
      <c r="C273" s="453"/>
      <c r="D273" s="411"/>
      <c r="E273" s="254"/>
      <c r="F273" s="277"/>
      <c r="G273" s="450"/>
      <c r="H273" s="451"/>
      <c r="I273" s="433" t="str">
        <f t="shared" si="32"/>
        <v/>
      </c>
      <c r="J273" s="434">
        <f t="shared" si="33"/>
        <v>0</v>
      </c>
      <c r="K273" s="452"/>
      <c r="L273" s="276"/>
      <c r="M273" s="435"/>
      <c r="N273" s="417" t="str">
        <f t="shared" si="34"/>
        <v/>
      </c>
      <c r="O273" s="418" t="str">
        <f>IF('Data Set up'!$G$40="JUNE",IF(OR($N273=7,$N273=8,$N273=9),1,IF(OR($N273=10,$N273=11,$N273=12),2,IF(OR($N273=1,$N273=2,$N273=3),3,IF(OR($N273=4,$N273=5,$N273=6),4,"")))),IF(OR($N273=9,$N273=10,$N273=11),1,IF(OR($N273=12,$N273=1,$N273=2),2,IF(OR($N273=3,$N273=4,$N273=5),3,IF(OR($N273=6,$N273=7,$N273=8),4,"")))))</f>
        <v/>
      </c>
      <c r="P273" s="445"/>
      <c r="Q273" s="291"/>
      <c r="R273" s="291"/>
      <c r="S273" s="275"/>
      <c r="T273" s="275"/>
      <c r="U273" s="275"/>
      <c r="V273" s="275"/>
      <c r="W273" s="275"/>
      <c r="X273" s="275"/>
      <c r="Y273" s="275"/>
      <c r="Z273" s="275"/>
      <c r="AA273" s="275"/>
      <c r="AB273" s="275"/>
      <c r="AC273" s="275"/>
      <c r="AD273" s="275"/>
      <c r="AE273" s="275"/>
      <c r="AF273" s="275"/>
      <c r="AG273" s="275"/>
      <c r="AH273" s="438"/>
      <c r="AI273" s="439">
        <f t="shared" si="35"/>
        <v>0</v>
      </c>
      <c r="AJ273" s="263"/>
      <c r="AK273" s="263"/>
      <c r="AL273" s="263"/>
      <c r="AM273" s="263"/>
      <c r="AN273" s="263"/>
      <c r="AO273" s="263"/>
      <c r="AP273" s="263"/>
      <c r="AQ273" s="436"/>
      <c r="AR273" s="275"/>
      <c r="AS273" s="275"/>
      <c r="AT273" s="275"/>
      <c r="AU273" s="275"/>
      <c r="AV273" s="275"/>
      <c r="AW273" s="275"/>
      <c r="AX273" s="275"/>
      <c r="AY273" s="437"/>
      <c r="AZ273" s="440">
        <f t="shared" si="36"/>
        <v>0</v>
      </c>
      <c r="BA273" s="275"/>
      <c r="BB273" s="275"/>
      <c r="BC273" s="275"/>
      <c r="BD273" s="275"/>
      <c r="BE273" s="275"/>
      <c r="BF273" s="275"/>
      <c r="BG273" s="275"/>
      <c r="BH273" s="436"/>
      <c r="BI273" s="275"/>
      <c r="BJ273" s="275"/>
      <c r="BK273" s="291"/>
      <c r="BL273" s="291"/>
      <c r="BM273" s="275"/>
      <c r="BN273" s="275"/>
      <c r="BO273" s="438"/>
      <c r="BP273" s="436"/>
      <c r="BQ273" s="275"/>
      <c r="BR273" s="275"/>
      <c r="BS273" s="275"/>
      <c r="BT273" s="275"/>
      <c r="BU273" s="275"/>
      <c r="BV273" s="275"/>
      <c r="BW273" s="275"/>
      <c r="BX273" s="438"/>
      <c r="BY273" s="436"/>
      <c r="BZ273" s="275"/>
      <c r="CA273" s="275"/>
      <c r="CB273" s="275"/>
      <c r="CC273" s="275"/>
      <c r="CD273" s="275"/>
      <c r="CE273" s="275"/>
      <c r="CF273" s="275"/>
      <c r="CG273" s="438"/>
      <c r="CH273" s="436"/>
      <c r="CI273" s="275"/>
      <c r="CJ273" s="275"/>
      <c r="CK273" s="275"/>
      <c r="CL273" s="275"/>
      <c r="CM273" s="275"/>
      <c r="CN273" s="275"/>
      <c r="CO273" s="442"/>
      <c r="CP273" s="443"/>
      <c r="CQ273" s="429">
        <f t="shared" si="37"/>
        <v>0</v>
      </c>
      <c r="CR273" s="430"/>
    </row>
    <row r="274" spans="1:96" ht="25.5" customHeight="1" x14ac:dyDescent="0.2">
      <c r="A274" s="410">
        <f t="shared" si="38"/>
        <v>259</v>
      </c>
      <c r="B274" s="280"/>
      <c r="C274" s="453"/>
      <c r="D274" s="411"/>
      <c r="E274" s="254"/>
      <c r="F274" s="277"/>
      <c r="G274" s="450"/>
      <c r="H274" s="451"/>
      <c r="I274" s="433" t="str">
        <f t="shared" si="32"/>
        <v/>
      </c>
      <c r="J274" s="434">
        <f t="shared" si="33"/>
        <v>0</v>
      </c>
      <c r="K274" s="452"/>
      <c r="L274" s="276"/>
      <c r="M274" s="435"/>
      <c r="N274" s="417" t="str">
        <f t="shared" si="34"/>
        <v/>
      </c>
      <c r="O274" s="418" t="str">
        <f>IF('Data Set up'!$G$40="JUNE",IF(OR($N274=7,$N274=8,$N274=9),1,IF(OR($N274=10,$N274=11,$N274=12),2,IF(OR($N274=1,$N274=2,$N274=3),3,IF(OR($N274=4,$N274=5,$N274=6),4,"")))),IF(OR($N274=9,$N274=10,$N274=11),1,IF(OR($N274=12,$N274=1,$N274=2),2,IF(OR($N274=3,$N274=4,$N274=5),3,IF(OR($N274=6,$N274=7,$N274=8),4,"")))))</f>
        <v/>
      </c>
      <c r="P274" s="445"/>
      <c r="Q274" s="291"/>
      <c r="R274" s="291"/>
      <c r="S274" s="275"/>
      <c r="T274" s="275"/>
      <c r="U274" s="275"/>
      <c r="V274" s="275"/>
      <c r="W274" s="275"/>
      <c r="X274" s="275"/>
      <c r="Y274" s="275"/>
      <c r="Z274" s="275"/>
      <c r="AA274" s="275"/>
      <c r="AB274" s="275"/>
      <c r="AC274" s="275"/>
      <c r="AD274" s="275"/>
      <c r="AE274" s="275"/>
      <c r="AF274" s="275"/>
      <c r="AG274" s="275"/>
      <c r="AH274" s="438"/>
      <c r="AI274" s="439">
        <f t="shared" si="35"/>
        <v>0</v>
      </c>
      <c r="AJ274" s="263"/>
      <c r="AK274" s="263"/>
      <c r="AL274" s="263"/>
      <c r="AM274" s="263"/>
      <c r="AN274" s="263"/>
      <c r="AO274" s="263"/>
      <c r="AP274" s="263"/>
      <c r="AQ274" s="436"/>
      <c r="AR274" s="275"/>
      <c r="AS274" s="275"/>
      <c r="AT274" s="275"/>
      <c r="AU274" s="275"/>
      <c r="AV274" s="275"/>
      <c r="AW274" s="275"/>
      <c r="AX274" s="275"/>
      <c r="AY274" s="437"/>
      <c r="AZ274" s="440">
        <f t="shared" si="36"/>
        <v>0</v>
      </c>
      <c r="BA274" s="275"/>
      <c r="BB274" s="275"/>
      <c r="BC274" s="275"/>
      <c r="BD274" s="275"/>
      <c r="BE274" s="275"/>
      <c r="BF274" s="275"/>
      <c r="BG274" s="275"/>
      <c r="BH274" s="436"/>
      <c r="BI274" s="275"/>
      <c r="BJ274" s="275"/>
      <c r="BK274" s="291"/>
      <c r="BL274" s="291"/>
      <c r="BM274" s="275"/>
      <c r="BN274" s="275"/>
      <c r="BO274" s="438"/>
      <c r="BP274" s="436"/>
      <c r="BQ274" s="275"/>
      <c r="BR274" s="275"/>
      <c r="BS274" s="275"/>
      <c r="BT274" s="275"/>
      <c r="BU274" s="275"/>
      <c r="BV274" s="275"/>
      <c r="BW274" s="275"/>
      <c r="BX274" s="438"/>
      <c r="BY274" s="436"/>
      <c r="BZ274" s="275"/>
      <c r="CA274" s="275"/>
      <c r="CB274" s="275"/>
      <c r="CC274" s="275"/>
      <c r="CD274" s="275"/>
      <c r="CE274" s="275"/>
      <c r="CF274" s="275"/>
      <c r="CG274" s="438"/>
      <c r="CH274" s="436"/>
      <c r="CI274" s="275"/>
      <c r="CJ274" s="275"/>
      <c r="CK274" s="275"/>
      <c r="CL274" s="275"/>
      <c r="CM274" s="275"/>
      <c r="CN274" s="275"/>
      <c r="CO274" s="442"/>
      <c r="CP274" s="443"/>
      <c r="CQ274" s="429">
        <f t="shared" si="37"/>
        <v>0</v>
      </c>
      <c r="CR274" s="430"/>
    </row>
    <row r="275" spans="1:96" ht="25.5" customHeight="1" x14ac:dyDescent="0.2">
      <c r="A275" s="410">
        <f t="shared" si="38"/>
        <v>260</v>
      </c>
      <c r="B275" s="280"/>
      <c r="C275" s="453"/>
      <c r="D275" s="411"/>
      <c r="E275" s="254"/>
      <c r="F275" s="277"/>
      <c r="G275" s="450"/>
      <c r="H275" s="451"/>
      <c r="I275" s="433" t="str">
        <f t="shared" si="32"/>
        <v/>
      </c>
      <c r="J275" s="434">
        <f t="shared" si="33"/>
        <v>0</v>
      </c>
      <c r="K275" s="452"/>
      <c r="L275" s="276"/>
      <c r="M275" s="435"/>
      <c r="N275" s="417" t="str">
        <f t="shared" si="34"/>
        <v/>
      </c>
      <c r="O275" s="418" t="str">
        <f>IF('Data Set up'!$G$40="JUNE",IF(OR($N275=7,$N275=8,$N275=9),1,IF(OR($N275=10,$N275=11,$N275=12),2,IF(OR($N275=1,$N275=2,$N275=3),3,IF(OR($N275=4,$N275=5,$N275=6),4,"")))),IF(OR($N275=9,$N275=10,$N275=11),1,IF(OR($N275=12,$N275=1,$N275=2),2,IF(OR($N275=3,$N275=4,$N275=5),3,IF(OR($N275=6,$N275=7,$N275=8),4,"")))))</f>
        <v/>
      </c>
      <c r="P275" s="445"/>
      <c r="Q275" s="291"/>
      <c r="R275" s="291"/>
      <c r="S275" s="275"/>
      <c r="T275" s="275"/>
      <c r="U275" s="275"/>
      <c r="V275" s="275"/>
      <c r="W275" s="275"/>
      <c r="X275" s="275"/>
      <c r="Y275" s="275"/>
      <c r="Z275" s="275"/>
      <c r="AA275" s="275"/>
      <c r="AB275" s="275"/>
      <c r="AC275" s="275"/>
      <c r="AD275" s="275"/>
      <c r="AE275" s="275"/>
      <c r="AF275" s="275"/>
      <c r="AG275" s="275"/>
      <c r="AH275" s="438"/>
      <c r="AI275" s="439">
        <f t="shared" si="35"/>
        <v>0</v>
      </c>
      <c r="AJ275" s="263"/>
      <c r="AK275" s="263"/>
      <c r="AL275" s="263"/>
      <c r="AM275" s="263"/>
      <c r="AN275" s="263"/>
      <c r="AO275" s="263"/>
      <c r="AP275" s="263"/>
      <c r="AQ275" s="436"/>
      <c r="AR275" s="275"/>
      <c r="AS275" s="275"/>
      <c r="AT275" s="275"/>
      <c r="AU275" s="275"/>
      <c r="AV275" s="275"/>
      <c r="AW275" s="275"/>
      <c r="AX275" s="275"/>
      <c r="AY275" s="437"/>
      <c r="AZ275" s="440">
        <f t="shared" si="36"/>
        <v>0</v>
      </c>
      <c r="BA275" s="275"/>
      <c r="BB275" s="275"/>
      <c r="BC275" s="275"/>
      <c r="BD275" s="275"/>
      <c r="BE275" s="275"/>
      <c r="BF275" s="275"/>
      <c r="BG275" s="275"/>
      <c r="BH275" s="436"/>
      <c r="BI275" s="275"/>
      <c r="BJ275" s="275"/>
      <c r="BK275" s="291"/>
      <c r="BL275" s="291"/>
      <c r="BM275" s="275"/>
      <c r="BN275" s="275"/>
      <c r="BO275" s="438"/>
      <c r="BP275" s="436"/>
      <c r="BQ275" s="275"/>
      <c r="BR275" s="275"/>
      <c r="BS275" s="275"/>
      <c r="BT275" s="275"/>
      <c r="BU275" s="275"/>
      <c r="BV275" s="275"/>
      <c r="BW275" s="275"/>
      <c r="BX275" s="438"/>
      <c r="BY275" s="436"/>
      <c r="BZ275" s="275"/>
      <c r="CA275" s="275"/>
      <c r="CB275" s="275"/>
      <c r="CC275" s="275"/>
      <c r="CD275" s="275"/>
      <c r="CE275" s="275"/>
      <c r="CF275" s="275"/>
      <c r="CG275" s="438"/>
      <c r="CH275" s="436"/>
      <c r="CI275" s="275"/>
      <c r="CJ275" s="275"/>
      <c r="CK275" s="275"/>
      <c r="CL275" s="275"/>
      <c r="CM275" s="275"/>
      <c r="CN275" s="275"/>
      <c r="CO275" s="442"/>
      <c r="CP275" s="443"/>
      <c r="CQ275" s="429">
        <f t="shared" si="37"/>
        <v>0</v>
      </c>
      <c r="CR275" s="430"/>
    </row>
    <row r="276" spans="1:96" ht="25.5" customHeight="1" x14ac:dyDescent="0.2">
      <c r="A276" s="410">
        <f t="shared" si="38"/>
        <v>261</v>
      </c>
      <c r="B276" s="280"/>
      <c r="C276" s="453"/>
      <c r="D276" s="411"/>
      <c r="E276" s="254"/>
      <c r="F276" s="277"/>
      <c r="G276" s="450"/>
      <c r="H276" s="451"/>
      <c r="I276" s="433" t="str">
        <f t="shared" si="32"/>
        <v/>
      </c>
      <c r="J276" s="434">
        <f t="shared" si="33"/>
        <v>0</v>
      </c>
      <c r="K276" s="452"/>
      <c r="L276" s="276"/>
      <c r="M276" s="435"/>
      <c r="N276" s="417" t="str">
        <f t="shared" si="34"/>
        <v/>
      </c>
      <c r="O276" s="418" t="str">
        <f>IF('Data Set up'!$G$40="JUNE",IF(OR($N276=7,$N276=8,$N276=9),1,IF(OR($N276=10,$N276=11,$N276=12),2,IF(OR($N276=1,$N276=2,$N276=3),3,IF(OR($N276=4,$N276=5,$N276=6),4,"")))),IF(OR($N276=9,$N276=10,$N276=11),1,IF(OR($N276=12,$N276=1,$N276=2),2,IF(OR($N276=3,$N276=4,$N276=5),3,IF(OR($N276=6,$N276=7,$N276=8),4,"")))))</f>
        <v/>
      </c>
      <c r="P276" s="445"/>
      <c r="Q276" s="291"/>
      <c r="R276" s="291"/>
      <c r="S276" s="275"/>
      <c r="T276" s="275"/>
      <c r="U276" s="275"/>
      <c r="V276" s="275"/>
      <c r="W276" s="275"/>
      <c r="X276" s="275"/>
      <c r="Y276" s="275"/>
      <c r="Z276" s="275"/>
      <c r="AA276" s="275"/>
      <c r="AB276" s="275"/>
      <c r="AC276" s="275"/>
      <c r="AD276" s="275"/>
      <c r="AE276" s="275"/>
      <c r="AF276" s="275"/>
      <c r="AG276" s="275"/>
      <c r="AH276" s="438"/>
      <c r="AI276" s="439">
        <f t="shared" si="35"/>
        <v>0</v>
      </c>
      <c r="AJ276" s="263"/>
      <c r="AK276" s="263"/>
      <c r="AL276" s="263"/>
      <c r="AM276" s="263"/>
      <c r="AN276" s="263"/>
      <c r="AO276" s="263"/>
      <c r="AP276" s="263"/>
      <c r="AQ276" s="436"/>
      <c r="AR276" s="275"/>
      <c r="AS276" s="275"/>
      <c r="AT276" s="275"/>
      <c r="AU276" s="275"/>
      <c r="AV276" s="275"/>
      <c r="AW276" s="275"/>
      <c r="AX276" s="275"/>
      <c r="AY276" s="437"/>
      <c r="AZ276" s="440">
        <f t="shared" si="36"/>
        <v>0</v>
      </c>
      <c r="BA276" s="275"/>
      <c r="BB276" s="275"/>
      <c r="BC276" s="275"/>
      <c r="BD276" s="275"/>
      <c r="BE276" s="275"/>
      <c r="BF276" s="275"/>
      <c r="BG276" s="275"/>
      <c r="BH276" s="436"/>
      <c r="BI276" s="275"/>
      <c r="BJ276" s="275"/>
      <c r="BK276" s="291"/>
      <c r="BL276" s="291"/>
      <c r="BM276" s="275"/>
      <c r="BN276" s="275"/>
      <c r="BO276" s="438"/>
      <c r="BP276" s="436"/>
      <c r="BQ276" s="275"/>
      <c r="BR276" s="275"/>
      <c r="BS276" s="275"/>
      <c r="BT276" s="275"/>
      <c r="BU276" s="275"/>
      <c r="BV276" s="275"/>
      <c r="BW276" s="275"/>
      <c r="BX276" s="438"/>
      <c r="BY276" s="436"/>
      <c r="BZ276" s="275"/>
      <c r="CA276" s="275"/>
      <c r="CB276" s="275"/>
      <c r="CC276" s="275"/>
      <c r="CD276" s="275"/>
      <c r="CE276" s="275"/>
      <c r="CF276" s="275"/>
      <c r="CG276" s="438"/>
      <c r="CH276" s="436"/>
      <c r="CI276" s="275"/>
      <c r="CJ276" s="275"/>
      <c r="CK276" s="275"/>
      <c r="CL276" s="275"/>
      <c r="CM276" s="275"/>
      <c r="CN276" s="275"/>
      <c r="CO276" s="442"/>
      <c r="CP276" s="443"/>
      <c r="CQ276" s="429">
        <f t="shared" si="37"/>
        <v>0</v>
      </c>
      <c r="CR276" s="430"/>
    </row>
    <row r="277" spans="1:96" ht="25.5" customHeight="1" x14ac:dyDescent="0.2">
      <c r="A277" s="410">
        <f t="shared" si="38"/>
        <v>262</v>
      </c>
      <c r="B277" s="280"/>
      <c r="C277" s="453"/>
      <c r="D277" s="411"/>
      <c r="E277" s="254"/>
      <c r="F277" s="277"/>
      <c r="G277" s="450"/>
      <c r="H277" s="451"/>
      <c r="I277" s="433" t="str">
        <f t="shared" si="32"/>
        <v/>
      </c>
      <c r="J277" s="434">
        <f t="shared" si="33"/>
        <v>0</v>
      </c>
      <c r="K277" s="452"/>
      <c r="L277" s="276"/>
      <c r="M277" s="435"/>
      <c r="N277" s="417" t="str">
        <f t="shared" si="34"/>
        <v/>
      </c>
      <c r="O277" s="418" t="str">
        <f>IF('Data Set up'!$G$40="JUNE",IF(OR($N277=7,$N277=8,$N277=9),1,IF(OR($N277=10,$N277=11,$N277=12),2,IF(OR($N277=1,$N277=2,$N277=3),3,IF(OR($N277=4,$N277=5,$N277=6),4,"")))),IF(OR($N277=9,$N277=10,$N277=11),1,IF(OR($N277=12,$N277=1,$N277=2),2,IF(OR($N277=3,$N277=4,$N277=5),3,IF(OR($N277=6,$N277=7,$N277=8),4,"")))))</f>
        <v/>
      </c>
      <c r="P277" s="445"/>
      <c r="Q277" s="291"/>
      <c r="R277" s="291"/>
      <c r="S277" s="275"/>
      <c r="T277" s="275"/>
      <c r="U277" s="275"/>
      <c r="V277" s="275"/>
      <c r="W277" s="275"/>
      <c r="X277" s="275"/>
      <c r="Y277" s="275"/>
      <c r="Z277" s="275"/>
      <c r="AA277" s="275"/>
      <c r="AB277" s="275"/>
      <c r="AC277" s="275"/>
      <c r="AD277" s="275"/>
      <c r="AE277" s="275"/>
      <c r="AF277" s="275"/>
      <c r="AG277" s="275"/>
      <c r="AH277" s="438"/>
      <c r="AI277" s="439">
        <f t="shared" si="35"/>
        <v>0</v>
      </c>
      <c r="AJ277" s="263"/>
      <c r="AK277" s="263"/>
      <c r="AL277" s="263"/>
      <c r="AM277" s="263"/>
      <c r="AN277" s="263"/>
      <c r="AO277" s="263"/>
      <c r="AP277" s="263"/>
      <c r="AQ277" s="436"/>
      <c r="AR277" s="275"/>
      <c r="AS277" s="275"/>
      <c r="AT277" s="275"/>
      <c r="AU277" s="275"/>
      <c r="AV277" s="275"/>
      <c r="AW277" s="275"/>
      <c r="AX277" s="275"/>
      <c r="AY277" s="437"/>
      <c r="AZ277" s="440">
        <f t="shared" si="36"/>
        <v>0</v>
      </c>
      <c r="BA277" s="275"/>
      <c r="BB277" s="275"/>
      <c r="BC277" s="275"/>
      <c r="BD277" s="275"/>
      <c r="BE277" s="275"/>
      <c r="BF277" s="275"/>
      <c r="BG277" s="275"/>
      <c r="BH277" s="436"/>
      <c r="BI277" s="275"/>
      <c r="BJ277" s="275"/>
      <c r="BK277" s="291"/>
      <c r="BL277" s="291"/>
      <c r="BM277" s="275"/>
      <c r="BN277" s="275"/>
      <c r="BO277" s="438"/>
      <c r="BP277" s="436"/>
      <c r="BQ277" s="275"/>
      <c r="BR277" s="275"/>
      <c r="BS277" s="275"/>
      <c r="BT277" s="275"/>
      <c r="BU277" s="275"/>
      <c r="BV277" s="275"/>
      <c r="BW277" s="275"/>
      <c r="BX277" s="438"/>
      <c r="BY277" s="436"/>
      <c r="BZ277" s="275"/>
      <c r="CA277" s="275"/>
      <c r="CB277" s="275"/>
      <c r="CC277" s="275"/>
      <c r="CD277" s="275"/>
      <c r="CE277" s="275"/>
      <c r="CF277" s="275"/>
      <c r="CG277" s="438"/>
      <c r="CH277" s="436"/>
      <c r="CI277" s="275"/>
      <c r="CJ277" s="275"/>
      <c r="CK277" s="275"/>
      <c r="CL277" s="275"/>
      <c r="CM277" s="275"/>
      <c r="CN277" s="275"/>
      <c r="CO277" s="442"/>
      <c r="CP277" s="443"/>
      <c r="CQ277" s="429">
        <f t="shared" si="37"/>
        <v>0</v>
      </c>
      <c r="CR277" s="430"/>
    </row>
    <row r="278" spans="1:96" ht="25.5" customHeight="1" x14ac:dyDescent="0.2">
      <c r="A278" s="410">
        <f t="shared" si="38"/>
        <v>263</v>
      </c>
      <c r="B278" s="280"/>
      <c r="C278" s="453"/>
      <c r="D278" s="411"/>
      <c r="E278" s="254"/>
      <c r="F278" s="277"/>
      <c r="G278" s="450"/>
      <c r="H278" s="451"/>
      <c r="I278" s="433" t="str">
        <f t="shared" si="32"/>
        <v/>
      </c>
      <c r="J278" s="434">
        <f t="shared" si="33"/>
        <v>0</v>
      </c>
      <c r="K278" s="452"/>
      <c r="L278" s="276"/>
      <c r="M278" s="435"/>
      <c r="N278" s="417" t="str">
        <f t="shared" si="34"/>
        <v/>
      </c>
      <c r="O278" s="418" t="str">
        <f>IF('Data Set up'!$G$40="JUNE",IF(OR($N278=7,$N278=8,$N278=9),1,IF(OR($N278=10,$N278=11,$N278=12),2,IF(OR($N278=1,$N278=2,$N278=3),3,IF(OR($N278=4,$N278=5,$N278=6),4,"")))),IF(OR($N278=9,$N278=10,$N278=11),1,IF(OR($N278=12,$N278=1,$N278=2),2,IF(OR($N278=3,$N278=4,$N278=5),3,IF(OR($N278=6,$N278=7,$N278=8),4,"")))))</f>
        <v/>
      </c>
      <c r="P278" s="445"/>
      <c r="Q278" s="291"/>
      <c r="R278" s="291"/>
      <c r="S278" s="275"/>
      <c r="T278" s="275"/>
      <c r="U278" s="275"/>
      <c r="V278" s="275"/>
      <c r="W278" s="275"/>
      <c r="X278" s="275"/>
      <c r="Y278" s="275"/>
      <c r="Z278" s="275"/>
      <c r="AA278" s="275"/>
      <c r="AB278" s="275"/>
      <c r="AC278" s="275"/>
      <c r="AD278" s="275"/>
      <c r="AE278" s="275"/>
      <c r="AF278" s="275"/>
      <c r="AG278" s="275"/>
      <c r="AH278" s="438"/>
      <c r="AI278" s="439">
        <f t="shared" si="35"/>
        <v>0</v>
      </c>
      <c r="AJ278" s="263"/>
      <c r="AK278" s="263"/>
      <c r="AL278" s="263"/>
      <c r="AM278" s="263"/>
      <c r="AN278" s="263"/>
      <c r="AO278" s="263"/>
      <c r="AP278" s="263"/>
      <c r="AQ278" s="436"/>
      <c r="AR278" s="275"/>
      <c r="AS278" s="275"/>
      <c r="AT278" s="275"/>
      <c r="AU278" s="275"/>
      <c r="AV278" s="275"/>
      <c r="AW278" s="275"/>
      <c r="AX278" s="275"/>
      <c r="AY278" s="437"/>
      <c r="AZ278" s="440">
        <f t="shared" si="36"/>
        <v>0</v>
      </c>
      <c r="BA278" s="275"/>
      <c r="BB278" s="275"/>
      <c r="BC278" s="275"/>
      <c r="BD278" s="275"/>
      <c r="BE278" s="275"/>
      <c r="BF278" s="275"/>
      <c r="BG278" s="275"/>
      <c r="BH278" s="436"/>
      <c r="BI278" s="275"/>
      <c r="BJ278" s="275"/>
      <c r="BK278" s="291"/>
      <c r="BL278" s="291"/>
      <c r="BM278" s="275"/>
      <c r="BN278" s="275"/>
      <c r="BO278" s="438"/>
      <c r="BP278" s="436"/>
      <c r="BQ278" s="275"/>
      <c r="BR278" s="275"/>
      <c r="BS278" s="275"/>
      <c r="BT278" s="275"/>
      <c r="BU278" s="275"/>
      <c r="BV278" s="275"/>
      <c r="BW278" s="275"/>
      <c r="BX278" s="438"/>
      <c r="BY278" s="436"/>
      <c r="BZ278" s="275"/>
      <c r="CA278" s="275"/>
      <c r="CB278" s="275"/>
      <c r="CC278" s="275"/>
      <c r="CD278" s="275"/>
      <c r="CE278" s="275"/>
      <c r="CF278" s="275"/>
      <c r="CG278" s="438"/>
      <c r="CH278" s="436"/>
      <c r="CI278" s="275"/>
      <c r="CJ278" s="275"/>
      <c r="CK278" s="275"/>
      <c r="CL278" s="275"/>
      <c r="CM278" s="275"/>
      <c r="CN278" s="275"/>
      <c r="CO278" s="442"/>
      <c r="CP278" s="443"/>
      <c r="CQ278" s="429">
        <f t="shared" si="37"/>
        <v>0</v>
      </c>
      <c r="CR278" s="430"/>
    </row>
    <row r="279" spans="1:96" ht="25.5" customHeight="1" x14ac:dyDescent="0.2">
      <c r="A279" s="410">
        <f t="shared" si="38"/>
        <v>264</v>
      </c>
      <c r="B279" s="280"/>
      <c r="C279" s="453"/>
      <c r="D279" s="411"/>
      <c r="E279" s="254"/>
      <c r="F279" s="277"/>
      <c r="G279" s="450"/>
      <c r="H279" s="451"/>
      <c r="I279" s="433" t="str">
        <f t="shared" si="32"/>
        <v/>
      </c>
      <c r="J279" s="434">
        <f t="shared" si="33"/>
        <v>0</v>
      </c>
      <c r="K279" s="452"/>
      <c r="L279" s="276"/>
      <c r="M279" s="435"/>
      <c r="N279" s="417" t="str">
        <f t="shared" si="34"/>
        <v/>
      </c>
      <c r="O279" s="418" t="str">
        <f>IF('Data Set up'!$G$40="JUNE",IF(OR($N279=7,$N279=8,$N279=9),1,IF(OR($N279=10,$N279=11,$N279=12),2,IF(OR($N279=1,$N279=2,$N279=3),3,IF(OR($N279=4,$N279=5,$N279=6),4,"")))),IF(OR($N279=9,$N279=10,$N279=11),1,IF(OR($N279=12,$N279=1,$N279=2),2,IF(OR($N279=3,$N279=4,$N279=5),3,IF(OR($N279=6,$N279=7,$N279=8),4,"")))))</f>
        <v/>
      </c>
      <c r="P279" s="445"/>
      <c r="Q279" s="291"/>
      <c r="R279" s="291"/>
      <c r="S279" s="275"/>
      <c r="T279" s="275"/>
      <c r="U279" s="275"/>
      <c r="V279" s="275"/>
      <c r="W279" s="275"/>
      <c r="X279" s="275"/>
      <c r="Y279" s="275"/>
      <c r="Z279" s="275"/>
      <c r="AA279" s="275"/>
      <c r="AB279" s="275"/>
      <c r="AC279" s="275"/>
      <c r="AD279" s="275"/>
      <c r="AE279" s="275"/>
      <c r="AF279" s="275"/>
      <c r="AG279" s="275"/>
      <c r="AH279" s="438"/>
      <c r="AI279" s="439">
        <f t="shared" si="35"/>
        <v>0</v>
      </c>
      <c r="AJ279" s="263"/>
      <c r="AK279" s="263"/>
      <c r="AL279" s="263"/>
      <c r="AM279" s="263"/>
      <c r="AN279" s="263"/>
      <c r="AO279" s="263"/>
      <c r="AP279" s="263"/>
      <c r="AQ279" s="436"/>
      <c r="AR279" s="275"/>
      <c r="AS279" s="275"/>
      <c r="AT279" s="275"/>
      <c r="AU279" s="275"/>
      <c r="AV279" s="275"/>
      <c r="AW279" s="275"/>
      <c r="AX279" s="275"/>
      <c r="AY279" s="437"/>
      <c r="AZ279" s="440">
        <f t="shared" si="36"/>
        <v>0</v>
      </c>
      <c r="BA279" s="275"/>
      <c r="BB279" s="275"/>
      <c r="BC279" s="275"/>
      <c r="BD279" s="275"/>
      <c r="BE279" s="275"/>
      <c r="BF279" s="275"/>
      <c r="BG279" s="275"/>
      <c r="BH279" s="436"/>
      <c r="BI279" s="275"/>
      <c r="BJ279" s="275"/>
      <c r="BK279" s="291"/>
      <c r="BL279" s="291"/>
      <c r="BM279" s="275"/>
      <c r="BN279" s="275"/>
      <c r="BO279" s="438"/>
      <c r="BP279" s="436"/>
      <c r="BQ279" s="275"/>
      <c r="BR279" s="275"/>
      <c r="BS279" s="275"/>
      <c r="BT279" s="275"/>
      <c r="BU279" s="275"/>
      <c r="BV279" s="275"/>
      <c r="BW279" s="275"/>
      <c r="BX279" s="438"/>
      <c r="BY279" s="436"/>
      <c r="BZ279" s="275"/>
      <c r="CA279" s="275"/>
      <c r="CB279" s="275"/>
      <c r="CC279" s="275"/>
      <c r="CD279" s="275"/>
      <c r="CE279" s="275"/>
      <c r="CF279" s="275"/>
      <c r="CG279" s="438"/>
      <c r="CH279" s="436"/>
      <c r="CI279" s="275"/>
      <c r="CJ279" s="275"/>
      <c r="CK279" s="275"/>
      <c r="CL279" s="275"/>
      <c r="CM279" s="275"/>
      <c r="CN279" s="275"/>
      <c r="CO279" s="442"/>
      <c r="CP279" s="443"/>
      <c r="CQ279" s="429">
        <f t="shared" si="37"/>
        <v>0</v>
      </c>
      <c r="CR279" s="430"/>
    </row>
    <row r="280" spans="1:96" ht="25.5" customHeight="1" x14ac:dyDescent="0.2">
      <c r="A280" s="410">
        <f t="shared" si="38"/>
        <v>265</v>
      </c>
      <c r="B280" s="280"/>
      <c r="C280" s="453"/>
      <c r="D280" s="411"/>
      <c r="E280" s="254"/>
      <c r="F280" s="277"/>
      <c r="G280" s="450"/>
      <c r="H280" s="451"/>
      <c r="I280" s="433" t="str">
        <f t="shared" si="32"/>
        <v/>
      </c>
      <c r="J280" s="434">
        <f t="shared" si="33"/>
        <v>0</v>
      </c>
      <c r="K280" s="452"/>
      <c r="L280" s="276"/>
      <c r="M280" s="435"/>
      <c r="N280" s="417" t="str">
        <f t="shared" si="34"/>
        <v/>
      </c>
      <c r="O280" s="418" t="str">
        <f>IF('Data Set up'!$G$40="JUNE",IF(OR($N280=7,$N280=8,$N280=9),1,IF(OR($N280=10,$N280=11,$N280=12),2,IF(OR($N280=1,$N280=2,$N280=3),3,IF(OR($N280=4,$N280=5,$N280=6),4,"")))),IF(OR($N280=9,$N280=10,$N280=11),1,IF(OR($N280=12,$N280=1,$N280=2),2,IF(OR($N280=3,$N280=4,$N280=5),3,IF(OR($N280=6,$N280=7,$N280=8),4,"")))))</f>
        <v/>
      </c>
      <c r="P280" s="445"/>
      <c r="Q280" s="291"/>
      <c r="R280" s="291"/>
      <c r="S280" s="275"/>
      <c r="T280" s="275"/>
      <c r="U280" s="275"/>
      <c r="V280" s="275"/>
      <c r="W280" s="275"/>
      <c r="X280" s="275"/>
      <c r="Y280" s="275"/>
      <c r="Z280" s="275"/>
      <c r="AA280" s="275"/>
      <c r="AB280" s="275"/>
      <c r="AC280" s="275"/>
      <c r="AD280" s="275"/>
      <c r="AE280" s="275"/>
      <c r="AF280" s="275"/>
      <c r="AG280" s="275"/>
      <c r="AH280" s="438"/>
      <c r="AI280" s="439">
        <f t="shared" si="35"/>
        <v>0</v>
      </c>
      <c r="AJ280" s="263"/>
      <c r="AK280" s="263"/>
      <c r="AL280" s="263"/>
      <c r="AM280" s="263"/>
      <c r="AN280" s="263"/>
      <c r="AO280" s="263"/>
      <c r="AP280" s="263"/>
      <c r="AQ280" s="436"/>
      <c r="AR280" s="275"/>
      <c r="AS280" s="275"/>
      <c r="AT280" s="275"/>
      <c r="AU280" s="275"/>
      <c r="AV280" s="275"/>
      <c r="AW280" s="275"/>
      <c r="AX280" s="275"/>
      <c r="AY280" s="437"/>
      <c r="AZ280" s="440">
        <f t="shared" si="36"/>
        <v>0</v>
      </c>
      <c r="BA280" s="275"/>
      <c r="BB280" s="275"/>
      <c r="BC280" s="275"/>
      <c r="BD280" s="275"/>
      <c r="BE280" s="275"/>
      <c r="BF280" s="275"/>
      <c r="BG280" s="275"/>
      <c r="BH280" s="436"/>
      <c r="BI280" s="275"/>
      <c r="BJ280" s="275"/>
      <c r="BK280" s="291"/>
      <c r="BL280" s="291"/>
      <c r="BM280" s="275"/>
      <c r="BN280" s="275"/>
      <c r="BO280" s="438"/>
      <c r="BP280" s="436"/>
      <c r="BQ280" s="275"/>
      <c r="BR280" s="275"/>
      <c r="BS280" s="275"/>
      <c r="BT280" s="275"/>
      <c r="BU280" s="275"/>
      <c r="BV280" s="275"/>
      <c r="BW280" s="275"/>
      <c r="BX280" s="438"/>
      <c r="BY280" s="436"/>
      <c r="BZ280" s="275"/>
      <c r="CA280" s="275"/>
      <c r="CB280" s="275"/>
      <c r="CC280" s="275"/>
      <c r="CD280" s="275"/>
      <c r="CE280" s="275"/>
      <c r="CF280" s="275"/>
      <c r="CG280" s="438"/>
      <c r="CH280" s="436"/>
      <c r="CI280" s="275"/>
      <c r="CJ280" s="275"/>
      <c r="CK280" s="275"/>
      <c r="CL280" s="275"/>
      <c r="CM280" s="275"/>
      <c r="CN280" s="275"/>
      <c r="CO280" s="442"/>
      <c r="CP280" s="443"/>
      <c r="CQ280" s="429">
        <f t="shared" si="37"/>
        <v>0</v>
      </c>
      <c r="CR280" s="430"/>
    </row>
    <row r="281" spans="1:96" ht="25.5" customHeight="1" x14ac:dyDescent="0.2">
      <c r="A281" s="410">
        <f t="shared" si="38"/>
        <v>266</v>
      </c>
      <c r="B281" s="280"/>
      <c r="C281" s="453"/>
      <c r="D281" s="411"/>
      <c r="E281" s="254"/>
      <c r="F281" s="277"/>
      <c r="G281" s="450"/>
      <c r="H281" s="451"/>
      <c r="I281" s="433" t="str">
        <f t="shared" si="32"/>
        <v/>
      </c>
      <c r="J281" s="434">
        <f t="shared" si="33"/>
        <v>0</v>
      </c>
      <c r="K281" s="452"/>
      <c r="L281" s="276"/>
      <c r="M281" s="435"/>
      <c r="N281" s="417" t="str">
        <f t="shared" si="34"/>
        <v/>
      </c>
      <c r="O281" s="418" t="str">
        <f>IF('Data Set up'!$G$40="JUNE",IF(OR($N281=7,$N281=8,$N281=9),1,IF(OR($N281=10,$N281=11,$N281=12),2,IF(OR($N281=1,$N281=2,$N281=3),3,IF(OR($N281=4,$N281=5,$N281=6),4,"")))),IF(OR($N281=9,$N281=10,$N281=11),1,IF(OR($N281=12,$N281=1,$N281=2),2,IF(OR($N281=3,$N281=4,$N281=5),3,IF(OR($N281=6,$N281=7,$N281=8),4,"")))))</f>
        <v/>
      </c>
      <c r="P281" s="445"/>
      <c r="Q281" s="291"/>
      <c r="R281" s="291"/>
      <c r="S281" s="275"/>
      <c r="T281" s="275"/>
      <c r="U281" s="275"/>
      <c r="V281" s="275"/>
      <c r="W281" s="275"/>
      <c r="X281" s="275"/>
      <c r="Y281" s="275"/>
      <c r="Z281" s="275"/>
      <c r="AA281" s="275"/>
      <c r="AB281" s="275"/>
      <c r="AC281" s="275"/>
      <c r="AD281" s="275"/>
      <c r="AE281" s="275"/>
      <c r="AF281" s="275"/>
      <c r="AG281" s="275"/>
      <c r="AH281" s="438"/>
      <c r="AI281" s="439">
        <f t="shared" si="35"/>
        <v>0</v>
      </c>
      <c r="AJ281" s="263"/>
      <c r="AK281" s="263"/>
      <c r="AL281" s="263"/>
      <c r="AM281" s="263"/>
      <c r="AN281" s="263"/>
      <c r="AO281" s="263"/>
      <c r="AP281" s="263"/>
      <c r="AQ281" s="436"/>
      <c r="AR281" s="275"/>
      <c r="AS281" s="275"/>
      <c r="AT281" s="275"/>
      <c r="AU281" s="275"/>
      <c r="AV281" s="275"/>
      <c r="AW281" s="275"/>
      <c r="AX281" s="275"/>
      <c r="AY281" s="437"/>
      <c r="AZ281" s="440">
        <f t="shared" si="36"/>
        <v>0</v>
      </c>
      <c r="BA281" s="275"/>
      <c r="BB281" s="275"/>
      <c r="BC281" s="275"/>
      <c r="BD281" s="275"/>
      <c r="BE281" s="275"/>
      <c r="BF281" s="275"/>
      <c r="BG281" s="275"/>
      <c r="BH281" s="436"/>
      <c r="BI281" s="275"/>
      <c r="BJ281" s="275"/>
      <c r="BK281" s="291"/>
      <c r="BL281" s="291"/>
      <c r="BM281" s="275"/>
      <c r="BN281" s="275"/>
      <c r="BO281" s="438"/>
      <c r="BP281" s="436"/>
      <c r="BQ281" s="275"/>
      <c r="BR281" s="275"/>
      <c r="BS281" s="275"/>
      <c r="BT281" s="275"/>
      <c r="BU281" s="275"/>
      <c r="BV281" s="275"/>
      <c r="BW281" s="275"/>
      <c r="BX281" s="438"/>
      <c r="BY281" s="436"/>
      <c r="BZ281" s="275"/>
      <c r="CA281" s="275"/>
      <c r="CB281" s="275"/>
      <c r="CC281" s="275"/>
      <c r="CD281" s="275"/>
      <c r="CE281" s="275"/>
      <c r="CF281" s="275"/>
      <c r="CG281" s="438"/>
      <c r="CH281" s="436"/>
      <c r="CI281" s="275"/>
      <c r="CJ281" s="275"/>
      <c r="CK281" s="275"/>
      <c r="CL281" s="275"/>
      <c r="CM281" s="275"/>
      <c r="CN281" s="275"/>
      <c r="CO281" s="442"/>
      <c r="CP281" s="443"/>
      <c r="CQ281" s="429">
        <f t="shared" si="37"/>
        <v>0</v>
      </c>
      <c r="CR281" s="430"/>
    </row>
    <row r="282" spans="1:96" ht="25.5" customHeight="1" x14ac:dyDescent="0.2">
      <c r="A282" s="410">
        <f t="shared" si="38"/>
        <v>267</v>
      </c>
      <c r="B282" s="280"/>
      <c r="C282" s="453"/>
      <c r="D282" s="411"/>
      <c r="E282" s="254"/>
      <c r="F282" s="277"/>
      <c r="G282" s="450"/>
      <c r="H282" s="451"/>
      <c r="I282" s="433" t="str">
        <f t="shared" si="32"/>
        <v/>
      </c>
      <c r="J282" s="434">
        <f t="shared" si="33"/>
        <v>0</v>
      </c>
      <c r="K282" s="452"/>
      <c r="L282" s="276"/>
      <c r="M282" s="435"/>
      <c r="N282" s="417" t="str">
        <f t="shared" si="34"/>
        <v/>
      </c>
      <c r="O282" s="418" t="str">
        <f>IF('Data Set up'!$G$40="JUNE",IF(OR($N282=7,$N282=8,$N282=9),1,IF(OR($N282=10,$N282=11,$N282=12),2,IF(OR($N282=1,$N282=2,$N282=3),3,IF(OR($N282=4,$N282=5,$N282=6),4,"")))),IF(OR($N282=9,$N282=10,$N282=11),1,IF(OR($N282=12,$N282=1,$N282=2),2,IF(OR($N282=3,$N282=4,$N282=5),3,IF(OR($N282=6,$N282=7,$N282=8),4,"")))))</f>
        <v/>
      </c>
      <c r="P282" s="445"/>
      <c r="Q282" s="291"/>
      <c r="R282" s="291"/>
      <c r="S282" s="275"/>
      <c r="T282" s="275"/>
      <c r="U282" s="275"/>
      <c r="V282" s="275"/>
      <c r="W282" s="275"/>
      <c r="X282" s="275"/>
      <c r="Y282" s="275"/>
      <c r="Z282" s="275"/>
      <c r="AA282" s="275"/>
      <c r="AB282" s="275"/>
      <c r="AC282" s="275"/>
      <c r="AD282" s="275"/>
      <c r="AE282" s="275"/>
      <c r="AF282" s="275"/>
      <c r="AG282" s="275"/>
      <c r="AH282" s="438"/>
      <c r="AI282" s="439">
        <f t="shared" si="35"/>
        <v>0</v>
      </c>
      <c r="AJ282" s="263"/>
      <c r="AK282" s="263"/>
      <c r="AL282" s="263"/>
      <c r="AM282" s="263"/>
      <c r="AN282" s="263"/>
      <c r="AO282" s="263"/>
      <c r="AP282" s="263"/>
      <c r="AQ282" s="436"/>
      <c r="AR282" s="275"/>
      <c r="AS282" s="275"/>
      <c r="AT282" s="275"/>
      <c r="AU282" s="275"/>
      <c r="AV282" s="275"/>
      <c r="AW282" s="275"/>
      <c r="AX282" s="275"/>
      <c r="AY282" s="437"/>
      <c r="AZ282" s="440">
        <f t="shared" si="36"/>
        <v>0</v>
      </c>
      <c r="BA282" s="275"/>
      <c r="BB282" s="275"/>
      <c r="BC282" s="275"/>
      <c r="BD282" s="275"/>
      <c r="BE282" s="275"/>
      <c r="BF282" s="275"/>
      <c r="BG282" s="275"/>
      <c r="BH282" s="436"/>
      <c r="BI282" s="275"/>
      <c r="BJ282" s="275"/>
      <c r="BK282" s="291"/>
      <c r="BL282" s="291"/>
      <c r="BM282" s="275"/>
      <c r="BN282" s="275"/>
      <c r="BO282" s="438"/>
      <c r="BP282" s="436"/>
      <c r="BQ282" s="275"/>
      <c r="BR282" s="275"/>
      <c r="BS282" s="275"/>
      <c r="BT282" s="275"/>
      <c r="BU282" s="275"/>
      <c r="BV282" s="275"/>
      <c r="BW282" s="275"/>
      <c r="BX282" s="438"/>
      <c r="BY282" s="436"/>
      <c r="BZ282" s="275"/>
      <c r="CA282" s="275"/>
      <c r="CB282" s="275"/>
      <c r="CC282" s="275"/>
      <c r="CD282" s="275"/>
      <c r="CE282" s="275"/>
      <c r="CF282" s="275"/>
      <c r="CG282" s="438"/>
      <c r="CH282" s="436"/>
      <c r="CI282" s="275"/>
      <c r="CJ282" s="275"/>
      <c r="CK282" s="275"/>
      <c r="CL282" s="275"/>
      <c r="CM282" s="275"/>
      <c r="CN282" s="275"/>
      <c r="CO282" s="442"/>
      <c r="CP282" s="443"/>
      <c r="CQ282" s="429">
        <f t="shared" si="37"/>
        <v>0</v>
      </c>
      <c r="CR282" s="430"/>
    </row>
    <row r="283" spans="1:96" ht="25.5" customHeight="1" x14ac:dyDescent="0.2">
      <c r="A283" s="410">
        <f t="shared" si="38"/>
        <v>268</v>
      </c>
      <c r="B283" s="280"/>
      <c r="C283" s="453"/>
      <c r="D283" s="411"/>
      <c r="E283" s="254"/>
      <c r="F283" s="277"/>
      <c r="G283" s="450"/>
      <c r="H283" s="451"/>
      <c r="I283" s="433" t="str">
        <f t="shared" si="32"/>
        <v/>
      </c>
      <c r="J283" s="434">
        <f t="shared" si="33"/>
        <v>0</v>
      </c>
      <c r="K283" s="452"/>
      <c r="L283" s="276"/>
      <c r="M283" s="435"/>
      <c r="N283" s="417" t="str">
        <f t="shared" si="34"/>
        <v/>
      </c>
      <c r="O283" s="418" t="str">
        <f>IF('Data Set up'!$G$40="JUNE",IF(OR($N283=7,$N283=8,$N283=9),1,IF(OR($N283=10,$N283=11,$N283=12),2,IF(OR($N283=1,$N283=2,$N283=3),3,IF(OR($N283=4,$N283=5,$N283=6),4,"")))),IF(OR($N283=9,$N283=10,$N283=11),1,IF(OR($N283=12,$N283=1,$N283=2),2,IF(OR($N283=3,$N283=4,$N283=5),3,IF(OR($N283=6,$N283=7,$N283=8),4,"")))))</f>
        <v/>
      </c>
      <c r="P283" s="445"/>
      <c r="Q283" s="291"/>
      <c r="R283" s="291"/>
      <c r="S283" s="275"/>
      <c r="T283" s="275"/>
      <c r="U283" s="275"/>
      <c r="V283" s="275"/>
      <c r="W283" s="275"/>
      <c r="X283" s="275"/>
      <c r="Y283" s="275"/>
      <c r="Z283" s="275"/>
      <c r="AA283" s="275"/>
      <c r="AB283" s="275"/>
      <c r="AC283" s="275"/>
      <c r="AD283" s="275"/>
      <c r="AE283" s="275"/>
      <c r="AF283" s="275"/>
      <c r="AG283" s="275"/>
      <c r="AH283" s="438"/>
      <c r="AI283" s="439">
        <f t="shared" si="35"/>
        <v>0</v>
      </c>
      <c r="AJ283" s="263"/>
      <c r="AK283" s="263"/>
      <c r="AL283" s="263"/>
      <c r="AM283" s="263"/>
      <c r="AN283" s="263"/>
      <c r="AO283" s="263"/>
      <c r="AP283" s="263"/>
      <c r="AQ283" s="436"/>
      <c r="AR283" s="275"/>
      <c r="AS283" s="275"/>
      <c r="AT283" s="275"/>
      <c r="AU283" s="275"/>
      <c r="AV283" s="275"/>
      <c r="AW283" s="275"/>
      <c r="AX283" s="275"/>
      <c r="AY283" s="437"/>
      <c r="AZ283" s="440">
        <f t="shared" si="36"/>
        <v>0</v>
      </c>
      <c r="BA283" s="275"/>
      <c r="BB283" s="275"/>
      <c r="BC283" s="275"/>
      <c r="BD283" s="275"/>
      <c r="BE283" s="275"/>
      <c r="BF283" s="275"/>
      <c r="BG283" s="275"/>
      <c r="BH283" s="436"/>
      <c r="BI283" s="275"/>
      <c r="BJ283" s="275"/>
      <c r="BK283" s="291"/>
      <c r="BL283" s="291"/>
      <c r="BM283" s="275"/>
      <c r="BN283" s="275"/>
      <c r="BO283" s="438"/>
      <c r="BP283" s="436"/>
      <c r="BQ283" s="275"/>
      <c r="BR283" s="275"/>
      <c r="BS283" s="275"/>
      <c r="BT283" s="275"/>
      <c r="BU283" s="275"/>
      <c r="BV283" s="275"/>
      <c r="BW283" s="275"/>
      <c r="BX283" s="438"/>
      <c r="BY283" s="436"/>
      <c r="BZ283" s="275"/>
      <c r="CA283" s="275"/>
      <c r="CB283" s="275"/>
      <c r="CC283" s="275"/>
      <c r="CD283" s="275"/>
      <c r="CE283" s="275"/>
      <c r="CF283" s="275"/>
      <c r="CG283" s="438"/>
      <c r="CH283" s="436"/>
      <c r="CI283" s="275"/>
      <c r="CJ283" s="275"/>
      <c r="CK283" s="275"/>
      <c r="CL283" s="275"/>
      <c r="CM283" s="275"/>
      <c r="CN283" s="275"/>
      <c r="CO283" s="442"/>
      <c r="CP283" s="443"/>
      <c r="CQ283" s="429">
        <f t="shared" si="37"/>
        <v>0</v>
      </c>
      <c r="CR283" s="430"/>
    </row>
    <row r="284" spans="1:96" ht="25.5" customHeight="1" x14ac:dyDescent="0.2">
      <c r="A284" s="410">
        <f t="shared" si="38"/>
        <v>269</v>
      </c>
      <c r="B284" s="280"/>
      <c r="C284" s="453"/>
      <c r="D284" s="411"/>
      <c r="E284" s="254"/>
      <c r="F284" s="277"/>
      <c r="G284" s="450"/>
      <c r="H284" s="451"/>
      <c r="I284" s="433" t="str">
        <f t="shared" si="32"/>
        <v/>
      </c>
      <c r="J284" s="434">
        <f t="shared" si="33"/>
        <v>0</v>
      </c>
      <c r="K284" s="452"/>
      <c r="L284" s="276"/>
      <c r="M284" s="435"/>
      <c r="N284" s="417" t="str">
        <f t="shared" si="34"/>
        <v/>
      </c>
      <c r="O284" s="418" t="str">
        <f>IF('Data Set up'!$G$40="JUNE",IF(OR($N284=7,$N284=8,$N284=9),1,IF(OR($N284=10,$N284=11,$N284=12),2,IF(OR($N284=1,$N284=2,$N284=3),3,IF(OR($N284=4,$N284=5,$N284=6),4,"")))),IF(OR($N284=9,$N284=10,$N284=11),1,IF(OR($N284=12,$N284=1,$N284=2),2,IF(OR($N284=3,$N284=4,$N284=5),3,IF(OR($N284=6,$N284=7,$N284=8),4,"")))))</f>
        <v/>
      </c>
      <c r="P284" s="445"/>
      <c r="Q284" s="291"/>
      <c r="R284" s="291"/>
      <c r="S284" s="275"/>
      <c r="T284" s="275"/>
      <c r="U284" s="275"/>
      <c r="V284" s="275"/>
      <c r="W284" s="275"/>
      <c r="X284" s="275"/>
      <c r="Y284" s="275"/>
      <c r="Z284" s="275"/>
      <c r="AA284" s="275"/>
      <c r="AB284" s="275"/>
      <c r="AC284" s="275"/>
      <c r="AD284" s="275"/>
      <c r="AE284" s="275"/>
      <c r="AF284" s="275"/>
      <c r="AG284" s="275"/>
      <c r="AH284" s="438"/>
      <c r="AI284" s="439">
        <f t="shared" si="35"/>
        <v>0</v>
      </c>
      <c r="AJ284" s="263"/>
      <c r="AK284" s="263"/>
      <c r="AL284" s="263"/>
      <c r="AM284" s="263"/>
      <c r="AN284" s="263"/>
      <c r="AO284" s="263"/>
      <c r="AP284" s="263"/>
      <c r="AQ284" s="436"/>
      <c r="AR284" s="275"/>
      <c r="AS284" s="275"/>
      <c r="AT284" s="275"/>
      <c r="AU284" s="275"/>
      <c r="AV284" s="275"/>
      <c r="AW284" s="275"/>
      <c r="AX284" s="275"/>
      <c r="AY284" s="437"/>
      <c r="AZ284" s="440">
        <f t="shared" si="36"/>
        <v>0</v>
      </c>
      <c r="BA284" s="275"/>
      <c r="BB284" s="275"/>
      <c r="BC284" s="275"/>
      <c r="BD284" s="275"/>
      <c r="BE284" s="275"/>
      <c r="BF284" s="275"/>
      <c r="BG284" s="275"/>
      <c r="BH284" s="436"/>
      <c r="BI284" s="275"/>
      <c r="BJ284" s="275"/>
      <c r="BK284" s="291"/>
      <c r="BL284" s="291"/>
      <c r="BM284" s="275"/>
      <c r="BN284" s="275"/>
      <c r="BO284" s="438"/>
      <c r="BP284" s="436"/>
      <c r="BQ284" s="275"/>
      <c r="BR284" s="275"/>
      <c r="BS284" s="275"/>
      <c r="BT284" s="275"/>
      <c r="BU284" s="275"/>
      <c r="BV284" s="275"/>
      <c r="BW284" s="275"/>
      <c r="BX284" s="438"/>
      <c r="BY284" s="436"/>
      <c r="BZ284" s="275"/>
      <c r="CA284" s="275"/>
      <c r="CB284" s="275"/>
      <c r="CC284" s="275"/>
      <c r="CD284" s="275"/>
      <c r="CE284" s="275"/>
      <c r="CF284" s="275"/>
      <c r="CG284" s="438"/>
      <c r="CH284" s="436"/>
      <c r="CI284" s="275"/>
      <c r="CJ284" s="275"/>
      <c r="CK284" s="275"/>
      <c r="CL284" s="275"/>
      <c r="CM284" s="275"/>
      <c r="CN284" s="275"/>
      <c r="CO284" s="442"/>
      <c r="CP284" s="443"/>
      <c r="CQ284" s="429">
        <f t="shared" si="37"/>
        <v>0</v>
      </c>
      <c r="CR284" s="430"/>
    </row>
    <row r="285" spans="1:96" ht="25.5" customHeight="1" x14ac:dyDescent="0.2">
      <c r="A285" s="410">
        <f t="shared" si="38"/>
        <v>270</v>
      </c>
      <c r="B285" s="280"/>
      <c r="C285" s="453"/>
      <c r="D285" s="411"/>
      <c r="E285" s="254"/>
      <c r="F285" s="277"/>
      <c r="G285" s="450"/>
      <c r="H285" s="451"/>
      <c r="I285" s="433" t="str">
        <f t="shared" si="32"/>
        <v/>
      </c>
      <c r="J285" s="434">
        <f t="shared" si="33"/>
        <v>0</v>
      </c>
      <c r="K285" s="452"/>
      <c r="L285" s="276"/>
      <c r="M285" s="435"/>
      <c r="N285" s="417" t="str">
        <f t="shared" si="34"/>
        <v/>
      </c>
      <c r="O285" s="418" t="str">
        <f>IF('Data Set up'!$G$40="JUNE",IF(OR($N285=7,$N285=8,$N285=9),1,IF(OR($N285=10,$N285=11,$N285=12),2,IF(OR($N285=1,$N285=2,$N285=3),3,IF(OR($N285=4,$N285=5,$N285=6),4,"")))),IF(OR($N285=9,$N285=10,$N285=11),1,IF(OR($N285=12,$N285=1,$N285=2),2,IF(OR($N285=3,$N285=4,$N285=5),3,IF(OR($N285=6,$N285=7,$N285=8),4,"")))))</f>
        <v/>
      </c>
      <c r="P285" s="445"/>
      <c r="Q285" s="291"/>
      <c r="R285" s="291"/>
      <c r="S285" s="275"/>
      <c r="T285" s="275"/>
      <c r="U285" s="275"/>
      <c r="V285" s="275"/>
      <c r="W285" s="275"/>
      <c r="X285" s="275"/>
      <c r="Y285" s="275"/>
      <c r="Z285" s="275"/>
      <c r="AA285" s="275"/>
      <c r="AB285" s="275"/>
      <c r="AC285" s="275"/>
      <c r="AD285" s="275"/>
      <c r="AE285" s="275"/>
      <c r="AF285" s="275"/>
      <c r="AG285" s="275"/>
      <c r="AH285" s="438"/>
      <c r="AI285" s="439">
        <f t="shared" si="35"/>
        <v>0</v>
      </c>
      <c r="AJ285" s="263"/>
      <c r="AK285" s="263"/>
      <c r="AL285" s="263"/>
      <c r="AM285" s="263"/>
      <c r="AN285" s="263"/>
      <c r="AO285" s="263"/>
      <c r="AP285" s="263"/>
      <c r="AQ285" s="436"/>
      <c r="AR285" s="275"/>
      <c r="AS285" s="275"/>
      <c r="AT285" s="275"/>
      <c r="AU285" s="275"/>
      <c r="AV285" s="275"/>
      <c r="AW285" s="275"/>
      <c r="AX285" s="275"/>
      <c r="AY285" s="437"/>
      <c r="AZ285" s="440">
        <f t="shared" si="36"/>
        <v>0</v>
      </c>
      <c r="BA285" s="275"/>
      <c r="BB285" s="275"/>
      <c r="BC285" s="275"/>
      <c r="BD285" s="275"/>
      <c r="BE285" s="275"/>
      <c r="BF285" s="275"/>
      <c r="BG285" s="275"/>
      <c r="BH285" s="436"/>
      <c r="BI285" s="275"/>
      <c r="BJ285" s="275"/>
      <c r="BK285" s="291"/>
      <c r="BL285" s="291"/>
      <c r="BM285" s="275"/>
      <c r="BN285" s="275"/>
      <c r="BO285" s="438"/>
      <c r="BP285" s="436"/>
      <c r="BQ285" s="275"/>
      <c r="BR285" s="275"/>
      <c r="BS285" s="275"/>
      <c r="BT285" s="275"/>
      <c r="BU285" s="275"/>
      <c r="BV285" s="275"/>
      <c r="BW285" s="275"/>
      <c r="BX285" s="438"/>
      <c r="BY285" s="436"/>
      <c r="BZ285" s="275"/>
      <c r="CA285" s="275"/>
      <c r="CB285" s="275"/>
      <c r="CC285" s="275"/>
      <c r="CD285" s="275"/>
      <c r="CE285" s="275"/>
      <c r="CF285" s="275"/>
      <c r="CG285" s="438"/>
      <c r="CH285" s="436"/>
      <c r="CI285" s="275"/>
      <c r="CJ285" s="275"/>
      <c r="CK285" s="275"/>
      <c r="CL285" s="275"/>
      <c r="CM285" s="275"/>
      <c r="CN285" s="275"/>
      <c r="CO285" s="442"/>
      <c r="CP285" s="443"/>
      <c r="CQ285" s="429">
        <f t="shared" si="37"/>
        <v>0</v>
      </c>
      <c r="CR285" s="430"/>
    </row>
    <row r="286" spans="1:96" ht="25.5" customHeight="1" x14ac:dyDescent="0.2">
      <c r="A286" s="410">
        <f t="shared" si="38"/>
        <v>271</v>
      </c>
      <c r="B286" s="280"/>
      <c r="C286" s="453"/>
      <c r="D286" s="411"/>
      <c r="E286" s="254"/>
      <c r="F286" s="277"/>
      <c r="G286" s="450"/>
      <c r="H286" s="451"/>
      <c r="I286" s="433" t="str">
        <f t="shared" si="32"/>
        <v/>
      </c>
      <c r="J286" s="434">
        <f t="shared" si="33"/>
        <v>0</v>
      </c>
      <c r="K286" s="452"/>
      <c r="L286" s="276"/>
      <c r="M286" s="435"/>
      <c r="N286" s="417" t="str">
        <f t="shared" si="34"/>
        <v/>
      </c>
      <c r="O286" s="418" t="str">
        <f>IF('Data Set up'!$G$40="JUNE",IF(OR($N286=7,$N286=8,$N286=9),1,IF(OR($N286=10,$N286=11,$N286=12),2,IF(OR($N286=1,$N286=2,$N286=3),3,IF(OR($N286=4,$N286=5,$N286=6),4,"")))),IF(OR($N286=9,$N286=10,$N286=11),1,IF(OR($N286=12,$N286=1,$N286=2),2,IF(OR($N286=3,$N286=4,$N286=5),3,IF(OR($N286=6,$N286=7,$N286=8),4,"")))))</f>
        <v/>
      </c>
      <c r="P286" s="445"/>
      <c r="Q286" s="291"/>
      <c r="R286" s="291"/>
      <c r="S286" s="275"/>
      <c r="T286" s="275"/>
      <c r="U286" s="275"/>
      <c r="V286" s="275"/>
      <c r="W286" s="275"/>
      <c r="X286" s="275"/>
      <c r="Y286" s="275"/>
      <c r="Z286" s="275"/>
      <c r="AA286" s="275"/>
      <c r="AB286" s="275"/>
      <c r="AC286" s="275"/>
      <c r="AD286" s="275"/>
      <c r="AE286" s="275"/>
      <c r="AF286" s="275"/>
      <c r="AG286" s="275"/>
      <c r="AH286" s="438"/>
      <c r="AI286" s="439">
        <f t="shared" si="35"/>
        <v>0</v>
      </c>
      <c r="AJ286" s="263"/>
      <c r="AK286" s="263"/>
      <c r="AL286" s="263"/>
      <c r="AM286" s="263"/>
      <c r="AN286" s="263"/>
      <c r="AO286" s="263"/>
      <c r="AP286" s="263"/>
      <c r="AQ286" s="436"/>
      <c r="AR286" s="275"/>
      <c r="AS286" s="275"/>
      <c r="AT286" s="275"/>
      <c r="AU286" s="275"/>
      <c r="AV286" s="275"/>
      <c r="AW286" s="275"/>
      <c r="AX286" s="275"/>
      <c r="AY286" s="437"/>
      <c r="AZ286" s="440">
        <f t="shared" si="36"/>
        <v>0</v>
      </c>
      <c r="BA286" s="275"/>
      <c r="BB286" s="275"/>
      <c r="BC286" s="275"/>
      <c r="BD286" s="275"/>
      <c r="BE286" s="275"/>
      <c r="BF286" s="275"/>
      <c r="BG286" s="275"/>
      <c r="BH286" s="436"/>
      <c r="BI286" s="275"/>
      <c r="BJ286" s="275"/>
      <c r="BK286" s="291"/>
      <c r="BL286" s="291"/>
      <c r="BM286" s="275"/>
      <c r="BN286" s="275"/>
      <c r="BO286" s="438"/>
      <c r="BP286" s="436"/>
      <c r="BQ286" s="275"/>
      <c r="BR286" s="275"/>
      <c r="BS286" s="275"/>
      <c r="BT286" s="275"/>
      <c r="BU286" s="275"/>
      <c r="BV286" s="275"/>
      <c r="BW286" s="275"/>
      <c r="BX286" s="438"/>
      <c r="BY286" s="436"/>
      <c r="BZ286" s="275"/>
      <c r="CA286" s="275"/>
      <c r="CB286" s="275"/>
      <c r="CC286" s="275"/>
      <c r="CD286" s="275"/>
      <c r="CE286" s="275"/>
      <c r="CF286" s="275"/>
      <c r="CG286" s="438"/>
      <c r="CH286" s="436"/>
      <c r="CI286" s="275"/>
      <c r="CJ286" s="275"/>
      <c r="CK286" s="275"/>
      <c r="CL286" s="275"/>
      <c r="CM286" s="275"/>
      <c r="CN286" s="275"/>
      <c r="CO286" s="442"/>
      <c r="CP286" s="443"/>
      <c r="CQ286" s="429">
        <f t="shared" si="37"/>
        <v>0</v>
      </c>
      <c r="CR286" s="430"/>
    </row>
    <row r="287" spans="1:96" ht="25.5" customHeight="1" x14ac:dyDescent="0.2">
      <c r="A287" s="410">
        <f t="shared" si="38"/>
        <v>272</v>
      </c>
      <c r="B287" s="280"/>
      <c r="C287" s="453"/>
      <c r="D287" s="411"/>
      <c r="E287" s="254"/>
      <c r="F287" s="277"/>
      <c r="G287" s="450"/>
      <c r="H287" s="451"/>
      <c r="I287" s="433" t="str">
        <f t="shared" si="32"/>
        <v/>
      </c>
      <c r="J287" s="434">
        <f t="shared" si="33"/>
        <v>0</v>
      </c>
      <c r="K287" s="452"/>
      <c r="L287" s="276"/>
      <c r="M287" s="435"/>
      <c r="N287" s="417" t="str">
        <f t="shared" si="34"/>
        <v/>
      </c>
      <c r="O287" s="418" t="str">
        <f>IF('Data Set up'!$G$40="JUNE",IF(OR($N287=7,$N287=8,$N287=9),1,IF(OR($N287=10,$N287=11,$N287=12),2,IF(OR($N287=1,$N287=2,$N287=3),3,IF(OR($N287=4,$N287=5,$N287=6),4,"")))),IF(OR($N287=9,$N287=10,$N287=11),1,IF(OR($N287=12,$N287=1,$N287=2),2,IF(OR($N287=3,$N287=4,$N287=5),3,IF(OR($N287=6,$N287=7,$N287=8),4,"")))))</f>
        <v/>
      </c>
      <c r="P287" s="445"/>
      <c r="Q287" s="291"/>
      <c r="R287" s="291"/>
      <c r="S287" s="275"/>
      <c r="T287" s="275"/>
      <c r="U287" s="275"/>
      <c r="V287" s="275"/>
      <c r="W287" s="275"/>
      <c r="X287" s="275"/>
      <c r="Y287" s="275"/>
      <c r="Z287" s="275"/>
      <c r="AA287" s="275"/>
      <c r="AB287" s="275"/>
      <c r="AC287" s="275"/>
      <c r="AD287" s="275"/>
      <c r="AE287" s="275"/>
      <c r="AF287" s="275"/>
      <c r="AG287" s="275"/>
      <c r="AH287" s="438"/>
      <c r="AI287" s="439">
        <f t="shared" si="35"/>
        <v>0</v>
      </c>
      <c r="AJ287" s="263"/>
      <c r="AK287" s="263"/>
      <c r="AL287" s="263"/>
      <c r="AM287" s="263"/>
      <c r="AN287" s="263"/>
      <c r="AO287" s="263"/>
      <c r="AP287" s="263"/>
      <c r="AQ287" s="436"/>
      <c r="AR287" s="275"/>
      <c r="AS287" s="275"/>
      <c r="AT287" s="275"/>
      <c r="AU287" s="275"/>
      <c r="AV287" s="275"/>
      <c r="AW287" s="275"/>
      <c r="AX287" s="275"/>
      <c r="AY287" s="437"/>
      <c r="AZ287" s="440">
        <f t="shared" si="36"/>
        <v>0</v>
      </c>
      <c r="BA287" s="275"/>
      <c r="BB287" s="275"/>
      <c r="BC287" s="275"/>
      <c r="BD287" s="275"/>
      <c r="BE287" s="275"/>
      <c r="BF287" s="275"/>
      <c r="BG287" s="275"/>
      <c r="BH287" s="436"/>
      <c r="BI287" s="275"/>
      <c r="BJ287" s="275"/>
      <c r="BK287" s="291"/>
      <c r="BL287" s="291"/>
      <c r="BM287" s="275"/>
      <c r="BN287" s="275"/>
      <c r="BO287" s="438"/>
      <c r="BP287" s="436"/>
      <c r="BQ287" s="275"/>
      <c r="BR287" s="275"/>
      <c r="BS287" s="275"/>
      <c r="BT287" s="275"/>
      <c r="BU287" s="275"/>
      <c r="BV287" s="275"/>
      <c r="BW287" s="275"/>
      <c r="BX287" s="438"/>
      <c r="BY287" s="436"/>
      <c r="BZ287" s="275"/>
      <c r="CA287" s="275"/>
      <c r="CB287" s="275"/>
      <c r="CC287" s="275"/>
      <c r="CD287" s="275"/>
      <c r="CE287" s="275"/>
      <c r="CF287" s="275"/>
      <c r="CG287" s="438"/>
      <c r="CH287" s="436"/>
      <c r="CI287" s="275"/>
      <c r="CJ287" s="275"/>
      <c r="CK287" s="275"/>
      <c r="CL287" s="275"/>
      <c r="CM287" s="275"/>
      <c r="CN287" s="275"/>
      <c r="CO287" s="442"/>
      <c r="CP287" s="443"/>
      <c r="CQ287" s="429">
        <f t="shared" si="37"/>
        <v>0</v>
      </c>
      <c r="CR287" s="430"/>
    </row>
    <row r="288" spans="1:96" ht="25.5" customHeight="1" x14ac:dyDescent="0.2">
      <c r="A288" s="410">
        <f t="shared" si="38"/>
        <v>273</v>
      </c>
      <c r="B288" s="280"/>
      <c r="C288" s="453"/>
      <c r="D288" s="411"/>
      <c r="E288" s="254"/>
      <c r="F288" s="277"/>
      <c r="G288" s="450"/>
      <c r="H288" s="451"/>
      <c r="I288" s="433" t="str">
        <f t="shared" si="32"/>
        <v/>
      </c>
      <c r="J288" s="434">
        <f t="shared" si="33"/>
        <v>0</v>
      </c>
      <c r="K288" s="452"/>
      <c r="L288" s="276"/>
      <c r="M288" s="435"/>
      <c r="N288" s="417" t="str">
        <f t="shared" si="34"/>
        <v/>
      </c>
      <c r="O288" s="418" t="str">
        <f>IF('Data Set up'!$G$40="JUNE",IF(OR($N288=7,$N288=8,$N288=9),1,IF(OR($N288=10,$N288=11,$N288=12),2,IF(OR($N288=1,$N288=2,$N288=3),3,IF(OR($N288=4,$N288=5,$N288=6),4,"")))),IF(OR($N288=9,$N288=10,$N288=11),1,IF(OR($N288=12,$N288=1,$N288=2),2,IF(OR($N288=3,$N288=4,$N288=5),3,IF(OR($N288=6,$N288=7,$N288=8),4,"")))))</f>
        <v/>
      </c>
      <c r="P288" s="445"/>
      <c r="Q288" s="291"/>
      <c r="R288" s="291"/>
      <c r="S288" s="275"/>
      <c r="T288" s="275"/>
      <c r="U288" s="275"/>
      <c r="V288" s="275"/>
      <c r="W288" s="275"/>
      <c r="X288" s="275"/>
      <c r="Y288" s="275"/>
      <c r="Z288" s="275"/>
      <c r="AA288" s="275"/>
      <c r="AB288" s="275"/>
      <c r="AC288" s="275"/>
      <c r="AD288" s="275"/>
      <c r="AE288" s="275"/>
      <c r="AF288" s="275"/>
      <c r="AG288" s="275"/>
      <c r="AH288" s="438"/>
      <c r="AI288" s="439">
        <f t="shared" si="35"/>
        <v>0</v>
      </c>
      <c r="AJ288" s="263"/>
      <c r="AK288" s="263"/>
      <c r="AL288" s="263"/>
      <c r="AM288" s="263"/>
      <c r="AN288" s="263"/>
      <c r="AO288" s="263"/>
      <c r="AP288" s="263"/>
      <c r="AQ288" s="436"/>
      <c r="AR288" s="275"/>
      <c r="AS288" s="275"/>
      <c r="AT288" s="275"/>
      <c r="AU288" s="275"/>
      <c r="AV288" s="275"/>
      <c r="AW288" s="275"/>
      <c r="AX288" s="275"/>
      <c r="AY288" s="437"/>
      <c r="AZ288" s="440">
        <f t="shared" si="36"/>
        <v>0</v>
      </c>
      <c r="BA288" s="275"/>
      <c r="BB288" s="275"/>
      <c r="BC288" s="275"/>
      <c r="BD288" s="275"/>
      <c r="BE288" s="275"/>
      <c r="BF288" s="275"/>
      <c r="BG288" s="275"/>
      <c r="BH288" s="436"/>
      <c r="BI288" s="275"/>
      <c r="BJ288" s="275"/>
      <c r="BK288" s="291"/>
      <c r="BL288" s="291"/>
      <c r="BM288" s="275"/>
      <c r="BN288" s="275"/>
      <c r="BO288" s="438"/>
      <c r="BP288" s="436"/>
      <c r="BQ288" s="275"/>
      <c r="BR288" s="275"/>
      <c r="BS288" s="275"/>
      <c r="BT288" s="275"/>
      <c r="BU288" s="275"/>
      <c r="BV288" s="275"/>
      <c r="BW288" s="275"/>
      <c r="BX288" s="438"/>
      <c r="BY288" s="436"/>
      <c r="BZ288" s="275"/>
      <c r="CA288" s="275"/>
      <c r="CB288" s="275"/>
      <c r="CC288" s="275"/>
      <c r="CD288" s="275"/>
      <c r="CE288" s="275"/>
      <c r="CF288" s="275"/>
      <c r="CG288" s="438"/>
      <c r="CH288" s="436"/>
      <c r="CI288" s="275"/>
      <c r="CJ288" s="275"/>
      <c r="CK288" s="275"/>
      <c r="CL288" s="275"/>
      <c r="CM288" s="275"/>
      <c r="CN288" s="275"/>
      <c r="CO288" s="442"/>
      <c r="CP288" s="443"/>
      <c r="CQ288" s="429">
        <f t="shared" si="37"/>
        <v>0</v>
      </c>
      <c r="CR288" s="430"/>
    </row>
    <row r="289" spans="1:96" ht="25.5" customHeight="1" x14ac:dyDescent="0.2">
      <c r="A289" s="410">
        <f t="shared" si="38"/>
        <v>274</v>
      </c>
      <c r="B289" s="280"/>
      <c r="C289" s="453"/>
      <c r="D289" s="411"/>
      <c r="E289" s="254"/>
      <c r="F289" s="277"/>
      <c r="G289" s="450"/>
      <c r="H289" s="451"/>
      <c r="I289" s="433" t="str">
        <f t="shared" si="32"/>
        <v/>
      </c>
      <c r="J289" s="434">
        <f t="shared" si="33"/>
        <v>0</v>
      </c>
      <c r="K289" s="452"/>
      <c r="L289" s="276"/>
      <c r="M289" s="435"/>
      <c r="N289" s="417" t="str">
        <f t="shared" si="34"/>
        <v/>
      </c>
      <c r="O289" s="418" t="str">
        <f>IF('Data Set up'!$G$40="JUNE",IF(OR($N289=7,$N289=8,$N289=9),1,IF(OR($N289=10,$N289=11,$N289=12),2,IF(OR($N289=1,$N289=2,$N289=3),3,IF(OR($N289=4,$N289=5,$N289=6),4,"")))),IF(OR($N289=9,$N289=10,$N289=11),1,IF(OR($N289=12,$N289=1,$N289=2),2,IF(OR($N289=3,$N289=4,$N289=5),3,IF(OR($N289=6,$N289=7,$N289=8),4,"")))))</f>
        <v/>
      </c>
      <c r="P289" s="445"/>
      <c r="Q289" s="291"/>
      <c r="R289" s="291"/>
      <c r="S289" s="275"/>
      <c r="T289" s="275"/>
      <c r="U289" s="275"/>
      <c r="V289" s="275"/>
      <c r="W289" s="275"/>
      <c r="X289" s="275"/>
      <c r="Y289" s="275"/>
      <c r="Z289" s="275"/>
      <c r="AA289" s="275"/>
      <c r="AB289" s="275"/>
      <c r="AC289" s="275"/>
      <c r="AD289" s="275"/>
      <c r="AE289" s="275"/>
      <c r="AF289" s="275"/>
      <c r="AG289" s="275"/>
      <c r="AH289" s="438"/>
      <c r="AI289" s="439">
        <f t="shared" si="35"/>
        <v>0</v>
      </c>
      <c r="AJ289" s="263"/>
      <c r="AK289" s="263"/>
      <c r="AL289" s="263"/>
      <c r="AM289" s="263"/>
      <c r="AN289" s="263"/>
      <c r="AO289" s="263"/>
      <c r="AP289" s="263"/>
      <c r="AQ289" s="436"/>
      <c r="AR289" s="275"/>
      <c r="AS289" s="275"/>
      <c r="AT289" s="275"/>
      <c r="AU289" s="275"/>
      <c r="AV289" s="275"/>
      <c r="AW289" s="275"/>
      <c r="AX289" s="275"/>
      <c r="AY289" s="437"/>
      <c r="AZ289" s="440">
        <f t="shared" si="36"/>
        <v>0</v>
      </c>
      <c r="BA289" s="275"/>
      <c r="BB289" s="275"/>
      <c r="BC289" s="275"/>
      <c r="BD289" s="275"/>
      <c r="BE289" s="275"/>
      <c r="BF289" s="275"/>
      <c r="BG289" s="275"/>
      <c r="BH289" s="436"/>
      <c r="BI289" s="275"/>
      <c r="BJ289" s="275"/>
      <c r="BK289" s="291"/>
      <c r="BL289" s="291"/>
      <c r="BM289" s="275"/>
      <c r="BN289" s="275"/>
      <c r="BO289" s="438"/>
      <c r="BP289" s="436"/>
      <c r="BQ289" s="275"/>
      <c r="BR289" s="275"/>
      <c r="BS289" s="275"/>
      <c r="BT289" s="275"/>
      <c r="BU289" s="275"/>
      <c r="BV289" s="275"/>
      <c r="BW289" s="275"/>
      <c r="BX289" s="438"/>
      <c r="BY289" s="436"/>
      <c r="BZ289" s="275"/>
      <c r="CA289" s="275"/>
      <c r="CB289" s="275"/>
      <c r="CC289" s="275"/>
      <c r="CD289" s="275"/>
      <c r="CE289" s="275"/>
      <c r="CF289" s="275"/>
      <c r="CG289" s="438"/>
      <c r="CH289" s="436"/>
      <c r="CI289" s="275"/>
      <c r="CJ289" s="275"/>
      <c r="CK289" s="275"/>
      <c r="CL289" s="275"/>
      <c r="CM289" s="275"/>
      <c r="CN289" s="275"/>
      <c r="CO289" s="442"/>
      <c r="CP289" s="443"/>
      <c r="CQ289" s="429">
        <f t="shared" si="37"/>
        <v>0</v>
      </c>
      <c r="CR289" s="430"/>
    </row>
    <row r="290" spans="1:96" ht="25.5" customHeight="1" x14ac:dyDescent="0.2">
      <c r="A290" s="410">
        <f t="shared" si="38"/>
        <v>275</v>
      </c>
      <c r="B290" s="280"/>
      <c r="C290" s="453"/>
      <c r="D290" s="411"/>
      <c r="E290" s="254"/>
      <c r="F290" s="277"/>
      <c r="G290" s="450"/>
      <c r="H290" s="451"/>
      <c r="I290" s="433" t="str">
        <f t="shared" si="32"/>
        <v/>
      </c>
      <c r="J290" s="434">
        <f t="shared" si="33"/>
        <v>0</v>
      </c>
      <c r="K290" s="452"/>
      <c r="L290" s="276"/>
      <c r="M290" s="435"/>
      <c r="N290" s="417" t="str">
        <f t="shared" si="34"/>
        <v/>
      </c>
      <c r="O290" s="418" t="str">
        <f>IF('Data Set up'!$G$40="JUNE",IF(OR($N290=7,$N290=8,$N290=9),1,IF(OR($N290=10,$N290=11,$N290=12),2,IF(OR($N290=1,$N290=2,$N290=3),3,IF(OR($N290=4,$N290=5,$N290=6),4,"")))),IF(OR($N290=9,$N290=10,$N290=11),1,IF(OR($N290=12,$N290=1,$N290=2),2,IF(OR($N290=3,$N290=4,$N290=5),3,IF(OR($N290=6,$N290=7,$N290=8),4,"")))))</f>
        <v/>
      </c>
      <c r="P290" s="445"/>
      <c r="Q290" s="291"/>
      <c r="R290" s="291"/>
      <c r="S290" s="275"/>
      <c r="T290" s="275"/>
      <c r="U290" s="275"/>
      <c r="V290" s="275"/>
      <c r="W290" s="275"/>
      <c r="X290" s="275"/>
      <c r="Y290" s="275"/>
      <c r="Z290" s="275"/>
      <c r="AA290" s="275"/>
      <c r="AB290" s="275"/>
      <c r="AC290" s="275"/>
      <c r="AD290" s="275"/>
      <c r="AE290" s="275"/>
      <c r="AF290" s="275"/>
      <c r="AG290" s="275"/>
      <c r="AH290" s="438"/>
      <c r="AI290" s="439">
        <f t="shared" si="35"/>
        <v>0</v>
      </c>
      <c r="AJ290" s="263"/>
      <c r="AK290" s="263"/>
      <c r="AL290" s="263"/>
      <c r="AM290" s="263"/>
      <c r="AN290" s="263"/>
      <c r="AO290" s="263"/>
      <c r="AP290" s="263"/>
      <c r="AQ290" s="436"/>
      <c r="AR290" s="275"/>
      <c r="AS290" s="275"/>
      <c r="AT290" s="275"/>
      <c r="AU290" s="275"/>
      <c r="AV290" s="275"/>
      <c r="AW290" s="275"/>
      <c r="AX290" s="275"/>
      <c r="AY290" s="437"/>
      <c r="AZ290" s="440">
        <f t="shared" si="36"/>
        <v>0</v>
      </c>
      <c r="BA290" s="275"/>
      <c r="BB290" s="275"/>
      <c r="BC290" s="275"/>
      <c r="BD290" s="275"/>
      <c r="BE290" s="275"/>
      <c r="BF290" s="275"/>
      <c r="BG290" s="275"/>
      <c r="BH290" s="436"/>
      <c r="BI290" s="275"/>
      <c r="BJ290" s="275"/>
      <c r="BK290" s="291"/>
      <c r="BL290" s="291"/>
      <c r="BM290" s="275"/>
      <c r="BN290" s="275"/>
      <c r="BO290" s="438"/>
      <c r="BP290" s="436"/>
      <c r="BQ290" s="275"/>
      <c r="BR290" s="275"/>
      <c r="BS290" s="275"/>
      <c r="BT290" s="275"/>
      <c r="BU290" s="275"/>
      <c r="BV290" s="275"/>
      <c r="BW290" s="275"/>
      <c r="BX290" s="438"/>
      <c r="BY290" s="436"/>
      <c r="BZ290" s="275"/>
      <c r="CA290" s="275"/>
      <c r="CB290" s="275"/>
      <c r="CC290" s="275"/>
      <c r="CD290" s="275"/>
      <c r="CE290" s="275"/>
      <c r="CF290" s="275"/>
      <c r="CG290" s="438"/>
      <c r="CH290" s="436"/>
      <c r="CI290" s="275"/>
      <c r="CJ290" s="275"/>
      <c r="CK290" s="275"/>
      <c r="CL290" s="275"/>
      <c r="CM290" s="275"/>
      <c r="CN290" s="275"/>
      <c r="CO290" s="442"/>
      <c r="CP290" s="443"/>
      <c r="CQ290" s="429">
        <f t="shared" si="37"/>
        <v>0</v>
      </c>
      <c r="CR290" s="430"/>
    </row>
    <row r="291" spans="1:96" ht="25.5" customHeight="1" x14ac:dyDescent="0.2">
      <c r="A291" s="410">
        <f t="shared" si="38"/>
        <v>276</v>
      </c>
      <c r="B291" s="280"/>
      <c r="C291" s="453"/>
      <c r="D291" s="411"/>
      <c r="E291" s="254"/>
      <c r="F291" s="277"/>
      <c r="G291" s="450"/>
      <c r="H291" s="451"/>
      <c r="I291" s="433" t="str">
        <f t="shared" si="32"/>
        <v/>
      </c>
      <c r="J291" s="434">
        <f t="shared" si="33"/>
        <v>0</v>
      </c>
      <c r="K291" s="452"/>
      <c r="L291" s="276"/>
      <c r="M291" s="435"/>
      <c r="N291" s="417" t="str">
        <f t="shared" si="34"/>
        <v/>
      </c>
      <c r="O291" s="418" t="str">
        <f>IF('Data Set up'!$G$40="JUNE",IF(OR($N291=7,$N291=8,$N291=9),1,IF(OR($N291=10,$N291=11,$N291=12),2,IF(OR($N291=1,$N291=2,$N291=3),3,IF(OR($N291=4,$N291=5,$N291=6),4,"")))),IF(OR($N291=9,$N291=10,$N291=11),1,IF(OR($N291=12,$N291=1,$N291=2),2,IF(OR($N291=3,$N291=4,$N291=5),3,IF(OR($N291=6,$N291=7,$N291=8),4,"")))))</f>
        <v/>
      </c>
      <c r="P291" s="445"/>
      <c r="Q291" s="291"/>
      <c r="R291" s="291"/>
      <c r="S291" s="275"/>
      <c r="T291" s="275"/>
      <c r="U291" s="275"/>
      <c r="V291" s="275"/>
      <c r="W291" s="275"/>
      <c r="X291" s="275"/>
      <c r="Y291" s="275"/>
      <c r="Z291" s="275"/>
      <c r="AA291" s="275"/>
      <c r="AB291" s="275"/>
      <c r="AC291" s="275"/>
      <c r="AD291" s="275"/>
      <c r="AE291" s="275"/>
      <c r="AF291" s="275"/>
      <c r="AG291" s="275"/>
      <c r="AH291" s="438"/>
      <c r="AI291" s="439">
        <f t="shared" si="35"/>
        <v>0</v>
      </c>
      <c r="AJ291" s="263"/>
      <c r="AK291" s="263"/>
      <c r="AL291" s="263"/>
      <c r="AM291" s="263"/>
      <c r="AN291" s="263"/>
      <c r="AO291" s="263"/>
      <c r="AP291" s="263"/>
      <c r="AQ291" s="436"/>
      <c r="AR291" s="275"/>
      <c r="AS291" s="275"/>
      <c r="AT291" s="275"/>
      <c r="AU291" s="275"/>
      <c r="AV291" s="275"/>
      <c r="AW291" s="275"/>
      <c r="AX291" s="275"/>
      <c r="AY291" s="437"/>
      <c r="AZ291" s="440">
        <f t="shared" si="36"/>
        <v>0</v>
      </c>
      <c r="BA291" s="275"/>
      <c r="BB291" s="275"/>
      <c r="BC291" s="275"/>
      <c r="BD291" s="275"/>
      <c r="BE291" s="275"/>
      <c r="BF291" s="275"/>
      <c r="BG291" s="275"/>
      <c r="BH291" s="436"/>
      <c r="BI291" s="275"/>
      <c r="BJ291" s="275"/>
      <c r="BK291" s="291"/>
      <c r="BL291" s="291"/>
      <c r="BM291" s="275"/>
      <c r="BN291" s="275"/>
      <c r="BO291" s="438"/>
      <c r="BP291" s="436"/>
      <c r="BQ291" s="275"/>
      <c r="BR291" s="275"/>
      <c r="BS291" s="275"/>
      <c r="BT291" s="275"/>
      <c r="BU291" s="275"/>
      <c r="BV291" s="275"/>
      <c r="BW291" s="275"/>
      <c r="BX291" s="438"/>
      <c r="BY291" s="436"/>
      <c r="BZ291" s="275"/>
      <c r="CA291" s="275"/>
      <c r="CB291" s="275"/>
      <c r="CC291" s="275"/>
      <c r="CD291" s="275"/>
      <c r="CE291" s="275"/>
      <c r="CF291" s="275"/>
      <c r="CG291" s="438"/>
      <c r="CH291" s="436"/>
      <c r="CI291" s="275"/>
      <c r="CJ291" s="275"/>
      <c r="CK291" s="275"/>
      <c r="CL291" s="275"/>
      <c r="CM291" s="275"/>
      <c r="CN291" s="275"/>
      <c r="CO291" s="442"/>
      <c r="CP291" s="443"/>
      <c r="CQ291" s="429">
        <f t="shared" si="37"/>
        <v>0</v>
      </c>
      <c r="CR291" s="430"/>
    </row>
    <row r="292" spans="1:96" ht="25.5" customHeight="1" x14ac:dyDescent="0.2">
      <c r="A292" s="410">
        <f t="shared" si="38"/>
        <v>277</v>
      </c>
      <c r="B292" s="280"/>
      <c r="C292" s="453"/>
      <c r="D292" s="411"/>
      <c r="E292" s="254"/>
      <c r="F292" s="277"/>
      <c r="G292" s="450"/>
      <c r="H292" s="451"/>
      <c r="I292" s="433" t="str">
        <f t="shared" si="32"/>
        <v/>
      </c>
      <c r="J292" s="434">
        <f t="shared" si="33"/>
        <v>0</v>
      </c>
      <c r="K292" s="452"/>
      <c r="L292" s="276"/>
      <c r="M292" s="435"/>
      <c r="N292" s="417" t="str">
        <f t="shared" si="34"/>
        <v/>
      </c>
      <c r="O292" s="418" t="str">
        <f>IF('Data Set up'!$G$40="JUNE",IF(OR($N292=7,$N292=8,$N292=9),1,IF(OR($N292=10,$N292=11,$N292=12),2,IF(OR($N292=1,$N292=2,$N292=3),3,IF(OR($N292=4,$N292=5,$N292=6),4,"")))),IF(OR($N292=9,$N292=10,$N292=11),1,IF(OR($N292=12,$N292=1,$N292=2),2,IF(OR($N292=3,$N292=4,$N292=5),3,IF(OR($N292=6,$N292=7,$N292=8),4,"")))))</f>
        <v/>
      </c>
      <c r="P292" s="445"/>
      <c r="Q292" s="291"/>
      <c r="R292" s="291"/>
      <c r="S292" s="275"/>
      <c r="T292" s="275"/>
      <c r="U292" s="275"/>
      <c r="V292" s="275"/>
      <c r="W292" s="275"/>
      <c r="X292" s="275"/>
      <c r="Y292" s="275"/>
      <c r="Z292" s="275"/>
      <c r="AA292" s="275"/>
      <c r="AB292" s="275"/>
      <c r="AC292" s="275"/>
      <c r="AD292" s="275"/>
      <c r="AE292" s="275"/>
      <c r="AF292" s="275"/>
      <c r="AG292" s="275"/>
      <c r="AH292" s="438"/>
      <c r="AI292" s="439">
        <f t="shared" si="35"/>
        <v>0</v>
      </c>
      <c r="AJ292" s="263"/>
      <c r="AK292" s="263"/>
      <c r="AL292" s="263"/>
      <c r="AM292" s="263"/>
      <c r="AN292" s="263"/>
      <c r="AO292" s="263"/>
      <c r="AP292" s="263"/>
      <c r="AQ292" s="436"/>
      <c r="AR292" s="275"/>
      <c r="AS292" s="275"/>
      <c r="AT292" s="275"/>
      <c r="AU292" s="275"/>
      <c r="AV292" s="275"/>
      <c r="AW292" s="275"/>
      <c r="AX292" s="275"/>
      <c r="AY292" s="437"/>
      <c r="AZ292" s="440">
        <f t="shared" si="36"/>
        <v>0</v>
      </c>
      <c r="BA292" s="275"/>
      <c r="BB292" s="275"/>
      <c r="BC292" s="275"/>
      <c r="BD292" s="275"/>
      <c r="BE292" s="275"/>
      <c r="BF292" s="275"/>
      <c r="BG292" s="275"/>
      <c r="BH292" s="436"/>
      <c r="BI292" s="275"/>
      <c r="BJ292" s="275"/>
      <c r="BK292" s="291"/>
      <c r="BL292" s="291"/>
      <c r="BM292" s="275"/>
      <c r="BN292" s="275"/>
      <c r="BO292" s="438"/>
      <c r="BP292" s="436"/>
      <c r="BQ292" s="275"/>
      <c r="BR292" s="275"/>
      <c r="BS292" s="275"/>
      <c r="BT292" s="275"/>
      <c r="BU292" s="275"/>
      <c r="BV292" s="275"/>
      <c r="BW292" s="275"/>
      <c r="BX292" s="438"/>
      <c r="BY292" s="436"/>
      <c r="BZ292" s="275"/>
      <c r="CA292" s="275"/>
      <c r="CB292" s="275"/>
      <c r="CC292" s="275"/>
      <c r="CD292" s="275"/>
      <c r="CE292" s="275"/>
      <c r="CF292" s="275"/>
      <c r="CG292" s="438"/>
      <c r="CH292" s="436"/>
      <c r="CI292" s="275"/>
      <c r="CJ292" s="275"/>
      <c r="CK292" s="275"/>
      <c r="CL292" s="275"/>
      <c r="CM292" s="275"/>
      <c r="CN292" s="275"/>
      <c r="CO292" s="442"/>
      <c r="CP292" s="443"/>
      <c r="CQ292" s="429">
        <f t="shared" si="37"/>
        <v>0</v>
      </c>
      <c r="CR292" s="430"/>
    </row>
    <row r="293" spans="1:96" ht="25.5" customHeight="1" x14ac:dyDescent="0.2">
      <c r="A293" s="410">
        <f t="shared" si="38"/>
        <v>278</v>
      </c>
      <c r="B293" s="280"/>
      <c r="C293" s="453"/>
      <c r="D293" s="411"/>
      <c r="E293" s="254"/>
      <c r="F293" s="277"/>
      <c r="G293" s="450"/>
      <c r="H293" s="451"/>
      <c r="I293" s="433" t="str">
        <f t="shared" si="32"/>
        <v/>
      </c>
      <c r="J293" s="434">
        <f t="shared" si="33"/>
        <v>0</v>
      </c>
      <c r="K293" s="452"/>
      <c r="L293" s="276"/>
      <c r="M293" s="435"/>
      <c r="N293" s="417" t="str">
        <f t="shared" si="34"/>
        <v/>
      </c>
      <c r="O293" s="418" t="str">
        <f>IF('Data Set up'!$G$40="JUNE",IF(OR($N293=7,$N293=8,$N293=9),1,IF(OR($N293=10,$N293=11,$N293=12),2,IF(OR($N293=1,$N293=2,$N293=3),3,IF(OR($N293=4,$N293=5,$N293=6),4,"")))),IF(OR($N293=9,$N293=10,$N293=11),1,IF(OR($N293=12,$N293=1,$N293=2),2,IF(OR($N293=3,$N293=4,$N293=5),3,IF(OR($N293=6,$N293=7,$N293=8),4,"")))))</f>
        <v/>
      </c>
      <c r="P293" s="445"/>
      <c r="Q293" s="291"/>
      <c r="R293" s="291"/>
      <c r="S293" s="275"/>
      <c r="T293" s="275"/>
      <c r="U293" s="275"/>
      <c r="V293" s="275"/>
      <c r="W293" s="275"/>
      <c r="X293" s="275"/>
      <c r="Y293" s="275"/>
      <c r="Z293" s="275"/>
      <c r="AA293" s="275"/>
      <c r="AB293" s="275"/>
      <c r="AC293" s="275"/>
      <c r="AD293" s="275"/>
      <c r="AE293" s="275"/>
      <c r="AF293" s="275"/>
      <c r="AG293" s="275"/>
      <c r="AH293" s="438"/>
      <c r="AI293" s="439">
        <f t="shared" si="35"/>
        <v>0</v>
      </c>
      <c r="AJ293" s="263"/>
      <c r="AK293" s="263"/>
      <c r="AL293" s="263"/>
      <c r="AM293" s="263"/>
      <c r="AN293" s="263"/>
      <c r="AO293" s="263"/>
      <c r="AP293" s="263"/>
      <c r="AQ293" s="436"/>
      <c r="AR293" s="275"/>
      <c r="AS293" s="275"/>
      <c r="AT293" s="275"/>
      <c r="AU293" s="275"/>
      <c r="AV293" s="275"/>
      <c r="AW293" s="275"/>
      <c r="AX293" s="275"/>
      <c r="AY293" s="437"/>
      <c r="AZ293" s="440">
        <f t="shared" si="36"/>
        <v>0</v>
      </c>
      <c r="BA293" s="275"/>
      <c r="BB293" s="275"/>
      <c r="BC293" s="275"/>
      <c r="BD293" s="275"/>
      <c r="BE293" s="275"/>
      <c r="BF293" s="275"/>
      <c r="BG293" s="275"/>
      <c r="BH293" s="436"/>
      <c r="BI293" s="275"/>
      <c r="BJ293" s="275"/>
      <c r="BK293" s="291"/>
      <c r="BL293" s="291"/>
      <c r="BM293" s="275"/>
      <c r="BN293" s="275"/>
      <c r="BO293" s="438"/>
      <c r="BP293" s="436"/>
      <c r="BQ293" s="275"/>
      <c r="BR293" s="275"/>
      <c r="BS293" s="275"/>
      <c r="BT293" s="275"/>
      <c r="BU293" s="275"/>
      <c r="BV293" s="275"/>
      <c r="BW293" s="275"/>
      <c r="BX293" s="438"/>
      <c r="BY293" s="436"/>
      <c r="BZ293" s="275"/>
      <c r="CA293" s="275"/>
      <c r="CB293" s="275"/>
      <c r="CC293" s="275"/>
      <c r="CD293" s="275"/>
      <c r="CE293" s="275"/>
      <c r="CF293" s="275"/>
      <c r="CG293" s="438"/>
      <c r="CH293" s="436"/>
      <c r="CI293" s="275"/>
      <c r="CJ293" s="275"/>
      <c r="CK293" s="275"/>
      <c r="CL293" s="275"/>
      <c r="CM293" s="275"/>
      <c r="CN293" s="275"/>
      <c r="CO293" s="442"/>
      <c r="CP293" s="443"/>
      <c r="CQ293" s="429">
        <f t="shared" si="37"/>
        <v>0</v>
      </c>
      <c r="CR293" s="430"/>
    </row>
    <row r="294" spans="1:96" ht="25.5" customHeight="1" x14ac:dyDescent="0.2">
      <c r="A294" s="410">
        <f t="shared" si="38"/>
        <v>279</v>
      </c>
      <c r="B294" s="280"/>
      <c r="C294" s="453"/>
      <c r="D294" s="411"/>
      <c r="E294" s="254"/>
      <c r="F294" s="277"/>
      <c r="G294" s="450"/>
      <c r="H294" s="451"/>
      <c r="I294" s="433" t="str">
        <f t="shared" si="32"/>
        <v/>
      </c>
      <c r="J294" s="434">
        <f t="shared" si="33"/>
        <v>0</v>
      </c>
      <c r="K294" s="452"/>
      <c r="L294" s="276"/>
      <c r="M294" s="435"/>
      <c r="N294" s="417" t="str">
        <f t="shared" si="34"/>
        <v/>
      </c>
      <c r="O294" s="418" t="str">
        <f>IF('Data Set up'!$G$40="JUNE",IF(OR($N294=7,$N294=8,$N294=9),1,IF(OR($N294=10,$N294=11,$N294=12),2,IF(OR($N294=1,$N294=2,$N294=3),3,IF(OR($N294=4,$N294=5,$N294=6),4,"")))),IF(OR($N294=9,$N294=10,$N294=11),1,IF(OR($N294=12,$N294=1,$N294=2),2,IF(OR($N294=3,$N294=4,$N294=5),3,IF(OR($N294=6,$N294=7,$N294=8),4,"")))))</f>
        <v/>
      </c>
      <c r="P294" s="445"/>
      <c r="Q294" s="291"/>
      <c r="R294" s="291"/>
      <c r="S294" s="275"/>
      <c r="T294" s="275"/>
      <c r="U294" s="275"/>
      <c r="V294" s="275"/>
      <c r="W294" s="275"/>
      <c r="X294" s="275"/>
      <c r="Y294" s="275"/>
      <c r="Z294" s="275"/>
      <c r="AA294" s="275"/>
      <c r="AB294" s="275"/>
      <c r="AC294" s="275"/>
      <c r="AD294" s="275"/>
      <c r="AE294" s="275"/>
      <c r="AF294" s="275"/>
      <c r="AG294" s="275"/>
      <c r="AH294" s="438"/>
      <c r="AI294" s="439">
        <f t="shared" si="35"/>
        <v>0</v>
      </c>
      <c r="AJ294" s="263"/>
      <c r="AK294" s="263"/>
      <c r="AL294" s="263"/>
      <c r="AM294" s="263"/>
      <c r="AN294" s="263"/>
      <c r="AO294" s="263"/>
      <c r="AP294" s="263"/>
      <c r="AQ294" s="436"/>
      <c r="AR294" s="275"/>
      <c r="AS294" s="275"/>
      <c r="AT294" s="275"/>
      <c r="AU294" s="275"/>
      <c r="AV294" s="275"/>
      <c r="AW294" s="275"/>
      <c r="AX294" s="275"/>
      <c r="AY294" s="437"/>
      <c r="AZ294" s="440">
        <f t="shared" si="36"/>
        <v>0</v>
      </c>
      <c r="BA294" s="275"/>
      <c r="BB294" s="275"/>
      <c r="BC294" s="275"/>
      <c r="BD294" s="275"/>
      <c r="BE294" s="275"/>
      <c r="BF294" s="275"/>
      <c r="BG294" s="275"/>
      <c r="BH294" s="436"/>
      <c r="BI294" s="275"/>
      <c r="BJ294" s="275"/>
      <c r="BK294" s="291"/>
      <c r="BL294" s="291"/>
      <c r="BM294" s="275"/>
      <c r="BN294" s="275"/>
      <c r="BO294" s="438"/>
      <c r="BP294" s="436"/>
      <c r="BQ294" s="275"/>
      <c r="BR294" s="275"/>
      <c r="BS294" s="275"/>
      <c r="BT294" s="275"/>
      <c r="BU294" s="275"/>
      <c r="BV294" s="275"/>
      <c r="BW294" s="275"/>
      <c r="BX294" s="438"/>
      <c r="BY294" s="436"/>
      <c r="BZ294" s="275"/>
      <c r="CA294" s="275"/>
      <c r="CB294" s="275"/>
      <c r="CC294" s="275"/>
      <c r="CD294" s="275"/>
      <c r="CE294" s="275"/>
      <c r="CF294" s="275"/>
      <c r="CG294" s="438"/>
      <c r="CH294" s="436"/>
      <c r="CI294" s="275"/>
      <c r="CJ294" s="275"/>
      <c r="CK294" s="275"/>
      <c r="CL294" s="275"/>
      <c r="CM294" s="275"/>
      <c r="CN294" s="275"/>
      <c r="CO294" s="442"/>
      <c r="CP294" s="443"/>
      <c r="CQ294" s="429">
        <f t="shared" si="37"/>
        <v>0</v>
      </c>
      <c r="CR294" s="430"/>
    </row>
    <row r="295" spans="1:96" ht="25.5" customHeight="1" x14ac:dyDescent="0.2">
      <c r="A295" s="410">
        <f t="shared" si="38"/>
        <v>280</v>
      </c>
      <c r="B295" s="280"/>
      <c r="C295" s="453"/>
      <c r="D295" s="411"/>
      <c r="E295" s="254"/>
      <c r="F295" s="277"/>
      <c r="G295" s="450"/>
      <c r="H295" s="451"/>
      <c r="I295" s="433" t="str">
        <f t="shared" si="32"/>
        <v/>
      </c>
      <c r="J295" s="434">
        <f t="shared" si="33"/>
        <v>0</v>
      </c>
      <c r="K295" s="452"/>
      <c r="L295" s="276"/>
      <c r="M295" s="435"/>
      <c r="N295" s="417" t="str">
        <f t="shared" si="34"/>
        <v/>
      </c>
      <c r="O295" s="418" t="str">
        <f>IF('Data Set up'!$G$40="JUNE",IF(OR($N295=7,$N295=8,$N295=9),1,IF(OR($N295=10,$N295=11,$N295=12),2,IF(OR($N295=1,$N295=2,$N295=3),3,IF(OR($N295=4,$N295=5,$N295=6),4,"")))),IF(OR($N295=9,$N295=10,$N295=11),1,IF(OR($N295=12,$N295=1,$N295=2),2,IF(OR($N295=3,$N295=4,$N295=5),3,IF(OR($N295=6,$N295=7,$N295=8),4,"")))))</f>
        <v/>
      </c>
      <c r="P295" s="445"/>
      <c r="Q295" s="291"/>
      <c r="R295" s="291"/>
      <c r="S295" s="275"/>
      <c r="T295" s="275"/>
      <c r="U295" s="275"/>
      <c r="V295" s="275"/>
      <c r="W295" s="275"/>
      <c r="X295" s="275"/>
      <c r="Y295" s="275"/>
      <c r="Z295" s="275"/>
      <c r="AA295" s="275"/>
      <c r="AB295" s="275"/>
      <c r="AC295" s="275"/>
      <c r="AD295" s="275"/>
      <c r="AE295" s="275"/>
      <c r="AF295" s="275"/>
      <c r="AG295" s="275"/>
      <c r="AH295" s="438"/>
      <c r="AI295" s="439">
        <f t="shared" si="35"/>
        <v>0</v>
      </c>
      <c r="AJ295" s="263"/>
      <c r="AK295" s="263"/>
      <c r="AL295" s="263"/>
      <c r="AM295" s="263"/>
      <c r="AN295" s="263"/>
      <c r="AO295" s="263"/>
      <c r="AP295" s="263"/>
      <c r="AQ295" s="436"/>
      <c r="AR295" s="275"/>
      <c r="AS295" s="275"/>
      <c r="AT295" s="275"/>
      <c r="AU295" s="275"/>
      <c r="AV295" s="275"/>
      <c r="AW295" s="275"/>
      <c r="AX295" s="275"/>
      <c r="AY295" s="437"/>
      <c r="AZ295" s="440">
        <f t="shared" si="36"/>
        <v>0</v>
      </c>
      <c r="BA295" s="275"/>
      <c r="BB295" s="275"/>
      <c r="BC295" s="275"/>
      <c r="BD295" s="275"/>
      <c r="BE295" s="275"/>
      <c r="BF295" s="275"/>
      <c r="BG295" s="275"/>
      <c r="BH295" s="436"/>
      <c r="BI295" s="275"/>
      <c r="BJ295" s="275"/>
      <c r="BK295" s="291"/>
      <c r="BL295" s="291"/>
      <c r="BM295" s="275"/>
      <c r="BN295" s="275"/>
      <c r="BO295" s="438"/>
      <c r="BP295" s="436"/>
      <c r="BQ295" s="275"/>
      <c r="BR295" s="275"/>
      <c r="BS295" s="275"/>
      <c r="BT295" s="275"/>
      <c r="BU295" s="275"/>
      <c r="BV295" s="275"/>
      <c r="BW295" s="275"/>
      <c r="BX295" s="438"/>
      <c r="BY295" s="436"/>
      <c r="BZ295" s="275"/>
      <c r="CA295" s="275"/>
      <c r="CB295" s="275"/>
      <c r="CC295" s="275"/>
      <c r="CD295" s="275"/>
      <c r="CE295" s="275"/>
      <c r="CF295" s="275"/>
      <c r="CG295" s="438"/>
      <c r="CH295" s="436"/>
      <c r="CI295" s="275"/>
      <c r="CJ295" s="275"/>
      <c r="CK295" s="275"/>
      <c r="CL295" s="275"/>
      <c r="CM295" s="275"/>
      <c r="CN295" s="275"/>
      <c r="CO295" s="442"/>
      <c r="CP295" s="443"/>
      <c r="CQ295" s="429">
        <f t="shared" si="37"/>
        <v>0</v>
      </c>
      <c r="CR295" s="430"/>
    </row>
    <row r="296" spans="1:96" ht="25.5" customHeight="1" x14ac:dyDescent="0.2">
      <c r="A296" s="410">
        <f t="shared" si="38"/>
        <v>281</v>
      </c>
      <c r="B296" s="280"/>
      <c r="C296" s="453"/>
      <c r="D296" s="411"/>
      <c r="E296" s="254"/>
      <c r="F296" s="277"/>
      <c r="G296" s="450"/>
      <c r="H296" s="451"/>
      <c r="I296" s="433" t="str">
        <f t="shared" si="32"/>
        <v/>
      </c>
      <c r="J296" s="434">
        <f t="shared" si="33"/>
        <v>0</v>
      </c>
      <c r="K296" s="452"/>
      <c r="L296" s="276"/>
      <c r="M296" s="435"/>
      <c r="N296" s="417" t="str">
        <f t="shared" si="34"/>
        <v/>
      </c>
      <c r="O296" s="418" t="str">
        <f>IF('Data Set up'!$G$40="JUNE",IF(OR($N296=7,$N296=8,$N296=9),1,IF(OR($N296=10,$N296=11,$N296=12),2,IF(OR($N296=1,$N296=2,$N296=3),3,IF(OR($N296=4,$N296=5,$N296=6),4,"")))),IF(OR($N296=9,$N296=10,$N296=11),1,IF(OR($N296=12,$N296=1,$N296=2),2,IF(OR($N296=3,$N296=4,$N296=5),3,IF(OR($N296=6,$N296=7,$N296=8),4,"")))))</f>
        <v/>
      </c>
      <c r="P296" s="445"/>
      <c r="Q296" s="291"/>
      <c r="R296" s="291"/>
      <c r="S296" s="275"/>
      <c r="T296" s="275"/>
      <c r="U296" s="275"/>
      <c r="V296" s="275"/>
      <c r="W296" s="275"/>
      <c r="X296" s="275"/>
      <c r="Y296" s="275"/>
      <c r="Z296" s="275"/>
      <c r="AA296" s="275"/>
      <c r="AB296" s="275"/>
      <c r="AC296" s="275"/>
      <c r="AD296" s="275"/>
      <c r="AE296" s="275"/>
      <c r="AF296" s="275"/>
      <c r="AG296" s="275"/>
      <c r="AH296" s="438"/>
      <c r="AI296" s="439">
        <f t="shared" si="35"/>
        <v>0</v>
      </c>
      <c r="AJ296" s="263"/>
      <c r="AK296" s="263"/>
      <c r="AL296" s="263"/>
      <c r="AM296" s="263"/>
      <c r="AN296" s="263"/>
      <c r="AO296" s="263"/>
      <c r="AP296" s="263"/>
      <c r="AQ296" s="436"/>
      <c r="AR296" s="275"/>
      <c r="AS296" s="275"/>
      <c r="AT296" s="275"/>
      <c r="AU296" s="275"/>
      <c r="AV296" s="275"/>
      <c r="AW296" s="275"/>
      <c r="AX296" s="275"/>
      <c r="AY296" s="437"/>
      <c r="AZ296" s="440">
        <f t="shared" si="36"/>
        <v>0</v>
      </c>
      <c r="BA296" s="275"/>
      <c r="BB296" s="275"/>
      <c r="BC296" s="275"/>
      <c r="BD296" s="275"/>
      <c r="BE296" s="275"/>
      <c r="BF296" s="275"/>
      <c r="BG296" s="275"/>
      <c r="BH296" s="436"/>
      <c r="BI296" s="275"/>
      <c r="BJ296" s="275"/>
      <c r="BK296" s="291"/>
      <c r="BL296" s="291"/>
      <c r="BM296" s="275"/>
      <c r="BN296" s="275"/>
      <c r="BO296" s="438"/>
      <c r="BP296" s="436"/>
      <c r="BQ296" s="275"/>
      <c r="BR296" s="275"/>
      <c r="BS296" s="275"/>
      <c r="BT296" s="275"/>
      <c r="BU296" s="275"/>
      <c r="BV296" s="275"/>
      <c r="BW296" s="275"/>
      <c r="BX296" s="438"/>
      <c r="BY296" s="436"/>
      <c r="BZ296" s="275"/>
      <c r="CA296" s="275"/>
      <c r="CB296" s="275"/>
      <c r="CC296" s="275"/>
      <c r="CD296" s="275"/>
      <c r="CE296" s="275"/>
      <c r="CF296" s="275"/>
      <c r="CG296" s="438"/>
      <c r="CH296" s="436"/>
      <c r="CI296" s="275"/>
      <c r="CJ296" s="275"/>
      <c r="CK296" s="275"/>
      <c r="CL296" s="275"/>
      <c r="CM296" s="275"/>
      <c r="CN296" s="275"/>
      <c r="CO296" s="442"/>
      <c r="CP296" s="443"/>
      <c r="CQ296" s="429">
        <f t="shared" si="37"/>
        <v>0</v>
      </c>
      <c r="CR296" s="430"/>
    </row>
    <row r="297" spans="1:96" ht="25.5" customHeight="1" x14ac:dyDescent="0.2">
      <c r="A297" s="410">
        <f t="shared" si="38"/>
        <v>282</v>
      </c>
      <c r="B297" s="280"/>
      <c r="C297" s="453"/>
      <c r="D297" s="411"/>
      <c r="E297" s="254"/>
      <c r="F297" s="277"/>
      <c r="G297" s="450"/>
      <c r="H297" s="451"/>
      <c r="I297" s="433" t="str">
        <f t="shared" si="32"/>
        <v/>
      </c>
      <c r="J297" s="434">
        <f t="shared" si="33"/>
        <v>0</v>
      </c>
      <c r="K297" s="452"/>
      <c r="L297" s="276"/>
      <c r="M297" s="435"/>
      <c r="N297" s="417" t="str">
        <f t="shared" si="34"/>
        <v/>
      </c>
      <c r="O297" s="418" t="str">
        <f>IF('Data Set up'!$G$40="JUNE",IF(OR($N297=7,$N297=8,$N297=9),1,IF(OR($N297=10,$N297=11,$N297=12),2,IF(OR($N297=1,$N297=2,$N297=3),3,IF(OR($N297=4,$N297=5,$N297=6),4,"")))),IF(OR($N297=9,$N297=10,$N297=11),1,IF(OR($N297=12,$N297=1,$N297=2),2,IF(OR($N297=3,$N297=4,$N297=5),3,IF(OR($N297=6,$N297=7,$N297=8),4,"")))))</f>
        <v/>
      </c>
      <c r="P297" s="445"/>
      <c r="Q297" s="291"/>
      <c r="R297" s="291"/>
      <c r="S297" s="275"/>
      <c r="T297" s="275"/>
      <c r="U297" s="275"/>
      <c r="V297" s="275"/>
      <c r="W297" s="275"/>
      <c r="X297" s="275"/>
      <c r="Y297" s="275"/>
      <c r="Z297" s="275"/>
      <c r="AA297" s="275"/>
      <c r="AB297" s="275"/>
      <c r="AC297" s="275"/>
      <c r="AD297" s="275"/>
      <c r="AE297" s="275"/>
      <c r="AF297" s="275"/>
      <c r="AG297" s="275"/>
      <c r="AH297" s="438"/>
      <c r="AI297" s="439">
        <f t="shared" si="35"/>
        <v>0</v>
      </c>
      <c r="AJ297" s="263"/>
      <c r="AK297" s="263"/>
      <c r="AL297" s="263"/>
      <c r="AM297" s="263"/>
      <c r="AN297" s="263"/>
      <c r="AO297" s="263"/>
      <c r="AP297" s="263"/>
      <c r="AQ297" s="436"/>
      <c r="AR297" s="275"/>
      <c r="AS297" s="275"/>
      <c r="AT297" s="275"/>
      <c r="AU297" s="275"/>
      <c r="AV297" s="275"/>
      <c r="AW297" s="275"/>
      <c r="AX297" s="275"/>
      <c r="AY297" s="437"/>
      <c r="AZ297" s="440">
        <f t="shared" si="36"/>
        <v>0</v>
      </c>
      <c r="BA297" s="275"/>
      <c r="BB297" s="275"/>
      <c r="BC297" s="275"/>
      <c r="BD297" s="275"/>
      <c r="BE297" s="275"/>
      <c r="BF297" s="275"/>
      <c r="BG297" s="275"/>
      <c r="BH297" s="436"/>
      <c r="BI297" s="275"/>
      <c r="BJ297" s="275"/>
      <c r="BK297" s="291"/>
      <c r="BL297" s="291"/>
      <c r="BM297" s="275"/>
      <c r="BN297" s="275"/>
      <c r="BO297" s="438"/>
      <c r="BP297" s="436"/>
      <c r="BQ297" s="275"/>
      <c r="BR297" s="275"/>
      <c r="BS297" s="275"/>
      <c r="BT297" s="275"/>
      <c r="BU297" s="275"/>
      <c r="BV297" s="275"/>
      <c r="BW297" s="275"/>
      <c r="BX297" s="438"/>
      <c r="BY297" s="436"/>
      <c r="BZ297" s="275"/>
      <c r="CA297" s="275"/>
      <c r="CB297" s="275"/>
      <c r="CC297" s="275"/>
      <c r="CD297" s="275"/>
      <c r="CE297" s="275"/>
      <c r="CF297" s="275"/>
      <c r="CG297" s="438"/>
      <c r="CH297" s="436"/>
      <c r="CI297" s="275"/>
      <c r="CJ297" s="275"/>
      <c r="CK297" s="275"/>
      <c r="CL297" s="275"/>
      <c r="CM297" s="275"/>
      <c r="CN297" s="275"/>
      <c r="CO297" s="442"/>
      <c r="CP297" s="443"/>
      <c r="CQ297" s="429">
        <f t="shared" si="37"/>
        <v>0</v>
      </c>
      <c r="CR297" s="430"/>
    </row>
    <row r="298" spans="1:96" ht="25.5" customHeight="1" x14ac:dyDescent="0.2">
      <c r="A298" s="410">
        <f t="shared" si="38"/>
        <v>283</v>
      </c>
      <c r="B298" s="280"/>
      <c r="C298" s="453"/>
      <c r="D298" s="411"/>
      <c r="E298" s="254"/>
      <c r="F298" s="277"/>
      <c r="G298" s="450"/>
      <c r="H298" s="451"/>
      <c r="I298" s="433" t="str">
        <f t="shared" si="32"/>
        <v/>
      </c>
      <c r="J298" s="434">
        <f t="shared" si="33"/>
        <v>0</v>
      </c>
      <c r="K298" s="452"/>
      <c r="L298" s="276"/>
      <c r="M298" s="435"/>
      <c r="N298" s="417" t="str">
        <f t="shared" si="34"/>
        <v/>
      </c>
      <c r="O298" s="418" t="str">
        <f>IF('Data Set up'!$G$40="JUNE",IF(OR($N298=7,$N298=8,$N298=9),1,IF(OR($N298=10,$N298=11,$N298=12),2,IF(OR($N298=1,$N298=2,$N298=3),3,IF(OR($N298=4,$N298=5,$N298=6),4,"")))),IF(OR($N298=9,$N298=10,$N298=11),1,IF(OR($N298=12,$N298=1,$N298=2),2,IF(OR($N298=3,$N298=4,$N298=5),3,IF(OR($N298=6,$N298=7,$N298=8),4,"")))))</f>
        <v/>
      </c>
      <c r="P298" s="445"/>
      <c r="Q298" s="291"/>
      <c r="R298" s="291"/>
      <c r="S298" s="275"/>
      <c r="T298" s="275"/>
      <c r="U298" s="275"/>
      <c r="V298" s="275"/>
      <c r="W298" s="275"/>
      <c r="X298" s="275"/>
      <c r="Y298" s="275"/>
      <c r="Z298" s="275"/>
      <c r="AA298" s="275"/>
      <c r="AB298" s="275"/>
      <c r="AC298" s="275"/>
      <c r="AD298" s="275"/>
      <c r="AE298" s="275"/>
      <c r="AF298" s="275"/>
      <c r="AG298" s="275"/>
      <c r="AH298" s="438"/>
      <c r="AI298" s="439">
        <f t="shared" si="35"/>
        <v>0</v>
      </c>
      <c r="AJ298" s="263"/>
      <c r="AK298" s="263"/>
      <c r="AL298" s="263"/>
      <c r="AM298" s="263"/>
      <c r="AN298" s="263"/>
      <c r="AO298" s="263"/>
      <c r="AP298" s="263"/>
      <c r="AQ298" s="436"/>
      <c r="AR298" s="275"/>
      <c r="AS298" s="275"/>
      <c r="AT298" s="275"/>
      <c r="AU298" s="275"/>
      <c r="AV298" s="275"/>
      <c r="AW298" s="275"/>
      <c r="AX298" s="275"/>
      <c r="AY298" s="437"/>
      <c r="AZ298" s="440">
        <f t="shared" si="36"/>
        <v>0</v>
      </c>
      <c r="BA298" s="275"/>
      <c r="BB298" s="275"/>
      <c r="BC298" s="275"/>
      <c r="BD298" s="275"/>
      <c r="BE298" s="275"/>
      <c r="BF298" s="275"/>
      <c r="BG298" s="275"/>
      <c r="BH298" s="436"/>
      <c r="BI298" s="275"/>
      <c r="BJ298" s="275"/>
      <c r="BK298" s="291"/>
      <c r="BL298" s="291"/>
      <c r="BM298" s="275"/>
      <c r="BN298" s="275"/>
      <c r="BO298" s="438"/>
      <c r="BP298" s="436"/>
      <c r="BQ298" s="275"/>
      <c r="BR298" s="275"/>
      <c r="BS298" s="275"/>
      <c r="BT298" s="275"/>
      <c r="BU298" s="275"/>
      <c r="BV298" s="275"/>
      <c r="BW298" s="275"/>
      <c r="BX298" s="438"/>
      <c r="BY298" s="436"/>
      <c r="BZ298" s="275"/>
      <c r="CA298" s="275"/>
      <c r="CB298" s="275"/>
      <c r="CC298" s="275"/>
      <c r="CD298" s="275"/>
      <c r="CE298" s="275"/>
      <c r="CF298" s="275"/>
      <c r="CG298" s="438"/>
      <c r="CH298" s="436"/>
      <c r="CI298" s="275"/>
      <c r="CJ298" s="275"/>
      <c r="CK298" s="275"/>
      <c r="CL298" s="275"/>
      <c r="CM298" s="275"/>
      <c r="CN298" s="275"/>
      <c r="CO298" s="442"/>
      <c r="CP298" s="443"/>
      <c r="CQ298" s="429">
        <f t="shared" si="37"/>
        <v>0</v>
      </c>
      <c r="CR298" s="430"/>
    </row>
    <row r="299" spans="1:96" ht="25.5" customHeight="1" x14ac:dyDescent="0.2">
      <c r="A299" s="410">
        <f t="shared" si="38"/>
        <v>284</v>
      </c>
      <c r="B299" s="280"/>
      <c r="C299" s="453"/>
      <c r="D299" s="411"/>
      <c r="E299" s="254"/>
      <c r="F299" s="277"/>
      <c r="G299" s="450"/>
      <c r="H299" s="451"/>
      <c r="I299" s="433" t="str">
        <f t="shared" si="32"/>
        <v/>
      </c>
      <c r="J299" s="434">
        <f t="shared" si="33"/>
        <v>0</v>
      </c>
      <c r="K299" s="452"/>
      <c r="L299" s="276"/>
      <c r="M299" s="435"/>
      <c r="N299" s="417" t="str">
        <f t="shared" si="34"/>
        <v/>
      </c>
      <c r="O299" s="418" t="str">
        <f>IF('Data Set up'!$G$40="JUNE",IF(OR($N299=7,$N299=8,$N299=9),1,IF(OR($N299=10,$N299=11,$N299=12),2,IF(OR($N299=1,$N299=2,$N299=3),3,IF(OR($N299=4,$N299=5,$N299=6),4,"")))),IF(OR($N299=9,$N299=10,$N299=11),1,IF(OR($N299=12,$N299=1,$N299=2),2,IF(OR($N299=3,$N299=4,$N299=5),3,IF(OR($N299=6,$N299=7,$N299=8),4,"")))))</f>
        <v/>
      </c>
      <c r="P299" s="445"/>
      <c r="Q299" s="291"/>
      <c r="R299" s="291"/>
      <c r="S299" s="275"/>
      <c r="T299" s="275"/>
      <c r="U299" s="275"/>
      <c r="V299" s="275"/>
      <c r="W299" s="275"/>
      <c r="X299" s="275"/>
      <c r="Y299" s="275"/>
      <c r="Z299" s="275"/>
      <c r="AA299" s="275"/>
      <c r="AB299" s="275"/>
      <c r="AC299" s="275"/>
      <c r="AD299" s="275"/>
      <c r="AE299" s="275"/>
      <c r="AF299" s="275"/>
      <c r="AG299" s="275"/>
      <c r="AH299" s="438"/>
      <c r="AI299" s="439">
        <f t="shared" si="35"/>
        <v>0</v>
      </c>
      <c r="AJ299" s="263"/>
      <c r="AK299" s="263"/>
      <c r="AL299" s="263"/>
      <c r="AM299" s="263"/>
      <c r="AN299" s="263"/>
      <c r="AO299" s="263"/>
      <c r="AP299" s="263"/>
      <c r="AQ299" s="436"/>
      <c r="AR299" s="275"/>
      <c r="AS299" s="275"/>
      <c r="AT299" s="275"/>
      <c r="AU299" s="275"/>
      <c r="AV299" s="275"/>
      <c r="AW299" s="275"/>
      <c r="AX299" s="275"/>
      <c r="AY299" s="437"/>
      <c r="AZ299" s="440">
        <f t="shared" si="36"/>
        <v>0</v>
      </c>
      <c r="BA299" s="275"/>
      <c r="BB299" s="275"/>
      <c r="BC299" s="275"/>
      <c r="BD299" s="275"/>
      <c r="BE299" s="275"/>
      <c r="BF299" s="275"/>
      <c r="BG299" s="275"/>
      <c r="BH299" s="436"/>
      <c r="BI299" s="275"/>
      <c r="BJ299" s="275"/>
      <c r="BK299" s="291"/>
      <c r="BL299" s="291"/>
      <c r="BM299" s="275"/>
      <c r="BN299" s="275"/>
      <c r="BO299" s="438"/>
      <c r="BP299" s="436"/>
      <c r="BQ299" s="275"/>
      <c r="BR299" s="275"/>
      <c r="BS299" s="275"/>
      <c r="BT299" s="275"/>
      <c r="BU299" s="275"/>
      <c r="BV299" s="275"/>
      <c r="BW299" s="275"/>
      <c r="BX299" s="438"/>
      <c r="BY299" s="436"/>
      <c r="BZ299" s="275"/>
      <c r="CA299" s="275"/>
      <c r="CB299" s="275"/>
      <c r="CC299" s="275"/>
      <c r="CD299" s="275"/>
      <c r="CE299" s="275"/>
      <c r="CF299" s="275"/>
      <c r="CG299" s="438"/>
      <c r="CH299" s="436"/>
      <c r="CI299" s="275"/>
      <c r="CJ299" s="275"/>
      <c r="CK299" s="275"/>
      <c r="CL299" s="275"/>
      <c r="CM299" s="275"/>
      <c r="CN299" s="275"/>
      <c r="CO299" s="442"/>
      <c r="CP299" s="443"/>
      <c r="CQ299" s="429">
        <f t="shared" si="37"/>
        <v>0</v>
      </c>
      <c r="CR299" s="430"/>
    </row>
    <row r="300" spans="1:96" ht="25.5" customHeight="1" x14ac:dyDescent="0.2">
      <c r="A300" s="410">
        <f t="shared" si="38"/>
        <v>285</v>
      </c>
      <c r="B300" s="280"/>
      <c r="C300" s="453"/>
      <c r="D300" s="411"/>
      <c r="E300" s="254"/>
      <c r="F300" s="277"/>
      <c r="G300" s="450"/>
      <c r="H300" s="451"/>
      <c r="I300" s="433" t="str">
        <f t="shared" si="32"/>
        <v/>
      </c>
      <c r="J300" s="434">
        <f t="shared" si="33"/>
        <v>0</v>
      </c>
      <c r="K300" s="452"/>
      <c r="L300" s="276"/>
      <c r="M300" s="435"/>
      <c r="N300" s="417" t="str">
        <f t="shared" si="34"/>
        <v/>
      </c>
      <c r="O300" s="418" t="str">
        <f>IF('Data Set up'!$G$40="JUNE",IF(OR($N300=7,$N300=8,$N300=9),1,IF(OR($N300=10,$N300=11,$N300=12),2,IF(OR($N300=1,$N300=2,$N300=3),3,IF(OR($N300=4,$N300=5,$N300=6),4,"")))),IF(OR($N300=9,$N300=10,$N300=11),1,IF(OR($N300=12,$N300=1,$N300=2),2,IF(OR($N300=3,$N300=4,$N300=5),3,IF(OR($N300=6,$N300=7,$N300=8),4,"")))))</f>
        <v/>
      </c>
      <c r="P300" s="445"/>
      <c r="Q300" s="291"/>
      <c r="R300" s="291"/>
      <c r="S300" s="275"/>
      <c r="T300" s="275"/>
      <c r="U300" s="275"/>
      <c r="V300" s="275"/>
      <c r="W300" s="275"/>
      <c r="X300" s="275"/>
      <c r="Y300" s="275"/>
      <c r="Z300" s="275"/>
      <c r="AA300" s="275"/>
      <c r="AB300" s="275"/>
      <c r="AC300" s="275"/>
      <c r="AD300" s="275"/>
      <c r="AE300" s="275"/>
      <c r="AF300" s="275"/>
      <c r="AG300" s="275"/>
      <c r="AH300" s="438"/>
      <c r="AI300" s="439">
        <f t="shared" si="35"/>
        <v>0</v>
      </c>
      <c r="AJ300" s="263"/>
      <c r="AK300" s="263"/>
      <c r="AL300" s="263"/>
      <c r="AM300" s="263"/>
      <c r="AN300" s="263"/>
      <c r="AO300" s="263"/>
      <c r="AP300" s="263"/>
      <c r="AQ300" s="436"/>
      <c r="AR300" s="275"/>
      <c r="AS300" s="275"/>
      <c r="AT300" s="275"/>
      <c r="AU300" s="275"/>
      <c r="AV300" s="275"/>
      <c r="AW300" s="275"/>
      <c r="AX300" s="275"/>
      <c r="AY300" s="437"/>
      <c r="AZ300" s="440">
        <f t="shared" si="36"/>
        <v>0</v>
      </c>
      <c r="BA300" s="275"/>
      <c r="BB300" s="275"/>
      <c r="BC300" s="275"/>
      <c r="BD300" s="275"/>
      <c r="BE300" s="275"/>
      <c r="BF300" s="275"/>
      <c r="BG300" s="275"/>
      <c r="BH300" s="436"/>
      <c r="BI300" s="275"/>
      <c r="BJ300" s="275"/>
      <c r="BK300" s="291"/>
      <c r="BL300" s="291"/>
      <c r="BM300" s="275"/>
      <c r="BN300" s="275"/>
      <c r="BO300" s="438"/>
      <c r="BP300" s="436"/>
      <c r="BQ300" s="275"/>
      <c r="BR300" s="275"/>
      <c r="BS300" s="275"/>
      <c r="BT300" s="275"/>
      <c r="BU300" s="275"/>
      <c r="BV300" s="275"/>
      <c r="BW300" s="275"/>
      <c r="BX300" s="438"/>
      <c r="BY300" s="436"/>
      <c r="BZ300" s="275"/>
      <c r="CA300" s="275"/>
      <c r="CB300" s="275"/>
      <c r="CC300" s="275"/>
      <c r="CD300" s="275"/>
      <c r="CE300" s="275"/>
      <c r="CF300" s="275"/>
      <c r="CG300" s="438"/>
      <c r="CH300" s="436"/>
      <c r="CI300" s="275"/>
      <c r="CJ300" s="275"/>
      <c r="CK300" s="275"/>
      <c r="CL300" s="275"/>
      <c r="CM300" s="275"/>
      <c r="CN300" s="275"/>
      <c r="CO300" s="442"/>
      <c r="CP300" s="443"/>
      <c r="CQ300" s="429">
        <f t="shared" si="37"/>
        <v>0</v>
      </c>
      <c r="CR300" s="430"/>
    </row>
    <row r="301" spans="1:96" ht="25.5" customHeight="1" x14ac:dyDescent="0.2">
      <c r="A301" s="410">
        <f t="shared" si="38"/>
        <v>286</v>
      </c>
      <c r="B301" s="280"/>
      <c r="C301" s="453"/>
      <c r="D301" s="411"/>
      <c r="E301" s="254"/>
      <c r="F301" s="277"/>
      <c r="G301" s="450"/>
      <c r="H301" s="451"/>
      <c r="I301" s="433" t="str">
        <f t="shared" si="32"/>
        <v/>
      </c>
      <c r="J301" s="434">
        <f t="shared" si="33"/>
        <v>0</v>
      </c>
      <c r="K301" s="452"/>
      <c r="L301" s="276"/>
      <c r="M301" s="435"/>
      <c r="N301" s="417" t="str">
        <f t="shared" si="34"/>
        <v/>
      </c>
      <c r="O301" s="418" t="str">
        <f>IF('Data Set up'!$G$40="JUNE",IF(OR($N301=7,$N301=8,$N301=9),1,IF(OR($N301=10,$N301=11,$N301=12),2,IF(OR($N301=1,$N301=2,$N301=3),3,IF(OR($N301=4,$N301=5,$N301=6),4,"")))),IF(OR($N301=9,$N301=10,$N301=11),1,IF(OR($N301=12,$N301=1,$N301=2),2,IF(OR($N301=3,$N301=4,$N301=5),3,IF(OR($N301=6,$N301=7,$N301=8),4,"")))))</f>
        <v/>
      </c>
      <c r="P301" s="445"/>
      <c r="Q301" s="291"/>
      <c r="R301" s="291"/>
      <c r="S301" s="275"/>
      <c r="T301" s="275"/>
      <c r="U301" s="275"/>
      <c r="V301" s="275"/>
      <c r="W301" s="275"/>
      <c r="X301" s="275"/>
      <c r="Y301" s="275"/>
      <c r="Z301" s="275"/>
      <c r="AA301" s="275"/>
      <c r="AB301" s="275"/>
      <c r="AC301" s="275"/>
      <c r="AD301" s="275"/>
      <c r="AE301" s="275"/>
      <c r="AF301" s="275"/>
      <c r="AG301" s="275"/>
      <c r="AH301" s="438"/>
      <c r="AI301" s="439">
        <f t="shared" si="35"/>
        <v>0</v>
      </c>
      <c r="AJ301" s="263"/>
      <c r="AK301" s="263"/>
      <c r="AL301" s="263"/>
      <c r="AM301" s="263"/>
      <c r="AN301" s="263"/>
      <c r="AO301" s="263"/>
      <c r="AP301" s="263"/>
      <c r="AQ301" s="436"/>
      <c r="AR301" s="275"/>
      <c r="AS301" s="275"/>
      <c r="AT301" s="275"/>
      <c r="AU301" s="275"/>
      <c r="AV301" s="275"/>
      <c r="AW301" s="275"/>
      <c r="AX301" s="275"/>
      <c r="AY301" s="437"/>
      <c r="AZ301" s="440">
        <f t="shared" si="36"/>
        <v>0</v>
      </c>
      <c r="BA301" s="275"/>
      <c r="BB301" s="275"/>
      <c r="BC301" s="275"/>
      <c r="BD301" s="275"/>
      <c r="BE301" s="275"/>
      <c r="BF301" s="275"/>
      <c r="BG301" s="275"/>
      <c r="BH301" s="436"/>
      <c r="BI301" s="275"/>
      <c r="BJ301" s="275"/>
      <c r="BK301" s="291"/>
      <c r="BL301" s="291"/>
      <c r="BM301" s="275"/>
      <c r="BN301" s="275"/>
      <c r="BO301" s="438"/>
      <c r="BP301" s="436"/>
      <c r="BQ301" s="275"/>
      <c r="BR301" s="275"/>
      <c r="BS301" s="275"/>
      <c r="BT301" s="275"/>
      <c r="BU301" s="275"/>
      <c r="BV301" s="275"/>
      <c r="BW301" s="275"/>
      <c r="BX301" s="438"/>
      <c r="BY301" s="436"/>
      <c r="BZ301" s="275"/>
      <c r="CA301" s="275"/>
      <c r="CB301" s="275"/>
      <c r="CC301" s="275"/>
      <c r="CD301" s="275"/>
      <c r="CE301" s="275"/>
      <c r="CF301" s="275"/>
      <c r="CG301" s="438"/>
      <c r="CH301" s="436"/>
      <c r="CI301" s="275"/>
      <c r="CJ301" s="275"/>
      <c r="CK301" s="275"/>
      <c r="CL301" s="275"/>
      <c r="CM301" s="275"/>
      <c r="CN301" s="275"/>
      <c r="CO301" s="442"/>
      <c r="CP301" s="443"/>
      <c r="CQ301" s="429">
        <f t="shared" si="37"/>
        <v>0</v>
      </c>
      <c r="CR301" s="430"/>
    </row>
    <row r="302" spans="1:96" ht="25.5" customHeight="1" x14ac:dyDescent="0.2">
      <c r="A302" s="410">
        <f t="shared" si="38"/>
        <v>287</v>
      </c>
      <c r="B302" s="280"/>
      <c r="C302" s="453"/>
      <c r="D302" s="411"/>
      <c r="E302" s="254"/>
      <c r="F302" s="277"/>
      <c r="G302" s="450"/>
      <c r="H302" s="451"/>
      <c r="I302" s="433" t="str">
        <f t="shared" si="32"/>
        <v/>
      </c>
      <c r="J302" s="434">
        <f t="shared" si="33"/>
        <v>0</v>
      </c>
      <c r="K302" s="452"/>
      <c r="L302" s="276"/>
      <c r="M302" s="435"/>
      <c r="N302" s="417" t="str">
        <f t="shared" si="34"/>
        <v/>
      </c>
      <c r="O302" s="418" t="str">
        <f>IF('Data Set up'!$G$40="JUNE",IF(OR($N302=7,$N302=8,$N302=9),1,IF(OR($N302=10,$N302=11,$N302=12),2,IF(OR($N302=1,$N302=2,$N302=3),3,IF(OR($N302=4,$N302=5,$N302=6),4,"")))),IF(OR($N302=9,$N302=10,$N302=11),1,IF(OR($N302=12,$N302=1,$N302=2),2,IF(OR($N302=3,$N302=4,$N302=5),3,IF(OR($N302=6,$N302=7,$N302=8),4,"")))))</f>
        <v/>
      </c>
      <c r="P302" s="445"/>
      <c r="Q302" s="291"/>
      <c r="R302" s="291"/>
      <c r="S302" s="275"/>
      <c r="T302" s="275"/>
      <c r="U302" s="275"/>
      <c r="V302" s="275"/>
      <c r="W302" s="275"/>
      <c r="X302" s="275"/>
      <c r="Y302" s="275"/>
      <c r="Z302" s="275"/>
      <c r="AA302" s="275"/>
      <c r="AB302" s="275"/>
      <c r="AC302" s="275"/>
      <c r="AD302" s="275"/>
      <c r="AE302" s="275"/>
      <c r="AF302" s="275"/>
      <c r="AG302" s="275"/>
      <c r="AH302" s="438"/>
      <c r="AI302" s="439">
        <f t="shared" si="35"/>
        <v>0</v>
      </c>
      <c r="AJ302" s="263"/>
      <c r="AK302" s="263"/>
      <c r="AL302" s="263"/>
      <c r="AM302" s="263"/>
      <c r="AN302" s="263"/>
      <c r="AO302" s="263"/>
      <c r="AP302" s="263"/>
      <c r="AQ302" s="436"/>
      <c r="AR302" s="275"/>
      <c r="AS302" s="275"/>
      <c r="AT302" s="275"/>
      <c r="AU302" s="275"/>
      <c r="AV302" s="275"/>
      <c r="AW302" s="275"/>
      <c r="AX302" s="275"/>
      <c r="AY302" s="437"/>
      <c r="AZ302" s="440">
        <f t="shared" si="36"/>
        <v>0</v>
      </c>
      <c r="BA302" s="275"/>
      <c r="BB302" s="275"/>
      <c r="BC302" s="275"/>
      <c r="BD302" s="275"/>
      <c r="BE302" s="275"/>
      <c r="BF302" s="275"/>
      <c r="BG302" s="275"/>
      <c r="BH302" s="436"/>
      <c r="BI302" s="275"/>
      <c r="BJ302" s="275"/>
      <c r="BK302" s="291"/>
      <c r="BL302" s="291"/>
      <c r="BM302" s="275"/>
      <c r="BN302" s="275"/>
      <c r="BO302" s="438"/>
      <c r="BP302" s="436"/>
      <c r="BQ302" s="275"/>
      <c r="BR302" s="275"/>
      <c r="BS302" s="275"/>
      <c r="BT302" s="275"/>
      <c r="BU302" s="275"/>
      <c r="BV302" s="275"/>
      <c r="BW302" s="275"/>
      <c r="BX302" s="438"/>
      <c r="BY302" s="436"/>
      <c r="BZ302" s="275"/>
      <c r="CA302" s="275"/>
      <c r="CB302" s="275"/>
      <c r="CC302" s="275"/>
      <c r="CD302" s="275"/>
      <c r="CE302" s="275"/>
      <c r="CF302" s="275"/>
      <c r="CG302" s="438"/>
      <c r="CH302" s="436"/>
      <c r="CI302" s="275"/>
      <c r="CJ302" s="275"/>
      <c r="CK302" s="275"/>
      <c r="CL302" s="275"/>
      <c r="CM302" s="275"/>
      <c r="CN302" s="275"/>
      <c r="CO302" s="442"/>
      <c r="CP302" s="443"/>
      <c r="CQ302" s="429">
        <f t="shared" si="37"/>
        <v>0</v>
      </c>
      <c r="CR302" s="430"/>
    </row>
    <row r="303" spans="1:96" ht="25.5" customHeight="1" x14ac:dyDescent="0.2">
      <c r="A303" s="410">
        <f t="shared" si="38"/>
        <v>288</v>
      </c>
      <c r="B303" s="280"/>
      <c r="C303" s="453"/>
      <c r="D303" s="411"/>
      <c r="E303" s="254"/>
      <c r="F303" s="277"/>
      <c r="G303" s="450"/>
      <c r="H303" s="451"/>
      <c r="I303" s="433" t="str">
        <f t="shared" si="32"/>
        <v/>
      </c>
      <c r="J303" s="434">
        <f t="shared" si="33"/>
        <v>0</v>
      </c>
      <c r="K303" s="452"/>
      <c r="L303" s="276"/>
      <c r="M303" s="435"/>
      <c r="N303" s="417" t="str">
        <f t="shared" si="34"/>
        <v/>
      </c>
      <c r="O303" s="418" t="str">
        <f>IF('Data Set up'!$G$40="JUNE",IF(OR($N303=7,$N303=8,$N303=9),1,IF(OR($N303=10,$N303=11,$N303=12),2,IF(OR($N303=1,$N303=2,$N303=3),3,IF(OR($N303=4,$N303=5,$N303=6),4,"")))),IF(OR($N303=9,$N303=10,$N303=11),1,IF(OR($N303=12,$N303=1,$N303=2),2,IF(OR($N303=3,$N303=4,$N303=5),3,IF(OR($N303=6,$N303=7,$N303=8),4,"")))))</f>
        <v/>
      </c>
      <c r="P303" s="445"/>
      <c r="Q303" s="291"/>
      <c r="R303" s="291"/>
      <c r="S303" s="275"/>
      <c r="T303" s="275"/>
      <c r="U303" s="275"/>
      <c r="V303" s="275"/>
      <c r="W303" s="275"/>
      <c r="X303" s="275"/>
      <c r="Y303" s="275"/>
      <c r="Z303" s="275"/>
      <c r="AA303" s="275"/>
      <c r="AB303" s="275"/>
      <c r="AC303" s="275"/>
      <c r="AD303" s="275"/>
      <c r="AE303" s="275"/>
      <c r="AF303" s="275"/>
      <c r="AG303" s="275"/>
      <c r="AH303" s="438"/>
      <c r="AI303" s="439">
        <f t="shared" si="35"/>
        <v>0</v>
      </c>
      <c r="AJ303" s="263"/>
      <c r="AK303" s="263"/>
      <c r="AL303" s="263"/>
      <c r="AM303" s="263"/>
      <c r="AN303" s="263"/>
      <c r="AO303" s="263"/>
      <c r="AP303" s="263"/>
      <c r="AQ303" s="436"/>
      <c r="AR303" s="275"/>
      <c r="AS303" s="275"/>
      <c r="AT303" s="275"/>
      <c r="AU303" s="275"/>
      <c r="AV303" s="275"/>
      <c r="AW303" s="275"/>
      <c r="AX303" s="275"/>
      <c r="AY303" s="437"/>
      <c r="AZ303" s="440">
        <f t="shared" si="36"/>
        <v>0</v>
      </c>
      <c r="BA303" s="275"/>
      <c r="BB303" s="275"/>
      <c r="BC303" s="275"/>
      <c r="BD303" s="275"/>
      <c r="BE303" s="275"/>
      <c r="BF303" s="275"/>
      <c r="BG303" s="275"/>
      <c r="BH303" s="436"/>
      <c r="BI303" s="275"/>
      <c r="BJ303" s="275"/>
      <c r="BK303" s="291"/>
      <c r="BL303" s="291"/>
      <c r="BM303" s="275"/>
      <c r="BN303" s="275"/>
      <c r="BO303" s="438"/>
      <c r="BP303" s="436"/>
      <c r="BQ303" s="275"/>
      <c r="BR303" s="275"/>
      <c r="BS303" s="275"/>
      <c r="BT303" s="275"/>
      <c r="BU303" s="275"/>
      <c r="BV303" s="275"/>
      <c r="BW303" s="275"/>
      <c r="BX303" s="438"/>
      <c r="BY303" s="436"/>
      <c r="BZ303" s="275"/>
      <c r="CA303" s="275"/>
      <c r="CB303" s="275"/>
      <c r="CC303" s="275"/>
      <c r="CD303" s="275"/>
      <c r="CE303" s="275"/>
      <c r="CF303" s="275"/>
      <c r="CG303" s="438"/>
      <c r="CH303" s="436"/>
      <c r="CI303" s="275"/>
      <c r="CJ303" s="275"/>
      <c r="CK303" s="275"/>
      <c r="CL303" s="275"/>
      <c r="CM303" s="275"/>
      <c r="CN303" s="275"/>
      <c r="CO303" s="442"/>
      <c r="CP303" s="443"/>
      <c r="CQ303" s="429">
        <f t="shared" si="37"/>
        <v>0</v>
      </c>
      <c r="CR303" s="430"/>
    </row>
    <row r="304" spans="1:96" ht="25.5" customHeight="1" x14ac:dyDescent="0.2">
      <c r="A304" s="410">
        <f t="shared" si="38"/>
        <v>289</v>
      </c>
      <c r="B304" s="280"/>
      <c r="C304" s="453"/>
      <c r="D304" s="411"/>
      <c r="E304" s="254"/>
      <c r="F304" s="277"/>
      <c r="G304" s="450"/>
      <c r="H304" s="451"/>
      <c r="I304" s="433" t="str">
        <f t="shared" si="32"/>
        <v/>
      </c>
      <c r="J304" s="434">
        <f t="shared" si="33"/>
        <v>0</v>
      </c>
      <c r="K304" s="452"/>
      <c r="L304" s="276"/>
      <c r="M304" s="435"/>
      <c r="N304" s="417" t="str">
        <f t="shared" si="34"/>
        <v/>
      </c>
      <c r="O304" s="418" t="str">
        <f>IF('Data Set up'!$G$40="JUNE",IF(OR($N304=7,$N304=8,$N304=9),1,IF(OR($N304=10,$N304=11,$N304=12),2,IF(OR($N304=1,$N304=2,$N304=3),3,IF(OR($N304=4,$N304=5,$N304=6),4,"")))),IF(OR($N304=9,$N304=10,$N304=11),1,IF(OR($N304=12,$N304=1,$N304=2),2,IF(OR($N304=3,$N304=4,$N304=5),3,IF(OR($N304=6,$N304=7,$N304=8),4,"")))))</f>
        <v/>
      </c>
      <c r="P304" s="445"/>
      <c r="Q304" s="291"/>
      <c r="R304" s="291"/>
      <c r="S304" s="275"/>
      <c r="T304" s="275"/>
      <c r="U304" s="275"/>
      <c r="V304" s="275"/>
      <c r="W304" s="275"/>
      <c r="X304" s="275"/>
      <c r="Y304" s="275"/>
      <c r="Z304" s="275"/>
      <c r="AA304" s="275"/>
      <c r="AB304" s="275"/>
      <c r="AC304" s="275"/>
      <c r="AD304" s="275"/>
      <c r="AE304" s="275"/>
      <c r="AF304" s="275"/>
      <c r="AG304" s="275"/>
      <c r="AH304" s="438"/>
      <c r="AI304" s="439">
        <f t="shared" si="35"/>
        <v>0</v>
      </c>
      <c r="AJ304" s="263"/>
      <c r="AK304" s="263"/>
      <c r="AL304" s="263"/>
      <c r="AM304" s="263"/>
      <c r="AN304" s="263"/>
      <c r="AO304" s="263"/>
      <c r="AP304" s="263"/>
      <c r="AQ304" s="436"/>
      <c r="AR304" s="275"/>
      <c r="AS304" s="275"/>
      <c r="AT304" s="275"/>
      <c r="AU304" s="275"/>
      <c r="AV304" s="275"/>
      <c r="AW304" s="275"/>
      <c r="AX304" s="275"/>
      <c r="AY304" s="437"/>
      <c r="AZ304" s="440">
        <f t="shared" si="36"/>
        <v>0</v>
      </c>
      <c r="BA304" s="275"/>
      <c r="BB304" s="275"/>
      <c r="BC304" s="275"/>
      <c r="BD304" s="275"/>
      <c r="BE304" s="275"/>
      <c r="BF304" s="275"/>
      <c r="BG304" s="275"/>
      <c r="BH304" s="436"/>
      <c r="BI304" s="275"/>
      <c r="BJ304" s="275"/>
      <c r="BK304" s="291"/>
      <c r="BL304" s="291"/>
      <c r="BM304" s="275"/>
      <c r="BN304" s="275"/>
      <c r="BO304" s="438"/>
      <c r="BP304" s="436"/>
      <c r="BQ304" s="275"/>
      <c r="BR304" s="275"/>
      <c r="BS304" s="275"/>
      <c r="BT304" s="275"/>
      <c r="BU304" s="275"/>
      <c r="BV304" s="275"/>
      <c r="BW304" s="275"/>
      <c r="BX304" s="438"/>
      <c r="BY304" s="436"/>
      <c r="BZ304" s="275"/>
      <c r="CA304" s="275"/>
      <c r="CB304" s="275"/>
      <c r="CC304" s="275"/>
      <c r="CD304" s="275"/>
      <c r="CE304" s="275"/>
      <c r="CF304" s="275"/>
      <c r="CG304" s="438"/>
      <c r="CH304" s="436"/>
      <c r="CI304" s="275"/>
      <c r="CJ304" s="275"/>
      <c r="CK304" s="275"/>
      <c r="CL304" s="275"/>
      <c r="CM304" s="275"/>
      <c r="CN304" s="275"/>
      <c r="CO304" s="442"/>
      <c r="CP304" s="443"/>
      <c r="CQ304" s="429">
        <f t="shared" si="37"/>
        <v>0</v>
      </c>
      <c r="CR304" s="430"/>
    </row>
    <row r="305" spans="1:96" ht="25.5" customHeight="1" x14ac:dyDescent="0.2">
      <c r="A305" s="410">
        <f t="shared" si="38"/>
        <v>290</v>
      </c>
      <c r="B305" s="280"/>
      <c r="C305" s="453"/>
      <c r="D305" s="411"/>
      <c r="E305" s="254"/>
      <c r="F305" s="277"/>
      <c r="G305" s="450"/>
      <c r="H305" s="451"/>
      <c r="I305" s="433" t="str">
        <f t="shared" si="32"/>
        <v/>
      </c>
      <c r="J305" s="434">
        <f t="shared" si="33"/>
        <v>0</v>
      </c>
      <c r="K305" s="452"/>
      <c r="L305" s="276"/>
      <c r="M305" s="435"/>
      <c r="N305" s="417" t="str">
        <f t="shared" si="34"/>
        <v/>
      </c>
      <c r="O305" s="418" t="str">
        <f>IF('Data Set up'!$G$40="JUNE",IF(OR($N305=7,$N305=8,$N305=9),1,IF(OR($N305=10,$N305=11,$N305=12),2,IF(OR($N305=1,$N305=2,$N305=3),3,IF(OR($N305=4,$N305=5,$N305=6),4,"")))),IF(OR($N305=9,$N305=10,$N305=11),1,IF(OR($N305=12,$N305=1,$N305=2),2,IF(OR($N305=3,$N305=4,$N305=5),3,IF(OR($N305=6,$N305=7,$N305=8),4,"")))))</f>
        <v/>
      </c>
      <c r="P305" s="445"/>
      <c r="Q305" s="291"/>
      <c r="R305" s="291"/>
      <c r="S305" s="275"/>
      <c r="T305" s="275"/>
      <c r="U305" s="275"/>
      <c r="V305" s="275"/>
      <c r="W305" s="275"/>
      <c r="X305" s="275"/>
      <c r="Y305" s="275"/>
      <c r="Z305" s="275"/>
      <c r="AA305" s="275"/>
      <c r="AB305" s="275"/>
      <c r="AC305" s="275"/>
      <c r="AD305" s="275"/>
      <c r="AE305" s="275"/>
      <c r="AF305" s="275"/>
      <c r="AG305" s="275"/>
      <c r="AH305" s="438"/>
      <c r="AI305" s="439">
        <f t="shared" si="35"/>
        <v>0</v>
      </c>
      <c r="AJ305" s="263"/>
      <c r="AK305" s="263"/>
      <c r="AL305" s="263"/>
      <c r="AM305" s="263"/>
      <c r="AN305" s="263"/>
      <c r="AO305" s="263"/>
      <c r="AP305" s="263"/>
      <c r="AQ305" s="436"/>
      <c r="AR305" s="275"/>
      <c r="AS305" s="275"/>
      <c r="AT305" s="275"/>
      <c r="AU305" s="275"/>
      <c r="AV305" s="275"/>
      <c r="AW305" s="275"/>
      <c r="AX305" s="275"/>
      <c r="AY305" s="437"/>
      <c r="AZ305" s="440">
        <f t="shared" si="36"/>
        <v>0</v>
      </c>
      <c r="BA305" s="275"/>
      <c r="BB305" s="275"/>
      <c r="BC305" s="275"/>
      <c r="BD305" s="275"/>
      <c r="BE305" s="275"/>
      <c r="BF305" s="275"/>
      <c r="BG305" s="275"/>
      <c r="BH305" s="436"/>
      <c r="BI305" s="275"/>
      <c r="BJ305" s="275"/>
      <c r="BK305" s="291"/>
      <c r="BL305" s="291"/>
      <c r="BM305" s="275"/>
      <c r="BN305" s="275"/>
      <c r="BO305" s="438"/>
      <c r="BP305" s="436"/>
      <c r="BQ305" s="275"/>
      <c r="BR305" s="275"/>
      <c r="BS305" s="275"/>
      <c r="BT305" s="275"/>
      <c r="BU305" s="275"/>
      <c r="BV305" s="275"/>
      <c r="BW305" s="275"/>
      <c r="BX305" s="438"/>
      <c r="BY305" s="436"/>
      <c r="BZ305" s="275"/>
      <c r="CA305" s="275"/>
      <c r="CB305" s="275"/>
      <c r="CC305" s="275"/>
      <c r="CD305" s="275"/>
      <c r="CE305" s="275"/>
      <c r="CF305" s="275"/>
      <c r="CG305" s="438"/>
      <c r="CH305" s="436"/>
      <c r="CI305" s="275"/>
      <c r="CJ305" s="275"/>
      <c r="CK305" s="275"/>
      <c r="CL305" s="275"/>
      <c r="CM305" s="275"/>
      <c r="CN305" s="275"/>
      <c r="CO305" s="442"/>
      <c r="CP305" s="443"/>
      <c r="CQ305" s="429">
        <f t="shared" si="37"/>
        <v>0</v>
      </c>
      <c r="CR305" s="430"/>
    </row>
    <row r="306" spans="1:96" ht="25.5" customHeight="1" x14ac:dyDescent="0.2">
      <c r="A306" s="410">
        <f t="shared" si="38"/>
        <v>291</v>
      </c>
      <c r="B306" s="280"/>
      <c r="C306" s="453"/>
      <c r="D306" s="411"/>
      <c r="E306" s="254"/>
      <c r="F306" s="277"/>
      <c r="G306" s="450"/>
      <c r="H306" s="451"/>
      <c r="I306" s="433" t="str">
        <f t="shared" si="32"/>
        <v/>
      </c>
      <c r="J306" s="434">
        <f t="shared" si="33"/>
        <v>0</v>
      </c>
      <c r="K306" s="452"/>
      <c r="L306" s="276"/>
      <c r="M306" s="435"/>
      <c r="N306" s="417" t="str">
        <f t="shared" si="34"/>
        <v/>
      </c>
      <c r="O306" s="418" t="str">
        <f>IF('Data Set up'!$G$40="JUNE",IF(OR($N306=7,$N306=8,$N306=9),1,IF(OR($N306=10,$N306=11,$N306=12),2,IF(OR($N306=1,$N306=2,$N306=3),3,IF(OR($N306=4,$N306=5,$N306=6),4,"")))),IF(OR($N306=9,$N306=10,$N306=11),1,IF(OR($N306=12,$N306=1,$N306=2),2,IF(OR($N306=3,$N306=4,$N306=5),3,IF(OR($N306=6,$N306=7,$N306=8),4,"")))))</f>
        <v/>
      </c>
      <c r="P306" s="445"/>
      <c r="Q306" s="291"/>
      <c r="R306" s="291"/>
      <c r="S306" s="275"/>
      <c r="T306" s="275"/>
      <c r="U306" s="275"/>
      <c r="V306" s="275"/>
      <c r="W306" s="275"/>
      <c r="X306" s="275"/>
      <c r="Y306" s="275"/>
      <c r="Z306" s="275"/>
      <c r="AA306" s="275"/>
      <c r="AB306" s="275"/>
      <c r="AC306" s="275"/>
      <c r="AD306" s="275"/>
      <c r="AE306" s="275"/>
      <c r="AF306" s="275"/>
      <c r="AG306" s="275"/>
      <c r="AH306" s="438"/>
      <c r="AI306" s="439">
        <f t="shared" si="35"/>
        <v>0</v>
      </c>
      <c r="AJ306" s="263"/>
      <c r="AK306" s="263"/>
      <c r="AL306" s="263"/>
      <c r="AM306" s="263"/>
      <c r="AN306" s="263"/>
      <c r="AO306" s="263"/>
      <c r="AP306" s="263"/>
      <c r="AQ306" s="436"/>
      <c r="AR306" s="275"/>
      <c r="AS306" s="275"/>
      <c r="AT306" s="275"/>
      <c r="AU306" s="275"/>
      <c r="AV306" s="275"/>
      <c r="AW306" s="275"/>
      <c r="AX306" s="275"/>
      <c r="AY306" s="437"/>
      <c r="AZ306" s="440">
        <f t="shared" si="36"/>
        <v>0</v>
      </c>
      <c r="BA306" s="275"/>
      <c r="BB306" s="275"/>
      <c r="BC306" s="275"/>
      <c r="BD306" s="275"/>
      <c r="BE306" s="275"/>
      <c r="BF306" s="275"/>
      <c r="BG306" s="275"/>
      <c r="BH306" s="436"/>
      <c r="BI306" s="275"/>
      <c r="BJ306" s="275"/>
      <c r="BK306" s="291"/>
      <c r="BL306" s="291"/>
      <c r="BM306" s="275"/>
      <c r="BN306" s="275"/>
      <c r="BO306" s="438"/>
      <c r="BP306" s="436"/>
      <c r="BQ306" s="275"/>
      <c r="BR306" s="275"/>
      <c r="BS306" s="275"/>
      <c r="BT306" s="275"/>
      <c r="BU306" s="275"/>
      <c r="BV306" s="275"/>
      <c r="BW306" s="275"/>
      <c r="BX306" s="438"/>
      <c r="BY306" s="436"/>
      <c r="BZ306" s="275"/>
      <c r="CA306" s="275"/>
      <c r="CB306" s="275"/>
      <c r="CC306" s="275"/>
      <c r="CD306" s="275"/>
      <c r="CE306" s="275"/>
      <c r="CF306" s="275"/>
      <c r="CG306" s="438"/>
      <c r="CH306" s="436"/>
      <c r="CI306" s="275"/>
      <c r="CJ306" s="275"/>
      <c r="CK306" s="275"/>
      <c r="CL306" s="275"/>
      <c r="CM306" s="275"/>
      <c r="CN306" s="275"/>
      <c r="CO306" s="442"/>
      <c r="CP306" s="443"/>
      <c r="CQ306" s="429">
        <f t="shared" si="37"/>
        <v>0</v>
      </c>
      <c r="CR306" s="430"/>
    </row>
    <row r="307" spans="1:96" ht="25.5" customHeight="1" x14ac:dyDescent="0.2">
      <c r="A307" s="410">
        <f t="shared" si="38"/>
        <v>292</v>
      </c>
      <c r="B307" s="280"/>
      <c r="C307" s="453"/>
      <c r="D307" s="411"/>
      <c r="E307" s="254"/>
      <c r="F307" s="277"/>
      <c r="G307" s="450"/>
      <c r="H307" s="451"/>
      <c r="I307" s="433" t="str">
        <f t="shared" si="32"/>
        <v/>
      </c>
      <c r="J307" s="434">
        <f t="shared" si="33"/>
        <v>0</v>
      </c>
      <c r="K307" s="452"/>
      <c r="L307" s="276"/>
      <c r="M307" s="435"/>
      <c r="N307" s="417" t="str">
        <f t="shared" si="34"/>
        <v/>
      </c>
      <c r="O307" s="418" t="str">
        <f>IF('Data Set up'!$G$40="JUNE",IF(OR($N307=7,$N307=8,$N307=9),1,IF(OR($N307=10,$N307=11,$N307=12),2,IF(OR($N307=1,$N307=2,$N307=3),3,IF(OR($N307=4,$N307=5,$N307=6),4,"")))),IF(OR($N307=9,$N307=10,$N307=11),1,IF(OR($N307=12,$N307=1,$N307=2),2,IF(OR($N307=3,$N307=4,$N307=5),3,IF(OR($N307=6,$N307=7,$N307=8),4,"")))))</f>
        <v/>
      </c>
      <c r="P307" s="445"/>
      <c r="Q307" s="291"/>
      <c r="R307" s="291"/>
      <c r="S307" s="275"/>
      <c r="T307" s="275"/>
      <c r="U307" s="275"/>
      <c r="V307" s="275"/>
      <c r="W307" s="275"/>
      <c r="X307" s="275"/>
      <c r="Y307" s="275"/>
      <c r="Z307" s="275"/>
      <c r="AA307" s="275"/>
      <c r="AB307" s="275"/>
      <c r="AC307" s="275"/>
      <c r="AD307" s="275"/>
      <c r="AE307" s="275"/>
      <c r="AF307" s="275"/>
      <c r="AG307" s="275"/>
      <c r="AH307" s="438"/>
      <c r="AI307" s="439">
        <f t="shared" si="35"/>
        <v>0</v>
      </c>
      <c r="AJ307" s="263"/>
      <c r="AK307" s="263"/>
      <c r="AL307" s="263"/>
      <c r="AM307" s="263"/>
      <c r="AN307" s="263"/>
      <c r="AO307" s="263"/>
      <c r="AP307" s="263"/>
      <c r="AQ307" s="436"/>
      <c r="AR307" s="275"/>
      <c r="AS307" s="275"/>
      <c r="AT307" s="275"/>
      <c r="AU307" s="275"/>
      <c r="AV307" s="275"/>
      <c r="AW307" s="275"/>
      <c r="AX307" s="275"/>
      <c r="AY307" s="437"/>
      <c r="AZ307" s="440">
        <f t="shared" si="36"/>
        <v>0</v>
      </c>
      <c r="BA307" s="275"/>
      <c r="BB307" s="275"/>
      <c r="BC307" s="275"/>
      <c r="BD307" s="275"/>
      <c r="BE307" s="275"/>
      <c r="BF307" s="275"/>
      <c r="BG307" s="275"/>
      <c r="BH307" s="436"/>
      <c r="BI307" s="275"/>
      <c r="BJ307" s="275"/>
      <c r="BK307" s="291"/>
      <c r="BL307" s="291"/>
      <c r="BM307" s="275"/>
      <c r="BN307" s="275"/>
      <c r="BO307" s="438"/>
      <c r="BP307" s="436"/>
      <c r="BQ307" s="275"/>
      <c r="BR307" s="275"/>
      <c r="BS307" s="275"/>
      <c r="BT307" s="275"/>
      <c r="BU307" s="275"/>
      <c r="BV307" s="275"/>
      <c r="BW307" s="275"/>
      <c r="BX307" s="438"/>
      <c r="BY307" s="436"/>
      <c r="BZ307" s="275"/>
      <c r="CA307" s="275"/>
      <c r="CB307" s="275"/>
      <c r="CC307" s="275"/>
      <c r="CD307" s="275"/>
      <c r="CE307" s="275"/>
      <c r="CF307" s="275"/>
      <c r="CG307" s="438"/>
      <c r="CH307" s="436"/>
      <c r="CI307" s="275"/>
      <c r="CJ307" s="275"/>
      <c r="CK307" s="275"/>
      <c r="CL307" s="275"/>
      <c r="CM307" s="275"/>
      <c r="CN307" s="275"/>
      <c r="CO307" s="442"/>
      <c r="CP307" s="443"/>
      <c r="CQ307" s="429">
        <f t="shared" si="37"/>
        <v>0</v>
      </c>
      <c r="CR307" s="430"/>
    </row>
    <row r="308" spans="1:96" ht="25.5" customHeight="1" x14ac:dyDescent="0.2">
      <c r="A308" s="410">
        <f t="shared" si="38"/>
        <v>293</v>
      </c>
      <c r="B308" s="280"/>
      <c r="C308" s="453"/>
      <c r="D308" s="411"/>
      <c r="E308" s="254"/>
      <c r="F308" s="277"/>
      <c r="G308" s="450"/>
      <c r="H308" s="451"/>
      <c r="I308" s="433" t="str">
        <f t="shared" si="32"/>
        <v/>
      </c>
      <c r="J308" s="434">
        <f t="shared" si="33"/>
        <v>0</v>
      </c>
      <c r="K308" s="452"/>
      <c r="L308" s="276"/>
      <c r="M308" s="435"/>
      <c r="N308" s="417" t="str">
        <f t="shared" si="34"/>
        <v/>
      </c>
      <c r="O308" s="418" t="str">
        <f>IF('Data Set up'!$G$40="JUNE",IF(OR($N308=7,$N308=8,$N308=9),1,IF(OR($N308=10,$N308=11,$N308=12),2,IF(OR($N308=1,$N308=2,$N308=3),3,IF(OR($N308=4,$N308=5,$N308=6),4,"")))),IF(OR($N308=9,$N308=10,$N308=11),1,IF(OR($N308=12,$N308=1,$N308=2),2,IF(OR($N308=3,$N308=4,$N308=5),3,IF(OR($N308=6,$N308=7,$N308=8),4,"")))))</f>
        <v/>
      </c>
      <c r="P308" s="445"/>
      <c r="Q308" s="291"/>
      <c r="R308" s="291"/>
      <c r="S308" s="275"/>
      <c r="T308" s="275"/>
      <c r="U308" s="275"/>
      <c r="V308" s="275"/>
      <c r="W308" s="275"/>
      <c r="X308" s="275"/>
      <c r="Y308" s="275"/>
      <c r="Z308" s="275"/>
      <c r="AA308" s="275"/>
      <c r="AB308" s="275"/>
      <c r="AC308" s="275"/>
      <c r="AD308" s="275"/>
      <c r="AE308" s="275"/>
      <c r="AF308" s="275"/>
      <c r="AG308" s="275"/>
      <c r="AH308" s="438"/>
      <c r="AI308" s="439">
        <f t="shared" si="35"/>
        <v>0</v>
      </c>
      <c r="AJ308" s="263"/>
      <c r="AK308" s="263"/>
      <c r="AL308" s="263"/>
      <c r="AM308" s="263"/>
      <c r="AN308" s="263"/>
      <c r="AO308" s="263"/>
      <c r="AP308" s="263"/>
      <c r="AQ308" s="436"/>
      <c r="AR308" s="275"/>
      <c r="AS308" s="275"/>
      <c r="AT308" s="275"/>
      <c r="AU308" s="275"/>
      <c r="AV308" s="275"/>
      <c r="AW308" s="275"/>
      <c r="AX308" s="275"/>
      <c r="AY308" s="437"/>
      <c r="AZ308" s="440">
        <f t="shared" si="36"/>
        <v>0</v>
      </c>
      <c r="BA308" s="275"/>
      <c r="BB308" s="275"/>
      <c r="BC308" s="275"/>
      <c r="BD308" s="275"/>
      <c r="BE308" s="275"/>
      <c r="BF308" s="275"/>
      <c r="BG308" s="275"/>
      <c r="BH308" s="436"/>
      <c r="BI308" s="275"/>
      <c r="BJ308" s="275"/>
      <c r="BK308" s="291"/>
      <c r="BL308" s="291"/>
      <c r="BM308" s="275"/>
      <c r="BN308" s="275"/>
      <c r="BO308" s="438"/>
      <c r="BP308" s="436"/>
      <c r="BQ308" s="275"/>
      <c r="BR308" s="275"/>
      <c r="BS308" s="275"/>
      <c r="BT308" s="275"/>
      <c r="BU308" s="275"/>
      <c r="BV308" s="275"/>
      <c r="BW308" s="275"/>
      <c r="BX308" s="438"/>
      <c r="BY308" s="436"/>
      <c r="BZ308" s="275"/>
      <c r="CA308" s="275"/>
      <c r="CB308" s="275"/>
      <c r="CC308" s="275"/>
      <c r="CD308" s="275"/>
      <c r="CE308" s="275"/>
      <c r="CF308" s="275"/>
      <c r="CG308" s="438"/>
      <c r="CH308" s="436"/>
      <c r="CI308" s="275"/>
      <c r="CJ308" s="275"/>
      <c r="CK308" s="275"/>
      <c r="CL308" s="275"/>
      <c r="CM308" s="275"/>
      <c r="CN308" s="275"/>
      <c r="CO308" s="442"/>
      <c r="CP308" s="443"/>
      <c r="CQ308" s="429">
        <f t="shared" si="37"/>
        <v>0</v>
      </c>
      <c r="CR308" s="430"/>
    </row>
    <row r="309" spans="1:96" ht="25.5" customHeight="1" x14ac:dyDescent="0.2">
      <c r="A309" s="410">
        <f t="shared" si="38"/>
        <v>294</v>
      </c>
      <c r="B309" s="280"/>
      <c r="C309" s="453"/>
      <c r="D309" s="411"/>
      <c r="E309" s="254"/>
      <c r="F309" s="277"/>
      <c r="G309" s="450"/>
      <c r="H309" s="451"/>
      <c r="I309" s="433" t="str">
        <f t="shared" si="32"/>
        <v/>
      </c>
      <c r="J309" s="434">
        <f t="shared" si="33"/>
        <v>0</v>
      </c>
      <c r="K309" s="452"/>
      <c r="L309" s="276"/>
      <c r="M309" s="435"/>
      <c r="N309" s="417" t="str">
        <f t="shared" si="34"/>
        <v/>
      </c>
      <c r="O309" s="418" t="str">
        <f>IF('Data Set up'!$G$40="JUNE",IF(OR($N309=7,$N309=8,$N309=9),1,IF(OR($N309=10,$N309=11,$N309=12),2,IF(OR($N309=1,$N309=2,$N309=3),3,IF(OR($N309=4,$N309=5,$N309=6),4,"")))),IF(OR($N309=9,$N309=10,$N309=11),1,IF(OR($N309=12,$N309=1,$N309=2),2,IF(OR($N309=3,$N309=4,$N309=5),3,IF(OR($N309=6,$N309=7,$N309=8),4,"")))))</f>
        <v/>
      </c>
      <c r="P309" s="445"/>
      <c r="Q309" s="291"/>
      <c r="R309" s="291"/>
      <c r="S309" s="275"/>
      <c r="T309" s="275"/>
      <c r="U309" s="275"/>
      <c r="V309" s="275"/>
      <c r="W309" s="275"/>
      <c r="X309" s="275"/>
      <c r="Y309" s="275"/>
      <c r="Z309" s="275"/>
      <c r="AA309" s="275"/>
      <c r="AB309" s="275"/>
      <c r="AC309" s="275"/>
      <c r="AD309" s="275"/>
      <c r="AE309" s="275"/>
      <c r="AF309" s="275"/>
      <c r="AG309" s="275"/>
      <c r="AH309" s="438"/>
      <c r="AI309" s="439">
        <f t="shared" si="35"/>
        <v>0</v>
      </c>
      <c r="AJ309" s="263"/>
      <c r="AK309" s="263"/>
      <c r="AL309" s="263"/>
      <c r="AM309" s="263"/>
      <c r="AN309" s="263"/>
      <c r="AO309" s="263"/>
      <c r="AP309" s="263"/>
      <c r="AQ309" s="436"/>
      <c r="AR309" s="275"/>
      <c r="AS309" s="275"/>
      <c r="AT309" s="275"/>
      <c r="AU309" s="275"/>
      <c r="AV309" s="275"/>
      <c r="AW309" s="275"/>
      <c r="AX309" s="275"/>
      <c r="AY309" s="437"/>
      <c r="AZ309" s="440">
        <f t="shared" si="36"/>
        <v>0</v>
      </c>
      <c r="BA309" s="275"/>
      <c r="BB309" s="275"/>
      <c r="BC309" s="275"/>
      <c r="BD309" s="275"/>
      <c r="BE309" s="275"/>
      <c r="BF309" s="275"/>
      <c r="BG309" s="275"/>
      <c r="BH309" s="436"/>
      <c r="BI309" s="275"/>
      <c r="BJ309" s="275"/>
      <c r="BK309" s="291"/>
      <c r="BL309" s="291"/>
      <c r="BM309" s="275"/>
      <c r="BN309" s="275"/>
      <c r="BO309" s="438"/>
      <c r="BP309" s="436"/>
      <c r="BQ309" s="275"/>
      <c r="BR309" s="275"/>
      <c r="BS309" s="275"/>
      <c r="BT309" s="275"/>
      <c r="BU309" s="275"/>
      <c r="BV309" s="275"/>
      <c r="BW309" s="275"/>
      <c r="BX309" s="438"/>
      <c r="BY309" s="436"/>
      <c r="BZ309" s="275"/>
      <c r="CA309" s="275"/>
      <c r="CB309" s="275"/>
      <c r="CC309" s="275"/>
      <c r="CD309" s="275"/>
      <c r="CE309" s="275"/>
      <c r="CF309" s="275"/>
      <c r="CG309" s="438"/>
      <c r="CH309" s="436"/>
      <c r="CI309" s="275"/>
      <c r="CJ309" s="275"/>
      <c r="CK309" s="275"/>
      <c r="CL309" s="275"/>
      <c r="CM309" s="275"/>
      <c r="CN309" s="275"/>
      <c r="CO309" s="442"/>
      <c r="CP309" s="443"/>
      <c r="CQ309" s="429">
        <f t="shared" si="37"/>
        <v>0</v>
      </c>
      <c r="CR309" s="430"/>
    </row>
    <row r="310" spans="1:96" ht="25.5" customHeight="1" x14ac:dyDescent="0.2">
      <c r="A310" s="410">
        <f t="shared" si="38"/>
        <v>295</v>
      </c>
      <c r="B310" s="280"/>
      <c r="C310" s="453"/>
      <c r="D310" s="411"/>
      <c r="E310" s="254"/>
      <c r="F310" s="277"/>
      <c r="G310" s="450"/>
      <c r="H310" s="451"/>
      <c r="I310" s="433" t="str">
        <f t="shared" si="32"/>
        <v/>
      </c>
      <c r="J310" s="434">
        <f t="shared" si="33"/>
        <v>0</v>
      </c>
      <c r="K310" s="452"/>
      <c r="L310" s="276"/>
      <c r="M310" s="435"/>
      <c r="N310" s="417" t="str">
        <f t="shared" si="34"/>
        <v/>
      </c>
      <c r="O310" s="418" t="str">
        <f>IF('Data Set up'!$G$40="JUNE",IF(OR($N310=7,$N310=8,$N310=9),1,IF(OR($N310=10,$N310=11,$N310=12),2,IF(OR($N310=1,$N310=2,$N310=3),3,IF(OR($N310=4,$N310=5,$N310=6),4,"")))),IF(OR($N310=9,$N310=10,$N310=11),1,IF(OR($N310=12,$N310=1,$N310=2),2,IF(OR($N310=3,$N310=4,$N310=5),3,IF(OR($N310=6,$N310=7,$N310=8),4,"")))))</f>
        <v/>
      </c>
      <c r="P310" s="445"/>
      <c r="Q310" s="291"/>
      <c r="R310" s="291"/>
      <c r="S310" s="275"/>
      <c r="T310" s="275"/>
      <c r="U310" s="275"/>
      <c r="V310" s="275"/>
      <c r="W310" s="275"/>
      <c r="X310" s="275"/>
      <c r="Y310" s="275"/>
      <c r="Z310" s="275"/>
      <c r="AA310" s="275"/>
      <c r="AB310" s="275"/>
      <c r="AC310" s="275"/>
      <c r="AD310" s="275"/>
      <c r="AE310" s="275"/>
      <c r="AF310" s="275"/>
      <c r="AG310" s="275"/>
      <c r="AH310" s="438"/>
      <c r="AI310" s="439">
        <f t="shared" si="35"/>
        <v>0</v>
      </c>
      <c r="AJ310" s="263"/>
      <c r="AK310" s="263"/>
      <c r="AL310" s="263"/>
      <c r="AM310" s="263"/>
      <c r="AN310" s="263"/>
      <c r="AO310" s="263"/>
      <c r="AP310" s="263"/>
      <c r="AQ310" s="436"/>
      <c r="AR310" s="275"/>
      <c r="AS310" s="275"/>
      <c r="AT310" s="275"/>
      <c r="AU310" s="275"/>
      <c r="AV310" s="275"/>
      <c r="AW310" s="275"/>
      <c r="AX310" s="275"/>
      <c r="AY310" s="437"/>
      <c r="AZ310" s="440">
        <f t="shared" si="36"/>
        <v>0</v>
      </c>
      <c r="BA310" s="275"/>
      <c r="BB310" s="275"/>
      <c r="BC310" s="275"/>
      <c r="BD310" s="275"/>
      <c r="BE310" s="275"/>
      <c r="BF310" s="275"/>
      <c r="BG310" s="275"/>
      <c r="BH310" s="436"/>
      <c r="BI310" s="275"/>
      <c r="BJ310" s="275"/>
      <c r="BK310" s="291"/>
      <c r="BL310" s="291"/>
      <c r="BM310" s="275"/>
      <c r="BN310" s="275"/>
      <c r="BO310" s="438"/>
      <c r="BP310" s="436"/>
      <c r="BQ310" s="275"/>
      <c r="BR310" s="275"/>
      <c r="BS310" s="275"/>
      <c r="BT310" s="275"/>
      <c r="BU310" s="275"/>
      <c r="BV310" s="275"/>
      <c r="BW310" s="275"/>
      <c r="BX310" s="438"/>
      <c r="BY310" s="436"/>
      <c r="BZ310" s="275"/>
      <c r="CA310" s="275"/>
      <c r="CB310" s="275"/>
      <c r="CC310" s="275"/>
      <c r="CD310" s="275"/>
      <c r="CE310" s="275"/>
      <c r="CF310" s="275"/>
      <c r="CG310" s="438"/>
      <c r="CH310" s="436"/>
      <c r="CI310" s="275"/>
      <c r="CJ310" s="275"/>
      <c r="CK310" s="275"/>
      <c r="CL310" s="275"/>
      <c r="CM310" s="275"/>
      <c r="CN310" s="275"/>
      <c r="CO310" s="442"/>
      <c r="CP310" s="443"/>
      <c r="CQ310" s="429">
        <f t="shared" si="37"/>
        <v>0</v>
      </c>
      <c r="CR310" s="430"/>
    </row>
    <row r="311" spans="1:96" ht="25.5" customHeight="1" x14ac:dyDescent="0.2">
      <c r="A311" s="410">
        <f t="shared" si="38"/>
        <v>296</v>
      </c>
      <c r="B311" s="280"/>
      <c r="C311" s="453"/>
      <c r="D311" s="411"/>
      <c r="E311" s="254"/>
      <c r="F311" s="277"/>
      <c r="G311" s="450"/>
      <c r="H311" s="451"/>
      <c r="I311" s="433" t="str">
        <f t="shared" si="32"/>
        <v/>
      </c>
      <c r="J311" s="434">
        <f t="shared" si="33"/>
        <v>0</v>
      </c>
      <c r="K311" s="452"/>
      <c r="L311" s="276"/>
      <c r="M311" s="435"/>
      <c r="N311" s="417" t="str">
        <f t="shared" si="34"/>
        <v/>
      </c>
      <c r="O311" s="418" t="str">
        <f>IF('Data Set up'!$G$40="JUNE",IF(OR($N311=7,$N311=8,$N311=9),1,IF(OR($N311=10,$N311=11,$N311=12),2,IF(OR($N311=1,$N311=2,$N311=3),3,IF(OR($N311=4,$N311=5,$N311=6),4,"")))),IF(OR($N311=9,$N311=10,$N311=11),1,IF(OR($N311=12,$N311=1,$N311=2),2,IF(OR($N311=3,$N311=4,$N311=5),3,IF(OR($N311=6,$N311=7,$N311=8),4,"")))))</f>
        <v/>
      </c>
      <c r="P311" s="445"/>
      <c r="Q311" s="291"/>
      <c r="R311" s="291"/>
      <c r="S311" s="275"/>
      <c r="T311" s="275"/>
      <c r="U311" s="275"/>
      <c r="V311" s="275"/>
      <c r="W311" s="275"/>
      <c r="X311" s="275"/>
      <c r="Y311" s="275"/>
      <c r="Z311" s="275"/>
      <c r="AA311" s="275"/>
      <c r="AB311" s="275"/>
      <c r="AC311" s="275"/>
      <c r="AD311" s="275"/>
      <c r="AE311" s="275"/>
      <c r="AF311" s="275"/>
      <c r="AG311" s="275"/>
      <c r="AH311" s="438"/>
      <c r="AI311" s="439">
        <f t="shared" si="35"/>
        <v>0</v>
      </c>
      <c r="AJ311" s="263"/>
      <c r="AK311" s="263"/>
      <c r="AL311" s="263"/>
      <c r="AM311" s="263"/>
      <c r="AN311" s="263"/>
      <c r="AO311" s="263"/>
      <c r="AP311" s="263"/>
      <c r="AQ311" s="436"/>
      <c r="AR311" s="275"/>
      <c r="AS311" s="275"/>
      <c r="AT311" s="275"/>
      <c r="AU311" s="275"/>
      <c r="AV311" s="275"/>
      <c r="AW311" s="275"/>
      <c r="AX311" s="275"/>
      <c r="AY311" s="437"/>
      <c r="AZ311" s="440">
        <f t="shared" si="36"/>
        <v>0</v>
      </c>
      <c r="BA311" s="275"/>
      <c r="BB311" s="275"/>
      <c r="BC311" s="275"/>
      <c r="BD311" s="275"/>
      <c r="BE311" s="275"/>
      <c r="BF311" s="275"/>
      <c r="BG311" s="275"/>
      <c r="BH311" s="436"/>
      <c r="BI311" s="275"/>
      <c r="BJ311" s="275"/>
      <c r="BK311" s="291"/>
      <c r="BL311" s="291"/>
      <c r="BM311" s="275"/>
      <c r="BN311" s="275"/>
      <c r="BO311" s="438"/>
      <c r="BP311" s="436"/>
      <c r="BQ311" s="275"/>
      <c r="BR311" s="275"/>
      <c r="BS311" s="275"/>
      <c r="BT311" s="275"/>
      <c r="BU311" s="275"/>
      <c r="BV311" s="275"/>
      <c r="BW311" s="275"/>
      <c r="BX311" s="438"/>
      <c r="BY311" s="436"/>
      <c r="BZ311" s="275"/>
      <c r="CA311" s="275"/>
      <c r="CB311" s="275"/>
      <c r="CC311" s="275"/>
      <c r="CD311" s="275"/>
      <c r="CE311" s="275"/>
      <c r="CF311" s="275"/>
      <c r="CG311" s="438"/>
      <c r="CH311" s="436"/>
      <c r="CI311" s="275"/>
      <c r="CJ311" s="275"/>
      <c r="CK311" s="275"/>
      <c r="CL311" s="275"/>
      <c r="CM311" s="275"/>
      <c r="CN311" s="275"/>
      <c r="CO311" s="442"/>
      <c r="CP311" s="443"/>
      <c r="CQ311" s="429">
        <f t="shared" si="37"/>
        <v>0</v>
      </c>
      <c r="CR311" s="430"/>
    </row>
    <row r="312" spans="1:96" ht="25.5" customHeight="1" x14ac:dyDescent="0.2">
      <c r="A312" s="410">
        <f t="shared" si="38"/>
        <v>297</v>
      </c>
      <c r="B312" s="280"/>
      <c r="C312" s="453"/>
      <c r="D312" s="411"/>
      <c r="E312" s="254"/>
      <c r="F312" s="277"/>
      <c r="G312" s="450"/>
      <c r="H312" s="451"/>
      <c r="I312" s="433" t="str">
        <f t="shared" si="32"/>
        <v/>
      </c>
      <c r="J312" s="434">
        <f t="shared" si="33"/>
        <v>0</v>
      </c>
      <c r="K312" s="452"/>
      <c r="L312" s="276"/>
      <c r="M312" s="435"/>
      <c r="N312" s="417" t="str">
        <f t="shared" si="34"/>
        <v/>
      </c>
      <c r="O312" s="418" t="str">
        <f>IF('Data Set up'!$G$40="JUNE",IF(OR($N312=7,$N312=8,$N312=9),1,IF(OR($N312=10,$N312=11,$N312=12),2,IF(OR($N312=1,$N312=2,$N312=3),3,IF(OR($N312=4,$N312=5,$N312=6),4,"")))),IF(OR($N312=9,$N312=10,$N312=11),1,IF(OR($N312=12,$N312=1,$N312=2),2,IF(OR($N312=3,$N312=4,$N312=5),3,IF(OR($N312=6,$N312=7,$N312=8),4,"")))))</f>
        <v/>
      </c>
      <c r="P312" s="445"/>
      <c r="Q312" s="291"/>
      <c r="R312" s="291"/>
      <c r="S312" s="275"/>
      <c r="T312" s="275"/>
      <c r="U312" s="275"/>
      <c r="V312" s="275"/>
      <c r="W312" s="275"/>
      <c r="X312" s="275"/>
      <c r="Y312" s="275"/>
      <c r="Z312" s="275"/>
      <c r="AA312" s="275"/>
      <c r="AB312" s="275"/>
      <c r="AC312" s="275"/>
      <c r="AD312" s="275"/>
      <c r="AE312" s="275"/>
      <c r="AF312" s="275"/>
      <c r="AG312" s="275"/>
      <c r="AH312" s="438"/>
      <c r="AI312" s="439">
        <f t="shared" si="35"/>
        <v>0</v>
      </c>
      <c r="AJ312" s="263"/>
      <c r="AK312" s="263"/>
      <c r="AL312" s="263"/>
      <c r="AM312" s="263"/>
      <c r="AN312" s="263"/>
      <c r="AO312" s="263"/>
      <c r="AP312" s="263"/>
      <c r="AQ312" s="436"/>
      <c r="AR312" s="275"/>
      <c r="AS312" s="275"/>
      <c r="AT312" s="275"/>
      <c r="AU312" s="275"/>
      <c r="AV312" s="275"/>
      <c r="AW312" s="275"/>
      <c r="AX312" s="275"/>
      <c r="AY312" s="437"/>
      <c r="AZ312" s="440">
        <f t="shared" si="36"/>
        <v>0</v>
      </c>
      <c r="BA312" s="275"/>
      <c r="BB312" s="275"/>
      <c r="BC312" s="275"/>
      <c r="BD312" s="275"/>
      <c r="BE312" s="275"/>
      <c r="BF312" s="275"/>
      <c r="BG312" s="275"/>
      <c r="BH312" s="436"/>
      <c r="BI312" s="275"/>
      <c r="BJ312" s="275"/>
      <c r="BK312" s="291"/>
      <c r="BL312" s="291"/>
      <c r="BM312" s="275"/>
      <c r="BN312" s="275"/>
      <c r="BO312" s="438"/>
      <c r="BP312" s="436"/>
      <c r="BQ312" s="275"/>
      <c r="BR312" s="275"/>
      <c r="BS312" s="275"/>
      <c r="BT312" s="275"/>
      <c r="BU312" s="275"/>
      <c r="BV312" s="275"/>
      <c r="BW312" s="275"/>
      <c r="BX312" s="438"/>
      <c r="BY312" s="436"/>
      <c r="BZ312" s="275"/>
      <c r="CA312" s="275"/>
      <c r="CB312" s="275"/>
      <c r="CC312" s="275"/>
      <c r="CD312" s="275"/>
      <c r="CE312" s="275"/>
      <c r="CF312" s="275"/>
      <c r="CG312" s="438"/>
      <c r="CH312" s="436"/>
      <c r="CI312" s="275"/>
      <c r="CJ312" s="275"/>
      <c r="CK312" s="275"/>
      <c r="CL312" s="275"/>
      <c r="CM312" s="275"/>
      <c r="CN312" s="275"/>
      <c r="CO312" s="442"/>
      <c r="CP312" s="443"/>
      <c r="CQ312" s="429">
        <f t="shared" si="37"/>
        <v>0</v>
      </c>
      <c r="CR312" s="430"/>
    </row>
    <row r="313" spans="1:96" ht="25.5" customHeight="1" x14ac:dyDescent="0.2">
      <c r="A313" s="410">
        <f t="shared" si="38"/>
        <v>298</v>
      </c>
      <c r="B313" s="280"/>
      <c r="C313" s="453"/>
      <c r="D313" s="411"/>
      <c r="E313" s="254"/>
      <c r="F313" s="277"/>
      <c r="G313" s="450"/>
      <c r="H313" s="451"/>
      <c r="I313" s="433" t="str">
        <f t="shared" si="32"/>
        <v/>
      </c>
      <c r="J313" s="434">
        <f t="shared" si="33"/>
        <v>0</v>
      </c>
      <c r="K313" s="452"/>
      <c r="L313" s="276"/>
      <c r="M313" s="435"/>
      <c r="N313" s="417" t="str">
        <f t="shared" si="34"/>
        <v/>
      </c>
      <c r="O313" s="418" t="str">
        <f>IF('Data Set up'!$G$40="JUNE",IF(OR($N313=7,$N313=8,$N313=9),1,IF(OR($N313=10,$N313=11,$N313=12),2,IF(OR($N313=1,$N313=2,$N313=3),3,IF(OR($N313=4,$N313=5,$N313=6),4,"")))),IF(OR($N313=9,$N313=10,$N313=11),1,IF(OR($N313=12,$N313=1,$N313=2),2,IF(OR($N313=3,$N313=4,$N313=5),3,IF(OR($N313=6,$N313=7,$N313=8),4,"")))))</f>
        <v/>
      </c>
      <c r="P313" s="445"/>
      <c r="Q313" s="291"/>
      <c r="R313" s="291"/>
      <c r="S313" s="275"/>
      <c r="T313" s="275"/>
      <c r="U313" s="275"/>
      <c r="V313" s="275"/>
      <c r="W313" s="275"/>
      <c r="X313" s="275"/>
      <c r="Y313" s="275"/>
      <c r="Z313" s="275"/>
      <c r="AA313" s="275"/>
      <c r="AB313" s="275"/>
      <c r="AC313" s="275"/>
      <c r="AD313" s="275"/>
      <c r="AE313" s="275"/>
      <c r="AF313" s="275"/>
      <c r="AG313" s="275"/>
      <c r="AH313" s="438"/>
      <c r="AI313" s="439">
        <f t="shared" si="35"/>
        <v>0</v>
      </c>
      <c r="AJ313" s="263"/>
      <c r="AK313" s="263"/>
      <c r="AL313" s="263"/>
      <c r="AM313" s="263"/>
      <c r="AN313" s="263"/>
      <c r="AO313" s="263"/>
      <c r="AP313" s="263"/>
      <c r="AQ313" s="436"/>
      <c r="AR313" s="275"/>
      <c r="AS313" s="275"/>
      <c r="AT313" s="275"/>
      <c r="AU313" s="275"/>
      <c r="AV313" s="275"/>
      <c r="AW313" s="275"/>
      <c r="AX313" s="275"/>
      <c r="AY313" s="437"/>
      <c r="AZ313" s="440">
        <f t="shared" si="36"/>
        <v>0</v>
      </c>
      <c r="BA313" s="275"/>
      <c r="BB313" s="275"/>
      <c r="BC313" s="275"/>
      <c r="BD313" s="275"/>
      <c r="BE313" s="275"/>
      <c r="BF313" s="275"/>
      <c r="BG313" s="275"/>
      <c r="BH313" s="436"/>
      <c r="BI313" s="275"/>
      <c r="BJ313" s="275"/>
      <c r="BK313" s="291"/>
      <c r="BL313" s="291"/>
      <c r="BM313" s="275"/>
      <c r="BN313" s="275"/>
      <c r="BO313" s="438"/>
      <c r="BP313" s="436"/>
      <c r="BQ313" s="275"/>
      <c r="BR313" s="275"/>
      <c r="BS313" s="275"/>
      <c r="BT313" s="275"/>
      <c r="BU313" s="275"/>
      <c r="BV313" s="275"/>
      <c r="BW313" s="275"/>
      <c r="BX313" s="438"/>
      <c r="BY313" s="436"/>
      <c r="BZ313" s="275"/>
      <c r="CA313" s="275"/>
      <c r="CB313" s="275"/>
      <c r="CC313" s="275"/>
      <c r="CD313" s="275"/>
      <c r="CE313" s="275"/>
      <c r="CF313" s="275"/>
      <c r="CG313" s="438"/>
      <c r="CH313" s="436"/>
      <c r="CI313" s="275"/>
      <c r="CJ313" s="275"/>
      <c r="CK313" s="275"/>
      <c r="CL313" s="275"/>
      <c r="CM313" s="275"/>
      <c r="CN313" s="275"/>
      <c r="CO313" s="442"/>
      <c r="CP313" s="443"/>
      <c r="CQ313" s="429">
        <f t="shared" si="37"/>
        <v>0</v>
      </c>
      <c r="CR313" s="430"/>
    </row>
    <row r="314" spans="1:96" ht="25.5" customHeight="1" x14ac:dyDescent="0.2">
      <c r="A314" s="410">
        <f t="shared" si="38"/>
        <v>299</v>
      </c>
      <c r="B314" s="280"/>
      <c r="C314" s="453"/>
      <c r="D314" s="411"/>
      <c r="E314" s="254"/>
      <c r="F314" s="277"/>
      <c r="G314" s="450"/>
      <c r="H314" s="451"/>
      <c r="I314" s="433" t="str">
        <f t="shared" si="32"/>
        <v/>
      </c>
      <c r="J314" s="434">
        <f t="shared" si="33"/>
        <v>0</v>
      </c>
      <c r="K314" s="452"/>
      <c r="L314" s="276"/>
      <c r="M314" s="435"/>
      <c r="N314" s="417" t="str">
        <f t="shared" si="34"/>
        <v/>
      </c>
      <c r="O314" s="418" t="str">
        <f>IF('Data Set up'!$G$40="JUNE",IF(OR($N314=7,$N314=8,$N314=9),1,IF(OR($N314=10,$N314=11,$N314=12),2,IF(OR($N314=1,$N314=2,$N314=3),3,IF(OR($N314=4,$N314=5,$N314=6),4,"")))),IF(OR($N314=9,$N314=10,$N314=11),1,IF(OR($N314=12,$N314=1,$N314=2),2,IF(OR($N314=3,$N314=4,$N314=5),3,IF(OR($N314=6,$N314=7,$N314=8),4,"")))))</f>
        <v/>
      </c>
      <c r="P314" s="445"/>
      <c r="Q314" s="291"/>
      <c r="R314" s="291"/>
      <c r="S314" s="275"/>
      <c r="T314" s="275"/>
      <c r="U314" s="275"/>
      <c r="V314" s="275"/>
      <c r="W314" s="275"/>
      <c r="X314" s="275"/>
      <c r="Y314" s="275"/>
      <c r="Z314" s="275"/>
      <c r="AA314" s="275"/>
      <c r="AB314" s="275"/>
      <c r="AC314" s="275"/>
      <c r="AD314" s="275"/>
      <c r="AE314" s="275"/>
      <c r="AF314" s="275"/>
      <c r="AG314" s="275"/>
      <c r="AH314" s="438"/>
      <c r="AI314" s="439">
        <f t="shared" si="35"/>
        <v>0</v>
      </c>
      <c r="AJ314" s="263"/>
      <c r="AK314" s="263"/>
      <c r="AL314" s="263"/>
      <c r="AM314" s="263"/>
      <c r="AN314" s="263"/>
      <c r="AO314" s="263"/>
      <c r="AP314" s="263"/>
      <c r="AQ314" s="436"/>
      <c r="AR314" s="275"/>
      <c r="AS314" s="275"/>
      <c r="AT314" s="275"/>
      <c r="AU314" s="275"/>
      <c r="AV314" s="275"/>
      <c r="AW314" s="275"/>
      <c r="AX314" s="275"/>
      <c r="AY314" s="437"/>
      <c r="AZ314" s="440">
        <f t="shared" si="36"/>
        <v>0</v>
      </c>
      <c r="BA314" s="275"/>
      <c r="BB314" s="275"/>
      <c r="BC314" s="275"/>
      <c r="BD314" s="275"/>
      <c r="BE314" s="275"/>
      <c r="BF314" s="275"/>
      <c r="BG314" s="275"/>
      <c r="BH314" s="436"/>
      <c r="BI314" s="275"/>
      <c r="BJ314" s="275"/>
      <c r="BK314" s="291"/>
      <c r="BL314" s="291"/>
      <c r="BM314" s="275"/>
      <c r="BN314" s="275"/>
      <c r="BO314" s="438"/>
      <c r="BP314" s="436"/>
      <c r="BQ314" s="275"/>
      <c r="BR314" s="275"/>
      <c r="BS314" s="275"/>
      <c r="BT314" s="275"/>
      <c r="BU314" s="275"/>
      <c r="BV314" s="275"/>
      <c r="BW314" s="275"/>
      <c r="BX314" s="438"/>
      <c r="BY314" s="436"/>
      <c r="BZ314" s="275"/>
      <c r="CA314" s="275"/>
      <c r="CB314" s="275"/>
      <c r="CC314" s="275"/>
      <c r="CD314" s="275"/>
      <c r="CE314" s="275"/>
      <c r="CF314" s="275"/>
      <c r="CG314" s="438"/>
      <c r="CH314" s="436"/>
      <c r="CI314" s="275"/>
      <c r="CJ314" s="275"/>
      <c r="CK314" s="275"/>
      <c r="CL314" s="275"/>
      <c r="CM314" s="275"/>
      <c r="CN314" s="275"/>
      <c r="CO314" s="442"/>
      <c r="CP314" s="443"/>
      <c r="CQ314" s="429">
        <f t="shared" si="37"/>
        <v>0</v>
      </c>
      <c r="CR314" s="430"/>
    </row>
    <row r="315" spans="1:96" ht="25.5" customHeight="1" x14ac:dyDescent="0.2">
      <c r="A315" s="410">
        <f t="shared" si="38"/>
        <v>300</v>
      </c>
      <c r="B315" s="280"/>
      <c r="C315" s="453"/>
      <c r="D315" s="411"/>
      <c r="E315" s="254"/>
      <c r="F315" s="277"/>
      <c r="G315" s="450"/>
      <c r="H315" s="451"/>
      <c r="I315" s="433" t="str">
        <f t="shared" si="32"/>
        <v/>
      </c>
      <c r="J315" s="434">
        <f t="shared" si="33"/>
        <v>0</v>
      </c>
      <c r="K315" s="452"/>
      <c r="L315" s="276"/>
      <c r="M315" s="435"/>
      <c r="N315" s="417" t="str">
        <f t="shared" si="34"/>
        <v/>
      </c>
      <c r="O315" s="418" t="str">
        <f>IF('Data Set up'!$G$40="JUNE",IF(OR($N315=7,$N315=8,$N315=9),1,IF(OR($N315=10,$N315=11,$N315=12),2,IF(OR($N315=1,$N315=2,$N315=3),3,IF(OR($N315=4,$N315=5,$N315=6),4,"")))),IF(OR($N315=9,$N315=10,$N315=11),1,IF(OR($N315=12,$N315=1,$N315=2),2,IF(OR($N315=3,$N315=4,$N315=5),3,IF(OR($N315=6,$N315=7,$N315=8),4,"")))))</f>
        <v/>
      </c>
      <c r="P315" s="445"/>
      <c r="Q315" s="291"/>
      <c r="R315" s="291"/>
      <c r="S315" s="275"/>
      <c r="T315" s="275"/>
      <c r="U315" s="275"/>
      <c r="V315" s="275"/>
      <c r="W315" s="275"/>
      <c r="X315" s="275"/>
      <c r="Y315" s="275"/>
      <c r="Z315" s="275"/>
      <c r="AA315" s="275"/>
      <c r="AB315" s="275"/>
      <c r="AC315" s="275"/>
      <c r="AD315" s="275"/>
      <c r="AE315" s="275"/>
      <c r="AF315" s="275"/>
      <c r="AG315" s="275"/>
      <c r="AH315" s="438"/>
      <c r="AI315" s="439">
        <f t="shared" si="35"/>
        <v>0</v>
      </c>
      <c r="AJ315" s="263"/>
      <c r="AK315" s="263"/>
      <c r="AL315" s="263"/>
      <c r="AM315" s="263"/>
      <c r="AN315" s="263"/>
      <c r="AO315" s="263"/>
      <c r="AP315" s="263"/>
      <c r="AQ315" s="436"/>
      <c r="AR315" s="275"/>
      <c r="AS315" s="275"/>
      <c r="AT315" s="275"/>
      <c r="AU315" s="275"/>
      <c r="AV315" s="275"/>
      <c r="AW315" s="275"/>
      <c r="AX315" s="275"/>
      <c r="AY315" s="437"/>
      <c r="AZ315" s="440">
        <f t="shared" si="36"/>
        <v>0</v>
      </c>
      <c r="BA315" s="275"/>
      <c r="BB315" s="275"/>
      <c r="BC315" s="275"/>
      <c r="BD315" s="275"/>
      <c r="BE315" s="275"/>
      <c r="BF315" s="275"/>
      <c r="BG315" s="275"/>
      <c r="BH315" s="436"/>
      <c r="BI315" s="275"/>
      <c r="BJ315" s="275"/>
      <c r="BK315" s="291"/>
      <c r="BL315" s="291"/>
      <c r="BM315" s="275"/>
      <c r="BN315" s="275"/>
      <c r="BO315" s="438"/>
      <c r="BP315" s="436"/>
      <c r="BQ315" s="275"/>
      <c r="BR315" s="275"/>
      <c r="BS315" s="275"/>
      <c r="BT315" s="275"/>
      <c r="BU315" s="275"/>
      <c r="BV315" s="275"/>
      <c r="BW315" s="275"/>
      <c r="BX315" s="438"/>
      <c r="BY315" s="436"/>
      <c r="BZ315" s="275"/>
      <c r="CA315" s="275"/>
      <c r="CB315" s="275"/>
      <c r="CC315" s="275"/>
      <c r="CD315" s="275"/>
      <c r="CE315" s="275"/>
      <c r="CF315" s="275"/>
      <c r="CG315" s="438"/>
      <c r="CH315" s="436"/>
      <c r="CI315" s="275"/>
      <c r="CJ315" s="275"/>
      <c r="CK315" s="275"/>
      <c r="CL315" s="275"/>
      <c r="CM315" s="275"/>
      <c r="CN315" s="275"/>
      <c r="CO315" s="442"/>
      <c r="CP315" s="443"/>
      <c r="CQ315" s="429">
        <f t="shared" si="37"/>
        <v>0</v>
      </c>
      <c r="CR315" s="430"/>
    </row>
    <row r="316" spans="1:96" ht="25.5" customHeight="1" x14ac:dyDescent="0.2">
      <c r="A316" s="410">
        <f t="shared" si="38"/>
        <v>301</v>
      </c>
      <c r="B316" s="280"/>
      <c r="C316" s="453"/>
      <c r="D316" s="411"/>
      <c r="E316" s="254"/>
      <c r="F316" s="277"/>
      <c r="G316" s="450"/>
      <c r="H316" s="451"/>
      <c r="I316" s="433" t="str">
        <f t="shared" si="32"/>
        <v/>
      </c>
      <c r="J316" s="434">
        <f t="shared" si="33"/>
        <v>0</v>
      </c>
      <c r="K316" s="452"/>
      <c r="L316" s="276"/>
      <c r="M316" s="435"/>
      <c r="N316" s="417" t="str">
        <f t="shared" si="34"/>
        <v/>
      </c>
      <c r="O316" s="418" t="str">
        <f>IF('Data Set up'!$G$40="JUNE",IF(OR($N316=7,$N316=8,$N316=9),1,IF(OR($N316=10,$N316=11,$N316=12),2,IF(OR($N316=1,$N316=2,$N316=3),3,IF(OR($N316=4,$N316=5,$N316=6),4,"")))),IF(OR($N316=9,$N316=10,$N316=11),1,IF(OR($N316=12,$N316=1,$N316=2),2,IF(OR($N316=3,$N316=4,$N316=5),3,IF(OR($N316=6,$N316=7,$N316=8),4,"")))))</f>
        <v/>
      </c>
      <c r="P316" s="445"/>
      <c r="Q316" s="291"/>
      <c r="R316" s="291"/>
      <c r="S316" s="275"/>
      <c r="T316" s="275"/>
      <c r="U316" s="275"/>
      <c r="V316" s="275"/>
      <c r="W316" s="275"/>
      <c r="X316" s="275"/>
      <c r="Y316" s="275"/>
      <c r="Z316" s="275"/>
      <c r="AA316" s="275"/>
      <c r="AB316" s="275"/>
      <c r="AC316" s="275"/>
      <c r="AD316" s="275"/>
      <c r="AE316" s="275"/>
      <c r="AF316" s="275"/>
      <c r="AG316" s="275"/>
      <c r="AH316" s="438"/>
      <c r="AI316" s="439">
        <f t="shared" si="35"/>
        <v>0</v>
      </c>
      <c r="AJ316" s="263"/>
      <c r="AK316" s="263"/>
      <c r="AL316" s="263"/>
      <c r="AM316" s="263"/>
      <c r="AN316" s="263"/>
      <c r="AO316" s="263"/>
      <c r="AP316" s="263"/>
      <c r="AQ316" s="436"/>
      <c r="AR316" s="275"/>
      <c r="AS316" s="275"/>
      <c r="AT316" s="275"/>
      <c r="AU316" s="275"/>
      <c r="AV316" s="275"/>
      <c r="AW316" s="275"/>
      <c r="AX316" s="275"/>
      <c r="AY316" s="437"/>
      <c r="AZ316" s="440">
        <f t="shared" si="36"/>
        <v>0</v>
      </c>
      <c r="BA316" s="275"/>
      <c r="BB316" s="275"/>
      <c r="BC316" s="275"/>
      <c r="BD316" s="275"/>
      <c r="BE316" s="275"/>
      <c r="BF316" s="275"/>
      <c r="BG316" s="275"/>
      <c r="BH316" s="436"/>
      <c r="BI316" s="275"/>
      <c r="BJ316" s="275"/>
      <c r="BK316" s="291"/>
      <c r="BL316" s="291"/>
      <c r="BM316" s="275"/>
      <c r="BN316" s="275"/>
      <c r="BO316" s="438"/>
      <c r="BP316" s="436"/>
      <c r="BQ316" s="275"/>
      <c r="BR316" s="275"/>
      <c r="BS316" s="275"/>
      <c r="BT316" s="275"/>
      <c r="BU316" s="275"/>
      <c r="BV316" s="275"/>
      <c r="BW316" s="275"/>
      <c r="BX316" s="438"/>
      <c r="BY316" s="436"/>
      <c r="BZ316" s="275"/>
      <c r="CA316" s="275"/>
      <c r="CB316" s="275"/>
      <c r="CC316" s="275"/>
      <c r="CD316" s="275"/>
      <c r="CE316" s="275"/>
      <c r="CF316" s="275"/>
      <c r="CG316" s="438"/>
      <c r="CH316" s="436"/>
      <c r="CI316" s="275"/>
      <c r="CJ316" s="275"/>
      <c r="CK316" s="275"/>
      <c r="CL316" s="275"/>
      <c r="CM316" s="275"/>
      <c r="CN316" s="275"/>
      <c r="CO316" s="442"/>
      <c r="CP316" s="443"/>
      <c r="CQ316" s="429">
        <f t="shared" si="37"/>
        <v>0</v>
      </c>
      <c r="CR316" s="430"/>
    </row>
    <row r="317" spans="1:96" ht="25.5" customHeight="1" x14ac:dyDescent="0.2">
      <c r="A317" s="410">
        <f t="shared" si="38"/>
        <v>302</v>
      </c>
      <c r="B317" s="280"/>
      <c r="C317" s="453"/>
      <c r="D317" s="411"/>
      <c r="E317" s="254"/>
      <c r="F317" s="277"/>
      <c r="G317" s="450"/>
      <c r="H317" s="451"/>
      <c r="I317" s="433" t="str">
        <f t="shared" si="32"/>
        <v/>
      </c>
      <c r="J317" s="434">
        <f t="shared" si="33"/>
        <v>0</v>
      </c>
      <c r="K317" s="452"/>
      <c r="L317" s="276"/>
      <c r="M317" s="435"/>
      <c r="N317" s="417" t="str">
        <f t="shared" si="34"/>
        <v/>
      </c>
      <c r="O317" s="418" t="str">
        <f>IF('Data Set up'!$G$40="JUNE",IF(OR($N317=7,$N317=8,$N317=9),1,IF(OR($N317=10,$N317=11,$N317=12),2,IF(OR($N317=1,$N317=2,$N317=3),3,IF(OR($N317=4,$N317=5,$N317=6),4,"")))),IF(OR($N317=9,$N317=10,$N317=11),1,IF(OR($N317=12,$N317=1,$N317=2),2,IF(OR($N317=3,$N317=4,$N317=5),3,IF(OR($N317=6,$N317=7,$N317=8),4,"")))))</f>
        <v/>
      </c>
      <c r="P317" s="445"/>
      <c r="Q317" s="291"/>
      <c r="R317" s="291"/>
      <c r="S317" s="275"/>
      <c r="T317" s="275"/>
      <c r="U317" s="275"/>
      <c r="V317" s="275"/>
      <c r="W317" s="275"/>
      <c r="X317" s="275"/>
      <c r="Y317" s="275"/>
      <c r="Z317" s="275"/>
      <c r="AA317" s="275"/>
      <c r="AB317" s="275"/>
      <c r="AC317" s="275"/>
      <c r="AD317" s="275"/>
      <c r="AE317" s="275"/>
      <c r="AF317" s="275"/>
      <c r="AG317" s="275"/>
      <c r="AH317" s="438"/>
      <c r="AI317" s="439">
        <f t="shared" si="35"/>
        <v>0</v>
      </c>
      <c r="AJ317" s="263"/>
      <c r="AK317" s="263"/>
      <c r="AL317" s="263"/>
      <c r="AM317" s="263"/>
      <c r="AN317" s="263"/>
      <c r="AO317" s="263"/>
      <c r="AP317" s="263"/>
      <c r="AQ317" s="436"/>
      <c r="AR317" s="275"/>
      <c r="AS317" s="275"/>
      <c r="AT317" s="275"/>
      <c r="AU317" s="275"/>
      <c r="AV317" s="275"/>
      <c r="AW317" s="275"/>
      <c r="AX317" s="275"/>
      <c r="AY317" s="437"/>
      <c r="AZ317" s="440">
        <f t="shared" si="36"/>
        <v>0</v>
      </c>
      <c r="BA317" s="275"/>
      <c r="BB317" s="275"/>
      <c r="BC317" s="275"/>
      <c r="BD317" s="275"/>
      <c r="BE317" s="275"/>
      <c r="BF317" s="275"/>
      <c r="BG317" s="275"/>
      <c r="BH317" s="436"/>
      <c r="BI317" s="275"/>
      <c r="BJ317" s="275"/>
      <c r="BK317" s="291"/>
      <c r="BL317" s="291"/>
      <c r="BM317" s="275"/>
      <c r="BN317" s="275"/>
      <c r="BO317" s="438"/>
      <c r="BP317" s="436"/>
      <c r="BQ317" s="275"/>
      <c r="BR317" s="275"/>
      <c r="BS317" s="275"/>
      <c r="BT317" s="275"/>
      <c r="BU317" s="275"/>
      <c r="BV317" s="275"/>
      <c r="BW317" s="275"/>
      <c r="BX317" s="438"/>
      <c r="BY317" s="436"/>
      <c r="BZ317" s="275"/>
      <c r="CA317" s="275"/>
      <c r="CB317" s="275"/>
      <c r="CC317" s="275"/>
      <c r="CD317" s="275"/>
      <c r="CE317" s="275"/>
      <c r="CF317" s="275"/>
      <c r="CG317" s="438"/>
      <c r="CH317" s="436"/>
      <c r="CI317" s="275"/>
      <c r="CJ317" s="275"/>
      <c r="CK317" s="275"/>
      <c r="CL317" s="275"/>
      <c r="CM317" s="275"/>
      <c r="CN317" s="275"/>
      <c r="CO317" s="442"/>
      <c r="CP317" s="443"/>
      <c r="CQ317" s="429">
        <f t="shared" si="37"/>
        <v>0</v>
      </c>
      <c r="CR317" s="430"/>
    </row>
    <row r="318" spans="1:96" ht="25.5" customHeight="1" x14ac:dyDescent="0.2">
      <c r="A318" s="410">
        <f t="shared" si="38"/>
        <v>303</v>
      </c>
      <c r="B318" s="280"/>
      <c r="C318" s="453"/>
      <c r="D318" s="411"/>
      <c r="E318" s="254"/>
      <c r="F318" s="277"/>
      <c r="G318" s="450"/>
      <c r="H318" s="451"/>
      <c r="I318" s="433" t="str">
        <f t="shared" si="32"/>
        <v/>
      </c>
      <c r="J318" s="434">
        <f t="shared" si="33"/>
        <v>0</v>
      </c>
      <c r="K318" s="452"/>
      <c r="L318" s="276"/>
      <c r="M318" s="435"/>
      <c r="N318" s="417" t="str">
        <f t="shared" si="34"/>
        <v/>
      </c>
      <c r="O318" s="418" t="str">
        <f>IF('Data Set up'!$G$40="JUNE",IF(OR($N318=7,$N318=8,$N318=9),1,IF(OR($N318=10,$N318=11,$N318=12),2,IF(OR($N318=1,$N318=2,$N318=3),3,IF(OR($N318=4,$N318=5,$N318=6),4,"")))),IF(OR($N318=9,$N318=10,$N318=11),1,IF(OR($N318=12,$N318=1,$N318=2),2,IF(OR($N318=3,$N318=4,$N318=5),3,IF(OR($N318=6,$N318=7,$N318=8),4,"")))))</f>
        <v/>
      </c>
      <c r="P318" s="445"/>
      <c r="Q318" s="291"/>
      <c r="R318" s="291"/>
      <c r="S318" s="275"/>
      <c r="T318" s="275"/>
      <c r="U318" s="275"/>
      <c r="V318" s="275"/>
      <c r="W318" s="275"/>
      <c r="X318" s="275"/>
      <c r="Y318" s="275"/>
      <c r="Z318" s="275"/>
      <c r="AA318" s="275"/>
      <c r="AB318" s="275"/>
      <c r="AC318" s="275"/>
      <c r="AD318" s="275"/>
      <c r="AE318" s="275"/>
      <c r="AF318" s="275"/>
      <c r="AG318" s="275"/>
      <c r="AH318" s="438"/>
      <c r="AI318" s="439">
        <f t="shared" si="35"/>
        <v>0</v>
      </c>
      <c r="AJ318" s="263"/>
      <c r="AK318" s="263"/>
      <c r="AL318" s="263"/>
      <c r="AM318" s="263"/>
      <c r="AN318" s="263"/>
      <c r="AO318" s="263"/>
      <c r="AP318" s="263"/>
      <c r="AQ318" s="436"/>
      <c r="AR318" s="275"/>
      <c r="AS318" s="275"/>
      <c r="AT318" s="275"/>
      <c r="AU318" s="275"/>
      <c r="AV318" s="275"/>
      <c r="AW318" s="275"/>
      <c r="AX318" s="275"/>
      <c r="AY318" s="437"/>
      <c r="AZ318" s="440">
        <f t="shared" si="36"/>
        <v>0</v>
      </c>
      <c r="BA318" s="275"/>
      <c r="BB318" s="275"/>
      <c r="BC318" s="275"/>
      <c r="BD318" s="275"/>
      <c r="BE318" s="275"/>
      <c r="BF318" s="275"/>
      <c r="BG318" s="275"/>
      <c r="BH318" s="436"/>
      <c r="BI318" s="275"/>
      <c r="BJ318" s="275"/>
      <c r="BK318" s="291"/>
      <c r="BL318" s="291"/>
      <c r="BM318" s="275"/>
      <c r="BN318" s="275"/>
      <c r="BO318" s="438"/>
      <c r="BP318" s="436"/>
      <c r="BQ318" s="275"/>
      <c r="BR318" s="275"/>
      <c r="BS318" s="275"/>
      <c r="BT318" s="275"/>
      <c r="BU318" s="275"/>
      <c r="BV318" s="275"/>
      <c r="BW318" s="275"/>
      <c r="BX318" s="438"/>
      <c r="BY318" s="436"/>
      <c r="BZ318" s="275"/>
      <c r="CA318" s="275"/>
      <c r="CB318" s="275"/>
      <c r="CC318" s="275"/>
      <c r="CD318" s="275"/>
      <c r="CE318" s="275"/>
      <c r="CF318" s="275"/>
      <c r="CG318" s="438"/>
      <c r="CH318" s="436"/>
      <c r="CI318" s="275"/>
      <c r="CJ318" s="275"/>
      <c r="CK318" s="275"/>
      <c r="CL318" s="275"/>
      <c r="CM318" s="275"/>
      <c r="CN318" s="275"/>
      <c r="CO318" s="442"/>
      <c r="CP318" s="443"/>
      <c r="CQ318" s="429">
        <f t="shared" si="37"/>
        <v>0</v>
      </c>
      <c r="CR318" s="430"/>
    </row>
    <row r="319" spans="1:96" ht="25.5" customHeight="1" x14ac:dyDescent="0.2">
      <c r="A319" s="410">
        <f t="shared" si="38"/>
        <v>304</v>
      </c>
      <c r="B319" s="280"/>
      <c r="C319" s="453"/>
      <c r="D319" s="411"/>
      <c r="E319" s="254"/>
      <c r="F319" s="277"/>
      <c r="G319" s="450"/>
      <c r="H319" s="451"/>
      <c r="I319" s="433" t="str">
        <f t="shared" si="32"/>
        <v/>
      </c>
      <c r="J319" s="434">
        <f t="shared" si="33"/>
        <v>0</v>
      </c>
      <c r="K319" s="452"/>
      <c r="L319" s="276"/>
      <c r="M319" s="435"/>
      <c r="N319" s="417" t="str">
        <f t="shared" si="34"/>
        <v/>
      </c>
      <c r="O319" s="418" t="str">
        <f>IF('Data Set up'!$G$40="JUNE",IF(OR($N319=7,$N319=8,$N319=9),1,IF(OR($N319=10,$N319=11,$N319=12),2,IF(OR($N319=1,$N319=2,$N319=3),3,IF(OR($N319=4,$N319=5,$N319=6),4,"")))),IF(OR($N319=9,$N319=10,$N319=11),1,IF(OR($N319=12,$N319=1,$N319=2),2,IF(OR($N319=3,$N319=4,$N319=5),3,IF(OR($N319=6,$N319=7,$N319=8),4,"")))))</f>
        <v/>
      </c>
      <c r="P319" s="445"/>
      <c r="Q319" s="291"/>
      <c r="R319" s="291"/>
      <c r="S319" s="275"/>
      <c r="T319" s="275"/>
      <c r="U319" s="275"/>
      <c r="V319" s="275"/>
      <c r="W319" s="275"/>
      <c r="X319" s="275"/>
      <c r="Y319" s="275"/>
      <c r="Z319" s="275"/>
      <c r="AA319" s="275"/>
      <c r="AB319" s="275"/>
      <c r="AC319" s="275"/>
      <c r="AD319" s="275"/>
      <c r="AE319" s="275"/>
      <c r="AF319" s="275"/>
      <c r="AG319" s="275"/>
      <c r="AH319" s="438"/>
      <c r="AI319" s="439">
        <f t="shared" si="35"/>
        <v>0</v>
      </c>
      <c r="AJ319" s="263"/>
      <c r="AK319" s="263"/>
      <c r="AL319" s="263"/>
      <c r="AM319" s="263"/>
      <c r="AN319" s="263"/>
      <c r="AO319" s="263"/>
      <c r="AP319" s="263"/>
      <c r="AQ319" s="436"/>
      <c r="AR319" s="275"/>
      <c r="AS319" s="275"/>
      <c r="AT319" s="275"/>
      <c r="AU319" s="275"/>
      <c r="AV319" s="275"/>
      <c r="AW319" s="275"/>
      <c r="AX319" s="275"/>
      <c r="AY319" s="437"/>
      <c r="AZ319" s="440">
        <f t="shared" si="36"/>
        <v>0</v>
      </c>
      <c r="BA319" s="275"/>
      <c r="BB319" s="275"/>
      <c r="BC319" s="275"/>
      <c r="BD319" s="275"/>
      <c r="BE319" s="275"/>
      <c r="BF319" s="275"/>
      <c r="BG319" s="275"/>
      <c r="BH319" s="436"/>
      <c r="BI319" s="275"/>
      <c r="BJ319" s="275"/>
      <c r="BK319" s="291"/>
      <c r="BL319" s="291"/>
      <c r="BM319" s="275"/>
      <c r="BN319" s="275"/>
      <c r="BO319" s="438"/>
      <c r="BP319" s="436"/>
      <c r="BQ319" s="275"/>
      <c r="BR319" s="275"/>
      <c r="BS319" s="275"/>
      <c r="BT319" s="275"/>
      <c r="BU319" s="275"/>
      <c r="BV319" s="275"/>
      <c r="BW319" s="275"/>
      <c r="BX319" s="438"/>
      <c r="BY319" s="436"/>
      <c r="BZ319" s="275"/>
      <c r="CA319" s="275"/>
      <c r="CB319" s="275"/>
      <c r="CC319" s="275"/>
      <c r="CD319" s="275"/>
      <c r="CE319" s="275"/>
      <c r="CF319" s="275"/>
      <c r="CG319" s="438"/>
      <c r="CH319" s="436"/>
      <c r="CI319" s="275"/>
      <c r="CJ319" s="275"/>
      <c r="CK319" s="275"/>
      <c r="CL319" s="275"/>
      <c r="CM319" s="275"/>
      <c r="CN319" s="275"/>
      <c r="CO319" s="442"/>
      <c r="CP319" s="443"/>
      <c r="CQ319" s="429">
        <f t="shared" si="37"/>
        <v>0</v>
      </c>
      <c r="CR319" s="430"/>
    </row>
    <row r="320" spans="1:96" ht="25.5" customHeight="1" x14ac:dyDescent="0.2">
      <c r="A320" s="410">
        <f t="shared" si="38"/>
        <v>305</v>
      </c>
      <c r="B320" s="280"/>
      <c r="C320" s="453"/>
      <c r="D320" s="411"/>
      <c r="E320" s="254"/>
      <c r="F320" s="277"/>
      <c r="G320" s="450"/>
      <c r="H320" s="451"/>
      <c r="I320" s="433" t="str">
        <f t="shared" si="32"/>
        <v/>
      </c>
      <c r="J320" s="434">
        <f t="shared" si="33"/>
        <v>0</v>
      </c>
      <c r="K320" s="452"/>
      <c r="L320" s="276"/>
      <c r="M320" s="435"/>
      <c r="N320" s="417" t="str">
        <f t="shared" si="34"/>
        <v/>
      </c>
      <c r="O320" s="418" t="str">
        <f>IF('Data Set up'!$G$40="JUNE",IF(OR($N320=7,$N320=8,$N320=9),1,IF(OR($N320=10,$N320=11,$N320=12),2,IF(OR($N320=1,$N320=2,$N320=3),3,IF(OR($N320=4,$N320=5,$N320=6),4,"")))),IF(OR($N320=9,$N320=10,$N320=11),1,IF(OR($N320=12,$N320=1,$N320=2),2,IF(OR($N320=3,$N320=4,$N320=5),3,IF(OR($N320=6,$N320=7,$N320=8),4,"")))))</f>
        <v/>
      </c>
      <c r="P320" s="445"/>
      <c r="Q320" s="291"/>
      <c r="R320" s="291"/>
      <c r="S320" s="275"/>
      <c r="T320" s="275"/>
      <c r="U320" s="275"/>
      <c r="V320" s="275"/>
      <c r="W320" s="275"/>
      <c r="X320" s="275"/>
      <c r="Y320" s="275"/>
      <c r="Z320" s="275"/>
      <c r="AA320" s="275"/>
      <c r="AB320" s="275"/>
      <c r="AC320" s="275"/>
      <c r="AD320" s="275"/>
      <c r="AE320" s="275"/>
      <c r="AF320" s="275"/>
      <c r="AG320" s="275"/>
      <c r="AH320" s="438"/>
      <c r="AI320" s="439">
        <f t="shared" si="35"/>
        <v>0</v>
      </c>
      <c r="AJ320" s="263"/>
      <c r="AK320" s="263"/>
      <c r="AL320" s="263"/>
      <c r="AM320" s="263"/>
      <c r="AN320" s="263"/>
      <c r="AO320" s="263"/>
      <c r="AP320" s="263"/>
      <c r="AQ320" s="436"/>
      <c r="AR320" s="275"/>
      <c r="AS320" s="275"/>
      <c r="AT320" s="275"/>
      <c r="AU320" s="275"/>
      <c r="AV320" s="275"/>
      <c r="AW320" s="275"/>
      <c r="AX320" s="275"/>
      <c r="AY320" s="437"/>
      <c r="AZ320" s="440">
        <f t="shared" si="36"/>
        <v>0</v>
      </c>
      <c r="BA320" s="275"/>
      <c r="BB320" s="275"/>
      <c r="BC320" s="275"/>
      <c r="BD320" s="275"/>
      <c r="BE320" s="275"/>
      <c r="BF320" s="275"/>
      <c r="BG320" s="275"/>
      <c r="BH320" s="436"/>
      <c r="BI320" s="275"/>
      <c r="BJ320" s="275"/>
      <c r="BK320" s="291"/>
      <c r="BL320" s="291"/>
      <c r="BM320" s="275"/>
      <c r="BN320" s="275"/>
      <c r="BO320" s="438"/>
      <c r="BP320" s="436"/>
      <c r="BQ320" s="275"/>
      <c r="BR320" s="275"/>
      <c r="BS320" s="275"/>
      <c r="BT320" s="275"/>
      <c r="BU320" s="275"/>
      <c r="BV320" s="275"/>
      <c r="BW320" s="275"/>
      <c r="BX320" s="438"/>
      <c r="BY320" s="436"/>
      <c r="BZ320" s="275"/>
      <c r="CA320" s="275"/>
      <c r="CB320" s="275"/>
      <c r="CC320" s="275"/>
      <c r="CD320" s="275"/>
      <c r="CE320" s="275"/>
      <c r="CF320" s="275"/>
      <c r="CG320" s="438"/>
      <c r="CH320" s="436"/>
      <c r="CI320" s="275"/>
      <c r="CJ320" s="275"/>
      <c r="CK320" s="275"/>
      <c r="CL320" s="275"/>
      <c r="CM320" s="275"/>
      <c r="CN320" s="275"/>
      <c r="CO320" s="442"/>
      <c r="CP320" s="443"/>
      <c r="CQ320" s="429">
        <f t="shared" si="37"/>
        <v>0</v>
      </c>
      <c r="CR320" s="430"/>
    </row>
    <row r="321" spans="1:96" ht="25.5" customHeight="1" x14ac:dyDescent="0.2">
      <c r="A321" s="410">
        <f t="shared" si="38"/>
        <v>306</v>
      </c>
      <c r="B321" s="280"/>
      <c r="C321" s="453"/>
      <c r="D321" s="411"/>
      <c r="E321" s="254"/>
      <c r="F321" s="277"/>
      <c r="G321" s="450"/>
      <c r="H321" s="451"/>
      <c r="I321" s="433" t="str">
        <f t="shared" si="32"/>
        <v/>
      </c>
      <c r="J321" s="434">
        <f t="shared" si="33"/>
        <v>0</v>
      </c>
      <c r="K321" s="452"/>
      <c r="L321" s="276"/>
      <c r="M321" s="435"/>
      <c r="N321" s="417" t="str">
        <f t="shared" si="34"/>
        <v/>
      </c>
      <c r="O321" s="418" t="str">
        <f>IF('Data Set up'!$G$40="JUNE",IF(OR($N321=7,$N321=8,$N321=9),1,IF(OR($N321=10,$N321=11,$N321=12),2,IF(OR($N321=1,$N321=2,$N321=3),3,IF(OR($N321=4,$N321=5,$N321=6),4,"")))),IF(OR($N321=9,$N321=10,$N321=11),1,IF(OR($N321=12,$N321=1,$N321=2),2,IF(OR($N321=3,$N321=4,$N321=5),3,IF(OR($N321=6,$N321=7,$N321=8),4,"")))))</f>
        <v/>
      </c>
      <c r="P321" s="445"/>
      <c r="Q321" s="291"/>
      <c r="R321" s="291"/>
      <c r="S321" s="275"/>
      <c r="T321" s="275"/>
      <c r="U321" s="275"/>
      <c r="V321" s="275"/>
      <c r="W321" s="275"/>
      <c r="X321" s="275"/>
      <c r="Y321" s="275"/>
      <c r="Z321" s="275"/>
      <c r="AA321" s="275"/>
      <c r="AB321" s="275"/>
      <c r="AC321" s="275"/>
      <c r="AD321" s="275"/>
      <c r="AE321" s="275"/>
      <c r="AF321" s="275"/>
      <c r="AG321" s="275"/>
      <c r="AH321" s="438"/>
      <c r="AI321" s="439">
        <f t="shared" si="35"/>
        <v>0</v>
      </c>
      <c r="AJ321" s="263"/>
      <c r="AK321" s="263"/>
      <c r="AL321" s="263"/>
      <c r="AM321" s="263"/>
      <c r="AN321" s="263"/>
      <c r="AO321" s="263"/>
      <c r="AP321" s="263"/>
      <c r="AQ321" s="436"/>
      <c r="AR321" s="275"/>
      <c r="AS321" s="275"/>
      <c r="AT321" s="275"/>
      <c r="AU321" s="275"/>
      <c r="AV321" s="275"/>
      <c r="AW321" s="275"/>
      <c r="AX321" s="275"/>
      <c r="AY321" s="437"/>
      <c r="AZ321" s="440">
        <f t="shared" si="36"/>
        <v>0</v>
      </c>
      <c r="BA321" s="275"/>
      <c r="BB321" s="275"/>
      <c r="BC321" s="275"/>
      <c r="BD321" s="275"/>
      <c r="BE321" s="275"/>
      <c r="BF321" s="275"/>
      <c r="BG321" s="275"/>
      <c r="BH321" s="436"/>
      <c r="BI321" s="275"/>
      <c r="BJ321" s="275"/>
      <c r="BK321" s="291"/>
      <c r="BL321" s="291"/>
      <c r="BM321" s="275"/>
      <c r="BN321" s="275"/>
      <c r="BO321" s="438"/>
      <c r="BP321" s="436"/>
      <c r="BQ321" s="275"/>
      <c r="BR321" s="275"/>
      <c r="BS321" s="275"/>
      <c r="BT321" s="275"/>
      <c r="BU321" s="275"/>
      <c r="BV321" s="275"/>
      <c r="BW321" s="275"/>
      <c r="BX321" s="438"/>
      <c r="BY321" s="436"/>
      <c r="BZ321" s="275"/>
      <c r="CA321" s="275"/>
      <c r="CB321" s="275"/>
      <c r="CC321" s="275"/>
      <c r="CD321" s="275"/>
      <c r="CE321" s="275"/>
      <c r="CF321" s="275"/>
      <c r="CG321" s="438"/>
      <c r="CH321" s="436"/>
      <c r="CI321" s="275"/>
      <c r="CJ321" s="275"/>
      <c r="CK321" s="275"/>
      <c r="CL321" s="275"/>
      <c r="CM321" s="275"/>
      <c r="CN321" s="275"/>
      <c r="CO321" s="442"/>
      <c r="CP321" s="443"/>
      <c r="CQ321" s="429">
        <f t="shared" si="37"/>
        <v>0</v>
      </c>
      <c r="CR321" s="430"/>
    </row>
    <row r="322" spans="1:96" ht="25.5" customHeight="1" x14ac:dyDescent="0.2">
      <c r="A322" s="410">
        <f t="shared" si="38"/>
        <v>307</v>
      </c>
      <c r="B322" s="280"/>
      <c r="C322" s="453"/>
      <c r="D322" s="411"/>
      <c r="E322" s="254"/>
      <c r="F322" s="277"/>
      <c r="G322" s="450"/>
      <c r="H322" s="451"/>
      <c r="I322" s="433" t="str">
        <f t="shared" si="32"/>
        <v/>
      </c>
      <c r="J322" s="434">
        <f t="shared" si="33"/>
        <v>0</v>
      </c>
      <c r="K322" s="452"/>
      <c r="L322" s="276"/>
      <c r="M322" s="435"/>
      <c r="N322" s="417" t="str">
        <f t="shared" si="34"/>
        <v/>
      </c>
      <c r="O322" s="418" t="str">
        <f>IF('Data Set up'!$G$40="JUNE",IF(OR($N322=7,$N322=8,$N322=9),1,IF(OR($N322=10,$N322=11,$N322=12),2,IF(OR($N322=1,$N322=2,$N322=3),3,IF(OR($N322=4,$N322=5,$N322=6),4,"")))),IF(OR($N322=9,$N322=10,$N322=11),1,IF(OR($N322=12,$N322=1,$N322=2),2,IF(OR($N322=3,$N322=4,$N322=5),3,IF(OR($N322=6,$N322=7,$N322=8),4,"")))))</f>
        <v/>
      </c>
      <c r="P322" s="445"/>
      <c r="Q322" s="291"/>
      <c r="R322" s="291"/>
      <c r="S322" s="275"/>
      <c r="T322" s="275"/>
      <c r="U322" s="275"/>
      <c r="V322" s="275"/>
      <c r="W322" s="275"/>
      <c r="X322" s="275"/>
      <c r="Y322" s="275"/>
      <c r="Z322" s="275"/>
      <c r="AA322" s="275"/>
      <c r="AB322" s="275"/>
      <c r="AC322" s="275"/>
      <c r="AD322" s="275"/>
      <c r="AE322" s="275"/>
      <c r="AF322" s="275"/>
      <c r="AG322" s="275"/>
      <c r="AH322" s="438"/>
      <c r="AI322" s="439">
        <f t="shared" si="35"/>
        <v>0</v>
      </c>
      <c r="AJ322" s="263"/>
      <c r="AK322" s="263"/>
      <c r="AL322" s="263"/>
      <c r="AM322" s="263"/>
      <c r="AN322" s="263"/>
      <c r="AO322" s="263"/>
      <c r="AP322" s="263"/>
      <c r="AQ322" s="436"/>
      <c r="AR322" s="275"/>
      <c r="AS322" s="275"/>
      <c r="AT322" s="275"/>
      <c r="AU322" s="275"/>
      <c r="AV322" s="275"/>
      <c r="AW322" s="275"/>
      <c r="AX322" s="275"/>
      <c r="AY322" s="437"/>
      <c r="AZ322" s="440">
        <f t="shared" si="36"/>
        <v>0</v>
      </c>
      <c r="BA322" s="275"/>
      <c r="BB322" s="275"/>
      <c r="BC322" s="275"/>
      <c r="BD322" s="275"/>
      <c r="BE322" s="275"/>
      <c r="BF322" s="275"/>
      <c r="BG322" s="275"/>
      <c r="BH322" s="436"/>
      <c r="BI322" s="275"/>
      <c r="BJ322" s="275"/>
      <c r="BK322" s="291"/>
      <c r="BL322" s="291"/>
      <c r="BM322" s="275"/>
      <c r="BN322" s="275"/>
      <c r="BO322" s="438"/>
      <c r="BP322" s="436"/>
      <c r="BQ322" s="275"/>
      <c r="BR322" s="275"/>
      <c r="BS322" s="275"/>
      <c r="BT322" s="275"/>
      <c r="BU322" s="275"/>
      <c r="BV322" s="275"/>
      <c r="BW322" s="275"/>
      <c r="BX322" s="438"/>
      <c r="BY322" s="436"/>
      <c r="BZ322" s="275"/>
      <c r="CA322" s="275"/>
      <c r="CB322" s="275"/>
      <c r="CC322" s="275"/>
      <c r="CD322" s="275"/>
      <c r="CE322" s="275"/>
      <c r="CF322" s="275"/>
      <c r="CG322" s="438"/>
      <c r="CH322" s="436"/>
      <c r="CI322" s="275"/>
      <c r="CJ322" s="275"/>
      <c r="CK322" s="275"/>
      <c r="CL322" s="275"/>
      <c r="CM322" s="275"/>
      <c r="CN322" s="275"/>
      <c r="CO322" s="442"/>
      <c r="CP322" s="443"/>
      <c r="CQ322" s="429">
        <f t="shared" si="37"/>
        <v>0</v>
      </c>
      <c r="CR322" s="430"/>
    </row>
    <row r="323" spans="1:96" ht="25.5" customHeight="1" x14ac:dyDescent="0.2">
      <c r="A323" s="410">
        <f t="shared" si="38"/>
        <v>308</v>
      </c>
      <c r="B323" s="280"/>
      <c r="C323" s="453"/>
      <c r="D323" s="411"/>
      <c r="E323" s="254"/>
      <c r="F323" s="277"/>
      <c r="G323" s="450"/>
      <c r="H323" s="451"/>
      <c r="I323" s="433" t="str">
        <f t="shared" si="32"/>
        <v/>
      </c>
      <c r="J323" s="434">
        <f t="shared" si="33"/>
        <v>0</v>
      </c>
      <c r="K323" s="452"/>
      <c r="L323" s="276"/>
      <c r="M323" s="435"/>
      <c r="N323" s="417" t="str">
        <f t="shared" si="34"/>
        <v/>
      </c>
      <c r="O323" s="418" t="str">
        <f>IF('Data Set up'!$G$40="JUNE",IF(OR($N323=7,$N323=8,$N323=9),1,IF(OR($N323=10,$N323=11,$N323=12),2,IF(OR($N323=1,$N323=2,$N323=3),3,IF(OR($N323=4,$N323=5,$N323=6),4,"")))),IF(OR($N323=9,$N323=10,$N323=11),1,IF(OR($N323=12,$N323=1,$N323=2),2,IF(OR($N323=3,$N323=4,$N323=5),3,IF(OR($N323=6,$N323=7,$N323=8),4,"")))))</f>
        <v/>
      </c>
      <c r="P323" s="445"/>
      <c r="Q323" s="291"/>
      <c r="R323" s="291"/>
      <c r="S323" s="275"/>
      <c r="T323" s="275"/>
      <c r="U323" s="275"/>
      <c r="V323" s="275"/>
      <c r="W323" s="275"/>
      <c r="X323" s="275"/>
      <c r="Y323" s="275"/>
      <c r="Z323" s="275"/>
      <c r="AA323" s="275"/>
      <c r="AB323" s="275"/>
      <c r="AC323" s="275"/>
      <c r="AD323" s="275"/>
      <c r="AE323" s="275"/>
      <c r="AF323" s="275"/>
      <c r="AG323" s="275"/>
      <c r="AH323" s="438"/>
      <c r="AI323" s="439">
        <f t="shared" si="35"/>
        <v>0</v>
      </c>
      <c r="AJ323" s="263"/>
      <c r="AK323" s="263"/>
      <c r="AL323" s="263"/>
      <c r="AM323" s="263"/>
      <c r="AN323" s="263"/>
      <c r="AO323" s="263"/>
      <c r="AP323" s="263"/>
      <c r="AQ323" s="436"/>
      <c r="AR323" s="275"/>
      <c r="AS323" s="275"/>
      <c r="AT323" s="275"/>
      <c r="AU323" s="275"/>
      <c r="AV323" s="275"/>
      <c r="AW323" s="275"/>
      <c r="AX323" s="275"/>
      <c r="AY323" s="437"/>
      <c r="AZ323" s="440">
        <f t="shared" si="36"/>
        <v>0</v>
      </c>
      <c r="BA323" s="275"/>
      <c r="BB323" s="275"/>
      <c r="BC323" s="275"/>
      <c r="BD323" s="275"/>
      <c r="BE323" s="275"/>
      <c r="BF323" s="275"/>
      <c r="BG323" s="275"/>
      <c r="BH323" s="436"/>
      <c r="BI323" s="275"/>
      <c r="BJ323" s="275"/>
      <c r="BK323" s="291"/>
      <c r="BL323" s="291"/>
      <c r="BM323" s="275"/>
      <c r="BN323" s="275"/>
      <c r="BO323" s="438"/>
      <c r="BP323" s="436"/>
      <c r="BQ323" s="275"/>
      <c r="BR323" s="275"/>
      <c r="BS323" s="275"/>
      <c r="BT323" s="275"/>
      <c r="BU323" s="275"/>
      <c r="BV323" s="275"/>
      <c r="BW323" s="275"/>
      <c r="BX323" s="438"/>
      <c r="BY323" s="436"/>
      <c r="BZ323" s="275"/>
      <c r="CA323" s="275"/>
      <c r="CB323" s="275"/>
      <c r="CC323" s="275"/>
      <c r="CD323" s="275"/>
      <c r="CE323" s="275"/>
      <c r="CF323" s="275"/>
      <c r="CG323" s="438"/>
      <c r="CH323" s="436"/>
      <c r="CI323" s="275"/>
      <c r="CJ323" s="275"/>
      <c r="CK323" s="275"/>
      <c r="CL323" s="275"/>
      <c r="CM323" s="275"/>
      <c r="CN323" s="275"/>
      <c r="CO323" s="442"/>
      <c r="CP323" s="443"/>
      <c r="CQ323" s="429">
        <f t="shared" si="37"/>
        <v>0</v>
      </c>
      <c r="CR323" s="430"/>
    </row>
    <row r="324" spans="1:96" ht="25.5" customHeight="1" x14ac:dyDescent="0.2">
      <c r="A324" s="410">
        <f t="shared" si="38"/>
        <v>309</v>
      </c>
      <c r="B324" s="280"/>
      <c r="C324" s="453"/>
      <c r="D324" s="411"/>
      <c r="E324" s="254"/>
      <c r="F324" s="277"/>
      <c r="G324" s="450"/>
      <c r="H324" s="451"/>
      <c r="I324" s="433" t="str">
        <f t="shared" si="32"/>
        <v/>
      </c>
      <c r="J324" s="434">
        <f t="shared" si="33"/>
        <v>0</v>
      </c>
      <c r="K324" s="452"/>
      <c r="L324" s="276"/>
      <c r="M324" s="435"/>
      <c r="N324" s="417" t="str">
        <f t="shared" si="34"/>
        <v/>
      </c>
      <c r="O324" s="418" t="str">
        <f>IF('Data Set up'!$G$40="JUNE",IF(OR($N324=7,$N324=8,$N324=9),1,IF(OR($N324=10,$N324=11,$N324=12),2,IF(OR($N324=1,$N324=2,$N324=3),3,IF(OR($N324=4,$N324=5,$N324=6),4,"")))),IF(OR($N324=9,$N324=10,$N324=11),1,IF(OR($N324=12,$N324=1,$N324=2),2,IF(OR($N324=3,$N324=4,$N324=5),3,IF(OR($N324=6,$N324=7,$N324=8),4,"")))))</f>
        <v/>
      </c>
      <c r="P324" s="445"/>
      <c r="Q324" s="291"/>
      <c r="R324" s="291"/>
      <c r="S324" s="275"/>
      <c r="T324" s="275"/>
      <c r="U324" s="275"/>
      <c r="V324" s="275"/>
      <c r="W324" s="275"/>
      <c r="X324" s="275"/>
      <c r="Y324" s="275"/>
      <c r="Z324" s="275"/>
      <c r="AA324" s="275"/>
      <c r="AB324" s="275"/>
      <c r="AC324" s="275"/>
      <c r="AD324" s="275"/>
      <c r="AE324" s="275"/>
      <c r="AF324" s="275"/>
      <c r="AG324" s="275"/>
      <c r="AH324" s="438"/>
      <c r="AI324" s="439">
        <f t="shared" si="35"/>
        <v>0</v>
      </c>
      <c r="AJ324" s="263"/>
      <c r="AK324" s="263"/>
      <c r="AL324" s="263"/>
      <c r="AM324" s="263"/>
      <c r="AN324" s="263"/>
      <c r="AO324" s="263"/>
      <c r="AP324" s="263"/>
      <c r="AQ324" s="436"/>
      <c r="AR324" s="275"/>
      <c r="AS324" s="275"/>
      <c r="AT324" s="275"/>
      <c r="AU324" s="275"/>
      <c r="AV324" s="275"/>
      <c r="AW324" s="275"/>
      <c r="AX324" s="275"/>
      <c r="AY324" s="437"/>
      <c r="AZ324" s="440">
        <f t="shared" si="36"/>
        <v>0</v>
      </c>
      <c r="BA324" s="275"/>
      <c r="BB324" s="275"/>
      <c r="BC324" s="275"/>
      <c r="BD324" s="275"/>
      <c r="BE324" s="275"/>
      <c r="BF324" s="275"/>
      <c r="BG324" s="275"/>
      <c r="BH324" s="436"/>
      <c r="BI324" s="275"/>
      <c r="BJ324" s="275"/>
      <c r="BK324" s="291"/>
      <c r="BL324" s="291"/>
      <c r="BM324" s="275"/>
      <c r="BN324" s="275"/>
      <c r="BO324" s="438"/>
      <c r="BP324" s="436"/>
      <c r="BQ324" s="275"/>
      <c r="BR324" s="275"/>
      <c r="BS324" s="275"/>
      <c r="BT324" s="275"/>
      <c r="BU324" s="275"/>
      <c r="BV324" s="275"/>
      <c r="BW324" s="275"/>
      <c r="BX324" s="438"/>
      <c r="BY324" s="436"/>
      <c r="BZ324" s="275"/>
      <c r="CA324" s="275"/>
      <c r="CB324" s="275"/>
      <c r="CC324" s="275"/>
      <c r="CD324" s="275"/>
      <c r="CE324" s="275"/>
      <c r="CF324" s="275"/>
      <c r="CG324" s="438"/>
      <c r="CH324" s="436"/>
      <c r="CI324" s="275"/>
      <c r="CJ324" s="275"/>
      <c r="CK324" s="275"/>
      <c r="CL324" s="275"/>
      <c r="CM324" s="275"/>
      <c r="CN324" s="275"/>
      <c r="CO324" s="442"/>
      <c r="CP324" s="443"/>
      <c r="CQ324" s="429">
        <f t="shared" si="37"/>
        <v>0</v>
      </c>
      <c r="CR324" s="430"/>
    </row>
    <row r="325" spans="1:96" ht="25.5" customHeight="1" x14ac:dyDescent="0.2">
      <c r="A325" s="410">
        <f t="shared" si="38"/>
        <v>310</v>
      </c>
      <c r="B325" s="280"/>
      <c r="C325" s="453"/>
      <c r="D325" s="411"/>
      <c r="E325" s="254"/>
      <c r="F325" s="277"/>
      <c r="G325" s="450"/>
      <c r="H325" s="451"/>
      <c r="I325" s="433" t="str">
        <f t="shared" si="32"/>
        <v/>
      </c>
      <c r="J325" s="434">
        <f t="shared" si="33"/>
        <v>0</v>
      </c>
      <c r="K325" s="452"/>
      <c r="L325" s="276"/>
      <c r="M325" s="435"/>
      <c r="N325" s="417" t="str">
        <f t="shared" si="34"/>
        <v/>
      </c>
      <c r="O325" s="418" t="str">
        <f>IF('Data Set up'!$G$40="JUNE",IF(OR($N325=7,$N325=8,$N325=9),1,IF(OR($N325=10,$N325=11,$N325=12),2,IF(OR($N325=1,$N325=2,$N325=3),3,IF(OR($N325=4,$N325=5,$N325=6),4,"")))),IF(OR($N325=9,$N325=10,$N325=11),1,IF(OR($N325=12,$N325=1,$N325=2),2,IF(OR($N325=3,$N325=4,$N325=5),3,IF(OR($N325=6,$N325=7,$N325=8),4,"")))))</f>
        <v/>
      </c>
      <c r="P325" s="445"/>
      <c r="Q325" s="291"/>
      <c r="R325" s="291"/>
      <c r="S325" s="275"/>
      <c r="T325" s="275"/>
      <c r="U325" s="275"/>
      <c r="V325" s="275"/>
      <c r="W325" s="275"/>
      <c r="X325" s="275"/>
      <c r="Y325" s="275"/>
      <c r="Z325" s="275"/>
      <c r="AA325" s="275"/>
      <c r="AB325" s="275"/>
      <c r="AC325" s="275"/>
      <c r="AD325" s="275"/>
      <c r="AE325" s="275"/>
      <c r="AF325" s="275"/>
      <c r="AG325" s="275"/>
      <c r="AH325" s="438"/>
      <c r="AI325" s="439">
        <f t="shared" si="35"/>
        <v>0</v>
      </c>
      <c r="AJ325" s="263"/>
      <c r="AK325" s="263"/>
      <c r="AL325" s="263"/>
      <c r="AM325" s="263"/>
      <c r="AN325" s="263"/>
      <c r="AO325" s="263"/>
      <c r="AP325" s="263"/>
      <c r="AQ325" s="436"/>
      <c r="AR325" s="275"/>
      <c r="AS325" s="275"/>
      <c r="AT325" s="275"/>
      <c r="AU325" s="275"/>
      <c r="AV325" s="275"/>
      <c r="AW325" s="275"/>
      <c r="AX325" s="275"/>
      <c r="AY325" s="437"/>
      <c r="AZ325" s="440">
        <f t="shared" si="36"/>
        <v>0</v>
      </c>
      <c r="BA325" s="275"/>
      <c r="BB325" s="275"/>
      <c r="BC325" s="275"/>
      <c r="BD325" s="275"/>
      <c r="BE325" s="275"/>
      <c r="BF325" s="275"/>
      <c r="BG325" s="275"/>
      <c r="BH325" s="436"/>
      <c r="BI325" s="275"/>
      <c r="BJ325" s="275"/>
      <c r="BK325" s="291"/>
      <c r="BL325" s="291"/>
      <c r="BM325" s="275"/>
      <c r="BN325" s="275"/>
      <c r="BO325" s="438"/>
      <c r="BP325" s="436"/>
      <c r="BQ325" s="275"/>
      <c r="BR325" s="275"/>
      <c r="BS325" s="275"/>
      <c r="BT325" s="275"/>
      <c r="BU325" s="275"/>
      <c r="BV325" s="275"/>
      <c r="BW325" s="275"/>
      <c r="BX325" s="438"/>
      <c r="BY325" s="436"/>
      <c r="BZ325" s="275"/>
      <c r="CA325" s="275"/>
      <c r="CB325" s="275"/>
      <c r="CC325" s="275"/>
      <c r="CD325" s="275"/>
      <c r="CE325" s="275"/>
      <c r="CF325" s="275"/>
      <c r="CG325" s="438"/>
      <c r="CH325" s="436"/>
      <c r="CI325" s="275"/>
      <c r="CJ325" s="275"/>
      <c r="CK325" s="275"/>
      <c r="CL325" s="275"/>
      <c r="CM325" s="275"/>
      <c r="CN325" s="275"/>
      <c r="CO325" s="442"/>
      <c r="CP325" s="443"/>
      <c r="CQ325" s="429">
        <f t="shared" si="37"/>
        <v>0</v>
      </c>
      <c r="CR325" s="430"/>
    </row>
    <row r="326" spans="1:96" ht="25.5" customHeight="1" x14ac:dyDescent="0.2">
      <c r="A326" s="410">
        <f t="shared" si="38"/>
        <v>311</v>
      </c>
      <c r="B326" s="280"/>
      <c r="C326" s="453"/>
      <c r="D326" s="411"/>
      <c r="E326" s="254"/>
      <c r="F326" s="277"/>
      <c r="G326" s="450"/>
      <c r="H326" s="451"/>
      <c r="I326" s="433" t="str">
        <f t="shared" si="32"/>
        <v/>
      </c>
      <c r="J326" s="434">
        <f t="shared" si="33"/>
        <v>0</v>
      </c>
      <c r="K326" s="452"/>
      <c r="L326" s="276"/>
      <c r="M326" s="435"/>
      <c r="N326" s="417" t="str">
        <f t="shared" si="34"/>
        <v/>
      </c>
      <c r="O326" s="418" t="str">
        <f>IF('Data Set up'!$G$40="JUNE",IF(OR($N326=7,$N326=8,$N326=9),1,IF(OR($N326=10,$N326=11,$N326=12),2,IF(OR($N326=1,$N326=2,$N326=3),3,IF(OR($N326=4,$N326=5,$N326=6),4,"")))),IF(OR($N326=9,$N326=10,$N326=11),1,IF(OR($N326=12,$N326=1,$N326=2),2,IF(OR($N326=3,$N326=4,$N326=5),3,IF(OR($N326=6,$N326=7,$N326=8),4,"")))))</f>
        <v/>
      </c>
      <c r="P326" s="445"/>
      <c r="Q326" s="291"/>
      <c r="R326" s="291"/>
      <c r="S326" s="275"/>
      <c r="T326" s="275"/>
      <c r="U326" s="275"/>
      <c r="V326" s="275"/>
      <c r="W326" s="275"/>
      <c r="X326" s="275"/>
      <c r="Y326" s="275"/>
      <c r="Z326" s="275"/>
      <c r="AA326" s="275"/>
      <c r="AB326" s="275"/>
      <c r="AC326" s="275"/>
      <c r="AD326" s="275"/>
      <c r="AE326" s="275"/>
      <c r="AF326" s="275"/>
      <c r="AG326" s="275"/>
      <c r="AH326" s="438"/>
      <c r="AI326" s="439">
        <f t="shared" si="35"/>
        <v>0</v>
      </c>
      <c r="AJ326" s="263"/>
      <c r="AK326" s="263"/>
      <c r="AL326" s="263"/>
      <c r="AM326" s="263"/>
      <c r="AN326" s="263"/>
      <c r="AO326" s="263"/>
      <c r="AP326" s="263"/>
      <c r="AQ326" s="436"/>
      <c r="AR326" s="275"/>
      <c r="AS326" s="275"/>
      <c r="AT326" s="275"/>
      <c r="AU326" s="275"/>
      <c r="AV326" s="275"/>
      <c r="AW326" s="275"/>
      <c r="AX326" s="275"/>
      <c r="AY326" s="437"/>
      <c r="AZ326" s="440">
        <f t="shared" si="36"/>
        <v>0</v>
      </c>
      <c r="BA326" s="275"/>
      <c r="BB326" s="275"/>
      <c r="BC326" s="275"/>
      <c r="BD326" s="275"/>
      <c r="BE326" s="275"/>
      <c r="BF326" s="275"/>
      <c r="BG326" s="275"/>
      <c r="BH326" s="436"/>
      <c r="BI326" s="275"/>
      <c r="BJ326" s="275"/>
      <c r="BK326" s="291"/>
      <c r="BL326" s="291"/>
      <c r="BM326" s="275"/>
      <c r="BN326" s="275"/>
      <c r="BO326" s="438"/>
      <c r="BP326" s="436"/>
      <c r="BQ326" s="275"/>
      <c r="BR326" s="275"/>
      <c r="BS326" s="275"/>
      <c r="BT326" s="275"/>
      <c r="BU326" s="275"/>
      <c r="BV326" s="275"/>
      <c r="BW326" s="275"/>
      <c r="BX326" s="438"/>
      <c r="BY326" s="436"/>
      <c r="BZ326" s="275"/>
      <c r="CA326" s="275"/>
      <c r="CB326" s="275"/>
      <c r="CC326" s="275"/>
      <c r="CD326" s="275"/>
      <c r="CE326" s="275"/>
      <c r="CF326" s="275"/>
      <c r="CG326" s="438"/>
      <c r="CH326" s="436"/>
      <c r="CI326" s="275"/>
      <c r="CJ326" s="275"/>
      <c r="CK326" s="275"/>
      <c r="CL326" s="275"/>
      <c r="CM326" s="275"/>
      <c r="CN326" s="275"/>
      <c r="CO326" s="442"/>
      <c r="CP326" s="443"/>
      <c r="CQ326" s="429">
        <f t="shared" si="37"/>
        <v>0</v>
      </c>
      <c r="CR326" s="430"/>
    </row>
    <row r="327" spans="1:96" ht="25.5" customHeight="1" x14ac:dyDescent="0.2">
      <c r="A327" s="410">
        <f t="shared" si="38"/>
        <v>312</v>
      </c>
      <c r="B327" s="280"/>
      <c r="C327" s="453"/>
      <c r="D327" s="411"/>
      <c r="E327" s="254"/>
      <c r="F327" s="277"/>
      <c r="G327" s="450"/>
      <c r="H327" s="451"/>
      <c r="I327" s="433" t="str">
        <f t="shared" si="32"/>
        <v/>
      </c>
      <c r="J327" s="434">
        <f t="shared" si="33"/>
        <v>0</v>
      </c>
      <c r="K327" s="452"/>
      <c r="L327" s="276"/>
      <c r="M327" s="435"/>
      <c r="N327" s="417" t="str">
        <f t="shared" si="34"/>
        <v/>
      </c>
      <c r="O327" s="418" t="str">
        <f>IF('Data Set up'!$G$40="JUNE",IF(OR($N327=7,$N327=8,$N327=9),1,IF(OR($N327=10,$N327=11,$N327=12),2,IF(OR($N327=1,$N327=2,$N327=3),3,IF(OR($N327=4,$N327=5,$N327=6),4,"")))),IF(OR($N327=9,$N327=10,$N327=11),1,IF(OR($N327=12,$N327=1,$N327=2),2,IF(OR($N327=3,$N327=4,$N327=5),3,IF(OR($N327=6,$N327=7,$N327=8),4,"")))))</f>
        <v/>
      </c>
      <c r="P327" s="445"/>
      <c r="Q327" s="291"/>
      <c r="R327" s="291"/>
      <c r="S327" s="275"/>
      <c r="T327" s="275"/>
      <c r="U327" s="275"/>
      <c r="V327" s="275"/>
      <c r="W327" s="275"/>
      <c r="X327" s="275"/>
      <c r="Y327" s="275"/>
      <c r="Z327" s="275"/>
      <c r="AA327" s="275"/>
      <c r="AB327" s="275"/>
      <c r="AC327" s="275"/>
      <c r="AD327" s="275"/>
      <c r="AE327" s="275"/>
      <c r="AF327" s="275"/>
      <c r="AG327" s="275"/>
      <c r="AH327" s="438"/>
      <c r="AI327" s="439">
        <f t="shared" si="35"/>
        <v>0</v>
      </c>
      <c r="AJ327" s="263"/>
      <c r="AK327" s="263"/>
      <c r="AL327" s="263"/>
      <c r="AM327" s="263"/>
      <c r="AN327" s="263"/>
      <c r="AO327" s="263"/>
      <c r="AP327" s="263"/>
      <c r="AQ327" s="436"/>
      <c r="AR327" s="275"/>
      <c r="AS327" s="275"/>
      <c r="AT327" s="275"/>
      <c r="AU327" s="275"/>
      <c r="AV327" s="275"/>
      <c r="AW327" s="275"/>
      <c r="AX327" s="275"/>
      <c r="AY327" s="437"/>
      <c r="AZ327" s="440">
        <f t="shared" si="36"/>
        <v>0</v>
      </c>
      <c r="BA327" s="275"/>
      <c r="BB327" s="275"/>
      <c r="BC327" s="275"/>
      <c r="BD327" s="275"/>
      <c r="BE327" s="275"/>
      <c r="BF327" s="275"/>
      <c r="BG327" s="275"/>
      <c r="BH327" s="436"/>
      <c r="BI327" s="275"/>
      <c r="BJ327" s="275"/>
      <c r="BK327" s="291"/>
      <c r="BL327" s="291"/>
      <c r="BM327" s="275"/>
      <c r="BN327" s="275"/>
      <c r="BO327" s="438"/>
      <c r="BP327" s="436"/>
      <c r="BQ327" s="275"/>
      <c r="BR327" s="275"/>
      <c r="BS327" s="275"/>
      <c r="BT327" s="275"/>
      <c r="BU327" s="275"/>
      <c r="BV327" s="275"/>
      <c r="BW327" s="275"/>
      <c r="BX327" s="438"/>
      <c r="BY327" s="436"/>
      <c r="BZ327" s="275"/>
      <c r="CA327" s="275"/>
      <c r="CB327" s="275"/>
      <c r="CC327" s="275"/>
      <c r="CD327" s="275"/>
      <c r="CE327" s="275"/>
      <c r="CF327" s="275"/>
      <c r="CG327" s="438"/>
      <c r="CH327" s="436"/>
      <c r="CI327" s="275"/>
      <c r="CJ327" s="275"/>
      <c r="CK327" s="275"/>
      <c r="CL327" s="275"/>
      <c r="CM327" s="275"/>
      <c r="CN327" s="275"/>
      <c r="CO327" s="442"/>
      <c r="CP327" s="443"/>
      <c r="CQ327" s="429">
        <f t="shared" si="37"/>
        <v>0</v>
      </c>
      <c r="CR327" s="430"/>
    </row>
    <row r="328" spans="1:96" ht="25.5" customHeight="1" x14ac:dyDescent="0.2">
      <c r="A328" s="410">
        <f t="shared" si="38"/>
        <v>313</v>
      </c>
      <c r="B328" s="280"/>
      <c r="C328" s="453"/>
      <c r="D328" s="411"/>
      <c r="E328" s="254"/>
      <c r="F328" s="277"/>
      <c r="G328" s="450"/>
      <c r="H328" s="451"/>
      <c r="I328" s="433" t="str">
        <f t="shared" si="32"/>
        <v/>
      </c>
      <c r="J328" s="434">
        <f t="shared" si="33"/>
        <v>0</v>
      </c>
      <c r="K328" s="452"/>
      <c r="L328" s="276"/>
      <c r="M328" s="435"/>
      <c r="N328" s="417" t="str">
        <f t="shared" si="34"/>
        <v/>
      </c>
      <c r="O328" s="418" t="str">
        <f>IF('Data Set up'!$G$40="JUNE",IF(OR($N328=7,$N328=8,$N328=9),1,IF(OR($N328=10,$N328=11,$N328=12),2,IF(OR($N328=1,$N328=2,$N328=3),3,IF(OR($N328=4,$N328=5,$N328=6),4,"")))),IF(OR($N328=9,$N328=10,$N328=11),1,IF(OR($N328=12,$N328=1,$N328=2),2,IF(OR($N328=3,$N328=4,$N328=5),3,IF(OR($N328=6,$N328=7,$N328=8),4,"")))))</f>
        <v/>
      </c>
      <c r="P328" s="445"/>
      <c r="Q328" s="291"/>
      <c r="R328" s="291"/>
      <c r="S328" s="275"/>
      <c r="T328" s="275"/>
      <c r="U328" s="275"/>
      <c r="V328" s="275"/>
      <c r="W328" s="275"/>
      <c r="X328" s="275"/>
      <c r="Y328" s="275"/>
      <c r="Z328" s="275"/>
      <c r="AA328" s="275"/>
      <c r="AB328" s="275"/>
      <c r="AC328" s="275"/>
      <c r="AD328" s="275"/>
      <c r="AE328" s="275"/>
      <c r="AF328" s="275"/>
      <c r="AG328" s="275"/>
      <c r="AH328" s="438"/>
      <c r="AI328" s="439">
        <f t="shared" si="35"/>
        <v>0</v>
      </c>
      <c r="AJ328" s="263"/>
      <c r="AK328" s="263"/>
      <c r="AL328" s="263"/>
      <c r="AM328" s="263"/>
      <c r="AN328" s="263"/>
      <c r="AO328" s="263"/>
      <c r="AP328" s="263"/>
      <c r="AQ328" s="436"/>
      <c r="AR328" s="275"/>
      <c r="AS328" s="275"/>
      <c r="AT328" s="275"/>
      <c r="AU328" s="275"/>
      <c r="AV328" s="275"/>
      <c r="AW328" s="275"/>
      <c r="AX328" s="275"/>
      <c r="AY328" s="437"/>
      <c r="AZ328" s="440">
        <f t="shared" si="36"/>
        <v>0</v>
      </c>
      <c r="BA328" s="275"/>
      <c r="BB328" s="275"/>
      <c r="BC328" s="275"/>
      <c r="BD328" s="275"/>
      <c r="BE328" s="275"/>
      <c r="BF328" s="275"/>
      <c r="BG328" s="275"/>
      <c r="BH328" s="436"/>
      <c r="BI328" s="275"/>
      <c r="BJ328" s="275"/>
      <c r="BK328" s="291"/>
      <c r="BL328" s="291"/>
      <c r="BM328" s="275"/>
      <c r="BN328" s="275"/>
      <c r="BO328" s="438"/>
      <c r="BP328" s="436"/>
      <c r="BQ328" s="275"/>
      <c r="BR328" s="275"/>
      <c r="BS328" s="275"/>
      <c r="BT328" s="275"/>
      <c r="BU328" s="275"/>
      <c r="BV328" s="275"/>
      <c r="BW328" s="275"/>
      <c r="BX328" s="438"/>
      <c r="BY328" s="436"/>
      <c r="BZ328" s="275"/>
      <c r="CA328" s="275"/>
      <c r="CB328" s="275"/>
      <c r="CC328" s="275"/>
      <c r="CD328" s="275"/>
      <c r="CE328" s="275"/>
      <c r="CF328" s="275"/>
      <c r="CG328" s="438"/>
      <c r="CH328" s="436"/>
      <c r="CI328" s="275"/>
      <c r="CJ328" s="275"/>
      <c r="CK328" s="275"/>
      <c r="CL328" s="275"/>
      <c r="CM328" s="275"/>
      <c r="CN328" s="275"/>
      <c r="CO328" s="442"/>
      <c r="CP328" s="443"/>
      <c r="CQ328" s="429">
        <f t="shared" si="37"/>
        <v>0</v>
      </c>
      <c r="CR328" s="430"/>
    </row>
    <row r="329" spans="1:96" ht="25.5" customHeight="1" x14ac:dyDescent="0.2">
      <c r="A329" s="410">
        <f t="shared" si="38"/>
        <v>314</v>
      </c>
      <c r="B329" s="280"/>
      <c r="C329" s="453"/>
      <c r="D329" s="411"/>
      <c r="E329" s="254"/>
      <c r="F329" s="277"/>
      <c r="G329" s="450"/>
      <c r="H329" s="451"/>
      <c r="I329" s="433" t="str">
        <f t="shared" si="32"/>
        <v/>
      </c>
      <c r="J329" s="434">
        <f t="shared" si="33"/>
        <v>0</v>
      </c>
      <c r="K329" s="452"/>
      <c r="L329" s="276"/>
      <c r="M329" s="435"/>
      <c r="N329" s="417" t="str">
        <f t="shared" si="34"/>
        <v/>
      </c>
      <c r="O329" s="418" t="str">
        <f>IF('Data Set up'!$G$40="JUNE",IF(OR($N329=7,$N329=8,$N329=9),1,IF(OR($N329=10,$N329=11,$N329=12),2,IF(OR($N329=1,$N329=2,$N329=3),3,IF(OR($N329=4,$N329=5,$N329=6),4,"")))),IF(OR($N329=9,$N329=10,$N329=11),1,IF(OR($N329=12,$N329=1,$N329=2),2,IF(OR($N329=3,$N329=4,$N329=5),3,IF(OR($N329=6,$N329=7,$N329=8),4,"")))))</f>
        <v/>
      </c>
      <c r="P329" s="445"/>
      <c r="Q329" s="291"/>
      <c r="R329" s="291"/>
      <c r="S329" s="275"/>
      <c r="T329" s="275"/>
      <c r="U329" s="275"/>
      <c r="V329" s="275"/>
      <c r="W329" s="275"/>
      <c r="X329" s="275"/>
      <c r="Y329" s="275"/>
      <c r="Z329" s="275"/>
      <c r="AA329" s="275"/>
      <c r="AB329" s="275"/>
      <c r="AC329" s="275"/>
      <c r="AD329" s="275"/>
      <c r="AE329" s="275"/>
      <c r="AF329" s="275"/>
      <c r="AG329" s="275"/>
      <c r="AH329" s="438"/>
      <c r="AI329" s="439">
        <f t="shared" si="35"/>
        <v>0</v>
      </c>
      <c r="AJ329" s="263"/>
      <c r="AK329" s="263"/>
      <c r="AL329" s="263"/>
      <c r="AM329" s="263"/>
      <c r="AN329" s="263"/>
      <c r="AO329" s="263"/>
      <c r="AP329" s="263"/>
      <c r="AQ329" s="436"/>
      <c r="AR329" s="275"/>
      <c r="AS329" s="275"/>
      <c r="AT329" s="275"/>
      <c r="AU329" s="275"/>
      <c r="AV329" s="275"/>
      <c r="AW329" s="275"/>
      <c r="AX329" s="275"/>
      <c r="AY329" s="437"/>
      <c r="AZ329" s="440">
        <f t="shared" si="36"/>
        <v>0</v>
      </c>
      <c r="BA329" s="275"/>
      <c r="BB329" s="275"/>
      <c r="BC329" s="275"/>
      <c r="BD329" s="275"/>
      <c r="BE329" s="275"/>
      <c r="BF329" s="275"/>
      <c r="BG329" s="275"/>
      <c r="BH329" s="436"/>
      <c r="BI329" s="275"/>
      <c r="BJ329" s="275"/>
      <c r="BK329" s="291"/>
      <c r="BL329" s="291"/>
      <c r="BM329" s="275"/>
      <c r="BN329" s="275"/>
      <c r="BO329" s="438"/>
      <c r="BP329" s="436"/>
      <c r="BQ329" s="275"/>
      <c r="BR329" s="275"/>
      <c r="BS329" s="275"/>
      <c r="BT329" s="275"/>
      <c r="BU329" s="275"/>
      <c r="BV329" s="275"/>
      <c r="BW329" s="275"/>
      <c r="BX329" s="438"/>
      <c r="BY329" s="436"/>
      <c r="BZ329" s="275"/>
      <c r="CA329" s="275"/>
      <c r="CB329" s="275"/>
      <c r="CC329" s="275"/>
      <c r="CD329" s="275"/>
      <c r="CE329" s="275"/>
      <c r="CF329" s="275"/>
      <c r="CG329" s="438"/>
      <c r="CH329" s="436"/>
      <c r="CI329" s="275"/>
      <c r="CJ329" s="275"/>
      <c r="CK329" s="275"/>
      <c r="CL329" s="275"/>
      <c r="CM329" s="275"/>
      <c r="CN329" s="275"/>
      <c r="CO329" s="442"/>
      <c r="CP329" s="443"/>
      <c r="CQ329" s="429">
        <f t="shared" si="37"/>
        <v>0</v>
      </c>
      <c r="CR329" s="430"/>
    </row>
    <row r="330" spans="1:96" ht="25.5" customHeight="1" x14ac:dyDescent="0.2">
      <c r="A330" s="410">
        <f t="shared" si="38"/>
        <v>315</v>
      </c>
      <c r="B330" s="280"/>
      <c r="C330" s="453"/>
      <c r="D330" s="411"/>
      <c r="E330" s="254"/>
      <c r="F330" s="277"/>
      <c r="G330" s="450"/>
      <c r="H330" s="451"/>
      <c r="I330" s="433" t="str">
        <f t="shared" si="32"/>
        <v/>
      </c>
      <c r="J330" s="434">
        <f t="shared" si="33"/>
        <v>0</v>
      </c>
      <c r="K330" s="452"/>
      <c r="L330" s="276"/>
      <c r="M330" s="435"/>
      <c r="N330" s="417" t="str">
        <f t="shared" si="34"/>
        <v/>
      </c>
      <c r="O330" s="418" t="str">
        <f>IF('Data Set up'!$G$40="JUNE",IF(OR($N330=7,$N330=8,$N330=9),1,IF(OR($N330=10,$N330=11,$N330=12),2,IF(OR($N330=1,$N330=2,$N330=3),3,IF(OR($N330=4,$N330=5,$N330=6),4,"")))),IF(OR($N330=9,$N330=10,$N330=11),1,IF(OR($N330=12,$N330=1,$N330=2),2,IF(OR($N330=3,$N330=4,$N330=5),3,IF(OR($N330=6,$N330=7,$N330=8),4,"")))))</f>
        <v/>
      </c>
      <c r="P330" s="445"/>
      <c r="Q330" s="291"/>
      <c r="R330" s="291"/>
      <c r="S330" s="275"/>
      <c r="T330" s="275"/>
      <c r="U330" s="275"/>
      <c r="V330" s="275"/>
      <c r="W330" s="275"/>
      <c r="X330" s="275"/>
      <c r="Y330" s="275"/>
      <c r="Z330" s="275"/>
      <c r="AA330" s="275"/>
      <c r="AB330" s="275"/>
      <c r="AC330" s="275"/>
      <c r="AD330" s="275"/>
      <c r="AE330" s="275"/>
      <c r="AF330" s="275"/>
      <c r="AG330" s="275"/>
      <c r="AH330" s="438"/>
      <c r="AI330" s="439">
        <f t="shared" si="35"/>
        <v>0</v>
      </c>
      <c r="AJ330" s="263"/>
      <c r="AK330" s="263"/>
      <c r="AL330" s="263"/>
      <c r="AM330" s="263"/>
      <c r="AN330" s="263"/>
      <c r="AO330" s="263"/>
      <c r="AP330" s="263"/>
      <c r="AQ330" s="436"/>
      <c r="AR330" s="275"/>
      <c r="AS330" s="275"/>
      <c r="AT330" s="275"/>
      <c r="AU330" s="275"/>
      <c r="AV330" s="275"/>
      <c r="AW330" s="275"/>
      <c r="AX330" s="275"/>
      <c r="AY330" s="437"/>
      <c r="AZ330" s="440">
        <f t="shared" si="36"/>
        <v>0</v>
      </c>
      <c r="BA330" s="275"/>
      <c r="BB330" s="275"/>
      <c r="BC330" s="275"/>
      <c r="BD330" s="275"/>
      <c r="BE330" s="275"/>
      <c r="BF330" s="275"/>
      <c r="BG330" s="275"/>
      <c r="BH330" s="436"/>
      <c r="BI330" s="275"/>
      <c r="BJ330" s="275"/>
      <c r="BK330" s="291"/>
      <c r="BL330" s="291"/>
      <c r="BM330" s="275"/>
      <c r="BN330" s="275"/>
      <c r="BO330" s="438"/>
      <c r="BP330" s="436"/>
      <c r="BQ330" s="275"/>
      <c r="BR330" s="275"/>
      <c r="BS330" s="275"/>
      <c r="BT330" s="275"/>
      <c r="BU330" s="275"/>
      <c r="BV330" s="275"/>
      <c r="BW330" s="275"/>
      <c r="BX330" s="438"/>
      <c r="BY330" s="436"/>
      <c r="BZ330" s="275"/>
      <c r="CA330" s="275"/>
      <c r="CB330" s="275"/>
      <c r="CC330" s="275"/>
      <c r="CD330" s="275"/>
      <c r="CE330" s="275"/>
      <c r="CF330" s="275"/>
      <c r="CG330" s="438"/>
      <c r="CH330" s="436"/>
      <c r="CI330" s="275"/>
      <c r="CJ330" s="275"/>
      <c r="CK330" s="275"/>
      <c r="CL330" s="275"/>
      <c r="CM330" s="275"/>
      <c r="CN330" s="275"/>
      <c r="CO330" s="442"/>
      <c r="CP330" s="443"/>
      <c r="CQ330" s="429">
        <f t="shared" si="37"/>
        <v>0</v>
      </c>
      <c r="CR330" s="430"/>
    </row>
    <row r="331" spans="1:96" ht="25.5" customHeight="1" x14ac:dyDescent="0.2">
      <c r="A331" s="410">
        <f t="shared" si="38"/>
        <v>316</v>
      </c>
      <c r="B331" s="280"/>
      <c r="C331" s="453"/>
      <c r="D331" s="411"/>
      <c r="E331" s="254"/>
      <c r="F331" s="277"/>
      <c r="G331" s="450"/>
      <c r="H331" s="451"/>
      <c r="I331" s="433" t="str">
        <f t="shared" si="32"/>
        <v/>
      </c>
      <c r="J331" s="434">
        <f t="shared" si="33"/>
        <v>0</v>
      </c>
      <c r="K331" s="452"/>
      <c r="L331" s="276"/>
      <c r="M331" s="435"/>
      <c r="N331" s="417" t="str">
        <f t="shared" si="34"/>
        <v/>
      </c>
      <c r="O331" s="418" t="str">
        <f>IF('Data Set up'!$G$40="JUNE",IF(OR($N331=7,$N331=8,$N331=9),1,IF(OR($N331=10,$N331=11,$N331=12),2,IF(OR($N331=1,$N331=2,$N331=3),3,IF(OR($N331=4,$N331=5,$N331=6),4,"")))),IF(OR($N331=9,$N331=10,$N331=11),1,IF(OR($N331=12,$N331=1,$N331=2),2,IF(OR($N331=3,$N331=4,$N331=5),3,IF(OR($N331=6,$N331=7,$N331=8),4,"")))))</f>
        <v/>
      </c>
      <c r="P331" s="445"/>
      <c r="Q331" s="291"/>
      <c r="R331" s="291"/>
      <c r="S331" s="275"/>
      <c r="T331" s="275"/>
      <c r="U331" s="275"/>
      <c r="V331" s="275"/>
      <c r="W331" s="275"/>
      <c r="X331" s="275"/>
      <c r="Y331" s="275"/>
      <c r="Z331" s="275"/>
      <c r="AA331" s="275"/>
      <c r="AB331" s="275"/>
      <c r="AC331" s="275"/>
      <c r="AD331" s="275"/>
      <c r="AE331" s="275"/>
      <c r="AF331" s="275"/>
      <c r="AG331" s="275"/>
      <c r="AH331" s="438"/>
      <c r="AI331" s="439">
        <f t="shared" si="35"/>
        <v>0</v>
      </c>
      <c r="AJ331" s="263"/>
      <c r="AK331" s="263"/>
      <c r="AL331" s="263"/>
      <c r="AM331" s="263"/>
      <c r="AN331" s="263"/>
      <c r="AO331" s="263"/>
      <c r="AP331" s="263"/>
      <c r="AQ331" s="436"/>
      <c r="AR331" s="275"/>
      <c r="AS331" s="275"/>
      <c r="AT331" s="275"/>
      <c r="AU331" s="275"/>
      <c r="AV331" s="275"/>
      <c r="AW331" s="275"/>
      <c r="AX331" s="275"/>
      <c r="AY331" s="437"/>
      <c r="AZ331" s="440">
        <f t="shared" si="36"/>
        <v>0</v>
      </c>
      <c r="BA331" s="275"/>
      <c r="BB331" s="275"/>
      <c r="BC331" s="275"/>
      <c r="BD331" s="275"/>
      <c r="BE331" s="275"/>
      <c r="BF331" s="275"/>
      <c r="BG331" s="275"/>
      <c r="BH331" s="436"/>
      <c r="BI331" s="275"/>
      <c r="BJ331" s="275"/>
      <c r="BK331" s="291"/>
      <c r="BL331" s="291"/>
      <c r="BM331" s="275"/>
      <c r="BN331" s="275"/>
      <c r="BO331" s="438"/>
      <c r="BP331" s="436"/>
      <c r="BQ331" s="275"/>
      <c r="BR331" s="275"/>
      <c r="BS331" s="275"/>
      <c r="BT331" s="275"/>
      <c r="BU331" s="275"/>
      <c r="BV331" s="275"/>
      <c r="BW331" s="275"/>
      <c r="BX331" s="438"/>
      <c r="BY331" s="436"/>
      <c r="BZ331" s="275"/>
      <c r="CA331" s="275"/>
      <c r="CB331" s="275"/>
      <c r="CC331" s="275"/>
      <c r="CD331" s="275"/>
      <c r="CE331" s="275"/>
      <c r="CF331" s="275"/>
      <c r="CG331" s="438"/>
      <c r="CH331" s="436"/>
      <c r="CI331" s="275"/>
      <c r="CJ331" s="275"/>
      <c r="CK331" s="275"/>
      <c r="CL331" s="275"/>
      <c r="CM331" s="275"/>
      <c r="CN331" s="275"/>
      <c r="CO331" s="442"/>
      <c r="CP331" s="443"/>
      <c r="CQ331" s="429">
        <f t="shared" si="37"/>
        <v>0</v>
      </c>
      <c r="CR331" s="430"/>
    </row>
    <row r="332" spans="1:96" ht="25.5" customHeight="1" x14ac:dyDescent="0.2">
      <c r="A332" s="410">
        <f t="shared" si="38"/>
        <v>317</v>
      </c>
      <c r="B332" s="280"/>
      <c r="C332" s="453"/>
      <c r="D332" s="411"/>
      <c r="E332" s="254"/>
      <c r="F332" s="277"/>
      <c r="G332" s="450"/>
      <c r="H332" s="451"/>
      <c r="I332" s="433" t="str">
        <f t="shared" si="32"/>
        <v/>
      </c>
      <c r="J332" s="434">
        <f t="shared" si="33"/>
        <v>0</v>
      </c>
      <c r="K332" s="452"/>
      <c r="L332" s="276"/>
      <c r="M332" s="435"/>
      <c r="N332" s="417" t="str">
        <f t="shared" si="34"/>
        <v/>
      </c>
      <c r="O332" s="418" t="str">
        <f>IF('Data Set up'!$G$40="JUNE",IF(OR($N332=7,$N332=8,$N332=9),1,IF(OR($N332=10,$N332=11,$N332=12),2,IF(OR($N332=1,$N332=2,$N332=3),3,IF(OR($N332=4,$N332=5,$N332=6),4,"")))),IF(OR($N332=9,$N332=10,$N332=11),1,IF(OR($N332=12,$N332=1,$N332=2),2,IF(OR($N332=3,$N332=4,$N332=5),3,IF(OR($N332=6,$N332=7,$N332=8),4,"")))))</f>
        <v/>
      </c>
      <c r="P332" s="445"/>
      <c r="Q332" s="291"/>
      <c r="R332" s="291"/>
      <c r="S332" s="275"/>
      <c r="T332" s="275"/>
      <c r="U332" s="275"/>
      <c r="V332" s="275"/>
      <c r="W332" s="275"/>
      <c r="X332" s="275"/>
      <c r="Y332" s="275"/>
      <c r="Z332" s="275"/>
      <c r="AA332" s="275"/>
      <c r="AB332" s="275"/>
      <c r="AC332" s="275"/>
      <c r="AD332" s="275"/>
      <c r="AE332" s="275"/>
      <c r="AF332" s="275"/>
      <c r="AG332" s="275"/>
      <c r="AH332" s="438"/>
      <c r="AI332" s="439">
        <f t="shared" si="35"/>
        <v>0</v>
      </c>
      <c r="AJ332" s="263"/>
      <c r="AK332" s="263"/>
      <c r="AL332" s="263"/>
      <c r="AM332" s="263"/>
      <c r="AN332" s="263"/>
      <c r="AO332" s="263"/>
      <c r="AP332" s="263"/>
      <c r="AQ332" s="436"/>
      <c r="AR332" s="275"/>
      <c r="AS332" s="275"/>
      <c r="AT332" s="275"/>
      <c r="AU332" s="275"/>
      <c r="AV332" s="275"/>
      <c r="AW332" s="275"/>
      <c r="AX332" s="275"/>
      <c r="AY332" s="437"/>
      <c r="AZ332" s="440">
        <f t="shared" si="36"/>
        <v>0</v>
      </c>
      <c r="BA332" s="275"/>
      <c r="BB332" s="275"/>
      <c r="BC332" s="275"/>
      <c r="BD332" s="275"/>
      <c r="BE332" s="275"/>
      <c r="BF332" s="275"/>
      <c r="BG332" s="275"/>
      <c r="BH332" s="436"/>
      <c r="BI332" s="275"/>
      <c r="BJ332" s="275"/>
      <c r="BK332" s="291"/>
      <c r="BL332" s="291"/>
      <c r="BM332" s="275"/>
      <c r="BN332" s="275"/>
      <c r="BO332" s="438"/>
      <c r="BP332" s="436"/>
      <c r="BQ332" s="275"/>
      <c r="BR332" s="275"/>
      <c r="BS332" s="275"/>
      <c r="BT332" s="275"/>
      <c r="BU332" s="275"/>
      <c r="BV332" s="275"/>
      <c r="BW332" s="275"/>
      <c r="BX332" s="438"/>
      <c r="BY332" s="436"/>
      <c r="BZ332" s="275"/>
      <c r="CA332" s="275"/>
      <c r="CB332" s="275"/>
      <c r="CC332" s="275"/>
      <c r="CD332" s="275"/>
      <c r="CE332" s="275"/>
      <c r="CF332" s="275"/>
      <c r="CG332" s="438"/>
      <c r="CH332" s="436"/>
      <c r="CI332" s="275"/>
      <c r="CJ332" s="275"/>
      <c r="CK332" s="275"/>
      <c r="CL332" s="275"/>
      <c r="CM332" s="275"/>
      <c r="CN332" s="275"/>
      <c r="CO332" s="442"/>
      <c r="CP332" s="443"/>
      <c r="CQ332" s="429">
        <f t="shared" si="37"/>
        <v>0</v>
      </c>
      <c r="CR332" s="430"/>
    </row>
    <row r="333" spans="1:96" ht="25.5" customHeight="1" x14ac:dyDescent="0.2">
      <c r="A333" s="410">
        <f t="shared" si="38"/>
        <v>318</v>
      </c>
      <c r="B333" s="280"/>
      <c r="C333" s="453"/>
      <c r="D333" s="411"/>
      <c r="E333" s="254"/>
      <c r="F333" s="277"/>
      <c r="G333" s="450"/>
      <c r="H333" s="451"/>
      <c r="I333" s="433" t="str">
        <f t="shared" si="32"/>
        <v/>
      </c>
      <c r="J333" s="434">
        <f t="shared" si="33"/>
        <v>0</v>
      </c>
      <c r="K333" s="452"/>
      <c r="L333" s="276"/>
      <c r="M333" s="435"/>
      <c r="N333" s="417" t="str">
        <f t="shared" si="34"/>
        <v/>
      </c>
      <c r="O333" s="418" t="str">
        <f>IF('Data Set up'!$G$40="JUNE",IF(OR($N333=7,$N333=8,$N333=9),1,IF(OR($N333=10,$N333=11,$N333=12),2,IF(OR($N333=1,$N333=2,$N333=3),3,IF(OR($N333=4,$N333=5,$N333=6),4,"")))),IF(OR($N333=9,$N333=10,$N333=11),1,IF(OR($N333=12,$N333=1,$N333=2),2,IF(OR($N333=3,$N333=4,$N333=5),3,IF(OR($N333=6,$N333=7,$N333=8),4,"")))))</f>
        <v/>
      </c>
      <c r="P333" s="445"/>
      <c r="Q333" s="291"/>
      <c r="R333" s="291"/>
      <c r="S333" s="275"/>
      <c r="T333" s="275"/>
      <c r="U333" s="275"/>
      <c r="V333" s="275"/>
      <c r="W333" s="275"/>
      <c r="X333" s="275"/>
      <c r="Y333" s="275"/>
      <c r="Z333" s="275"/>
      <c r="AA333" s="275"/>
      <c r="AB333" s="275"/>
      <c r="AC333" s="275"/>
      <c r="AD333" s="275"/>
      <c r="AE333" s="275"/>
      <c r="AF333" s="275"/>
      <c r="AG333" s="275"/>
      <c r="AH333" s="438"/>
      <c r="AI333" s="439">
        <f t="shared" si="35"/>
        <v>0</v>
      </c>
      <c r="AJ333" s="263"/>
      <c r="AK333" s="263"/>
      <c r="AL333" s="263"/>
      <c r="AM333" s="263"/>
      <c r="AN333" s="263"/>
      <c r="AO333" s="263"/>
      <c r="AP333" s="263"/>
      <c r="AQ333" s="436"/>
      <c r="AR333" s="275"/>
      <c r="AS333" s="275"/>
      <c r="AT333" s="275"/>
      <c r="AU333" s="275"/>
      <c r="AV333" s="275"/>
      <c r="AW333" s="275"/>
      <c r="AX333" s="275"/>
      <c r="AY333" s="437"/>
      <c r="AZ333" s="440">
        <f t="shared" si="36"/>
        <v>0</v>
      </c>
      <c r="BA333" s="275"/>
      <c r="BB333" s="275"/>
      <c r="BC333" s="275"/>
      <c r="BD333" s="275"/>
      <c r="BE333" s="275"/>
      <c r="BF333" s="275"/>
      <c r="BG333" s="275"/>
      <c r="BH333" s="436"/>
      <c r="BI333" s="275"/>
      <c r="BJ333" s="275"/>
      <c r="BK333" s="291"/>
      <c r="BL333" s="291"/>
      <c r="BM333" s="275"/>
      <c r="BN333" s="275"/>
      <c r="BO333" s="438"/>
      <c r="BP333" s="436"/>
      <c r="BQ333" s="275"/>
      <c r="BR333" s="275"/>
      <c r="BS333" s="275"/>
      <c r="BT333" s="275"/>
      <c r="BU333" s="275"/>
      <c r="BV333" s="275"/>
      <c r="BW333" s="275"/>
      <c r="BX333" s="438"/>
      <c r="BY333" s="436"/>
      <c r="BZ333" s="275"/>
      <c r="CA333" s="275"/>
      <c r="CB333" s="275"/>
      <c r="CC333" s="275"/>
      <c r="CD333" s="275"/>
      <c r="CE333" s="275"/>
      <c r="CF333" s="275"/>
      <c r="CG333" s="438"/>
      <c r="CH333" s="436"/>
      <c r="CI333" s="275"/>
      <c r="CJ333" s="275"/>
      <c r="CK333" s="275"/>
      <c r="CL333" s="275"/>
      <c r="CM333" s="275"/>
      <c r="CN333" s="275"/>
      <c r="CO333" s="442"/>
      <c r="CP333" s="443"/>
      <c r="CQ333" s="429">
        <f t="shared" si="37"/>
        <v>0</v>
      </c>
      <c r="CR333" s="430"/>
    </row>
    <row r="334" spans="1:96" ht="25.5" customHeight="1" x14ac:dyDescent="0.2">
      <c r="A334" s="410">
        <f t="shared" si="38"/>
        <v>319</v>
      </c>
      <c r="B334" s="280"/>
      <c r="C334" s="453"/>
      <c r="D334" s="411"/>
      <c r="E334" s="254"/>
      <c r="F334" s="277"/>
      <c r="G334" s="450"/>
      <c r="H334" s="451"/>
      <c r="I334" s="433" t="str">
        <f t="shared" si="32"/>
        <v/>
      </c>
      <c r="J334" s="434">
        <f t="shared" si="33"/>
        <v>0</v>
      </c>
      <c r="K334" s="452"/>
      <c r="L334" s="276"/>
      <c r="M334" s="435"/>
      <c r="N334" s="417" t="str">
        <f t="shared" si="34"/>
        <v/>
      </c>
      <c r="O334" s="418" t="str">
        <f>IF('Data Set up'!$G$40="JUNE",IF(OR($N334=7,$N334=8,$N334=9),1,IF(OR($N334=10,$N334=11,$N334=12),2,IF(OR($N334=1,$N334=2,$N334=3),3,IF(OR($N334=4,$N334=5,$N334=6),4,"")))),IF(OR($N334=9,$N334=10,$N334=11),1,IF(OR($N334=12,$N334=1,$N334=2),2,IF(OR($N334=3,$N334=4,$N334=5),3,IF(OR($N334=6,$N334=7,$N334=8),4,"")))))</f>
        <v/>
      </c>
      <c r="P334" s="445"/>
      <c r="Q334" s="291"/>
      <c r="R334" s="291"/>
      <c r="S334" s="275"/>
      <c r="T334" s="275"/>
      <c r="U334" s="275"/>
      <c r="V334" s="275"/>
      <c r="W334" s="275"/>
      <c r="X334" s="275"/>
      <c r="Y334" s="275"/>
      <c r="Z334" s="275"/>
      <c r="AA334" s="275"/>
      <c r="AB334" s="275"/>
      <c r="AC334" s="275"/>
      <c r="AD334" s="275"/>
      <c r="AE334" s="275"/>
      <c r="AF334" s="275"/>
      <c r="AG334" s="275"/>
      <c r="AH334" s="438"/>
      <c r="AI334" s="439">
        <f t="shared" si="35"/>
        <v>0</v>
      </c>
      <c r="AJ334" s="263"/>
      <c r="AK334" s="263"/>
      <c r="AL334" s="263"/>
      <c r="AM334" s="263"/>
      <c r="AN334" s="263"/>
      <c r="AO334" s="263"/>
      <c r="AP334" s="263"/>
      <c r="AQ334" s="436"/>
      <c r="AR334" s="275"/>
      <c r="AS334" s="275"/>
      <c r="AT334" s="275"/>
      <c r="AU334" s="275"/>
      <c r="AV334" s="275"/>
      <c r="AW334" s="275"/>
      <c r="AX334" s="275"/>
      <c r="AY334" s="437"/>
      <c r="AZ334" s="440">
        <f t="shared" si="36"/>
        <v>0</v>
      </c>
      <c r="BA334" s="275"/>
      <c r="BB334" s="275"/>
      <c r="BC334" s="275"/>
      <c r="BD334" s="275"/>
      <c r="BE334" s="275"/>
      <c r="BF334" s="275"/>
      <c r="BG334" s="275"/>
      <c r="BH334" s="436"/>
      <c r="BI334" s="275"/>
      <c r="BJ334" s="275"/>
      <c r="BK334" s="291"/>
      <c r="BL334" s="291"/>
      <c r="BM334" s="275"/>
      <c r="BN334" s="275"/>
      <c r="BO334" s="438"/>
      <c r="BP334" s="436"/>
      <c r="BQ334" s="275"/>
      <c r="BR334" s="275"/>
      <c r="BS334" s="275"/>
      <c r="BT334" s="275"/>
      <c r="BU334" s="275"/>
      <c r="BV334" s="275"/>
      <c r="BW334" s="275"/>
      <c r="BX334" s="438"/>
      <c r="BY334" s="436"/>
      <c r="BZ334" s="275"/>
      <c r="CA334" s="275"/>
      <c r="CB334" s="275"/>
      <c r="CC334" s="275"/>
      <c r="CD334" s="275"/>
      <c r="CE334" s="275"/>
      <c r="CF334" s="275"/>
      <c r="CG334" s="438"/>
      <c r="CH334" s="436"/>
      <c r="CI334" s="275"/>
      <c r="CJ334" s="275"/>
      <c r="CK334" s="275"/>
      <c r="CL334" s="275"/>
      <c r="CM334" s="275"/>
      <c r="CN334" s="275"/>
      <c r="CO334" s="442"/>
      <c r="CP334" s="443"/>
      <c r="CQ334" s="429">
        <f t="shared" si="37"/>
        <v>0</v>
      </c>
      <c r="CR334" s="430"/>
    </row>
    <row r="335" spans="1:96" ht="25.5" customHeight="1" x14ac:dyDescent="0.2">
      <c r="A335" s="410">
        <f t="shared" si="38"/>
        <v>320</v>
      </c>
      <c r="B335" s="280"/>
      <c r="C335" s="453"/>
      <c r="D335" s="411"/>
      <c r="E335" s="254"/>
      <c r="F335" s="277"/>
      <c r="G335" s="450"/>
      <c r="H335" s="451"/>
      <c r="I335" s="433" t="str">
        <f t="shared" si="32"/>
        <v/>
      </c>
      <c r="J335" s="434">
        <f t="shared" si="33"/>
        <v>0</v>
      </c>
      <c r="K335" s="452"/>
      <c r="L335" s="276"/>
      <c r="M335" s="435"/>
      <c r="N335" s="417" t="str">
        <f t="shared" si="34"/>
        <v/>
      </c>
      <c r="O335" s="418" t="str">
        <f>IF('Data Set up'!$G$40="JUNE",IF(OR($N335=7,$N335=8,$N335=9),1,IF(OR($N335=10,$N335=11,$N335=12),2,IF(OR($N335=1,$N335=2,$N335=3),3,IF(OR($N335=4,$N335=5,$N335=6),4,"")))),IF(OR($N335=9,$N335=10,$N335=11),1,IF(OR($N335=12,$N335=1,$N335=2),2,IF(OR($N335=3,$N335=4,$N335=5),3,IF(OR($N335=6,$N335=7,$N335=8),4,"")))))</f>
        <v/>
      </c>
      <c r="P335" s="445"/>
      <c r="Q335" s="291"/>
      <c r="R335" s="291"/>
      <c r="S335" s="275"/>
      <c r="T335" s="275"/>
      <c r="U335" s="275"/>
      <c r="V335" s="275"/>
      <c r="W335" s="275"/>
      <c r="X335" s="275"/>
      <c r="Y335" s="275"/>
      <c r="Z335" s="275"/>
      <c r="AA335" s="275"/>
      <c r="AB335" s="275"/>
      <c r="AC335" s="275"/>
      <c r="AD335" s="275"/>
      <c r="AE335" s="275"/>
      <c r="AF335" s="275"/>
      <c r="AG335" s="275"/>
      <c r="AH335" s="438"/>
      <c r="AI335" s="439">
        <f t="shared" si="35"/>
        <v>0</v>
      </c>
      <c r="AJ335" s="263"/>
      <c r="AK335" s="263"/>
      <c r="AL335" s="263"/>
      <c r="AM335" s="263"/>
      <c r="AN335" s="263"/>
      <c r="AO335" s="263"/>
      <c r="AP335" s="263"/>
      <c r="AQ335" s="436"/>
      <c r="AR335" s="275"/>
      <c r="AS335" s="275"/>
      <c r="AT335" s="275"/>
      <c r="AU335" s="275"/>
      <c r="AV335" s="275"/>
      <c r="AW335" s="275"/>
      <c r="AX335" s="275"/>
      <c r="AY335" s="437"/>
      <c r="AZ335" s="440">
        <f t="shared" si="36"/>
        <v>0</v>
      </c>
      <c r="BA335" s="275"/>
      <c r="BB335" s="275"/>
      <c r="BC335" s="275"/>
      <c r="BD335" s="275"/>
      <c r="BE335" s="275"/>
      <c r="BF335" s="275"/>
      <c r="BG335" s="275"/>
      <c r="BH335" s="436"/>
      <c r="BI335" s="275"/>
      <c r="BJ335" s="275"/>
      <c r="BK335" s="291"/>
      <c r="BL335" s="291"/>
      <c r="BM335" s="275"/>
      <c r="BN335" s="275"/>
      <c r="BO335" s="438"/>
      <c r="BP335" s="436"/>
      <c r="BQ335" s="275"/>
      <c r="BR335" s="275"/>
      <c r="BS335" s="275"/>
      <c r="BT335" s="275"/>
      <c r="BU335" s="275"/>
      <c r="BV335" s="275"/>
      <c r="BW335" s="275"/>
      <c r="BX335" s="438"/>
      <c r="BY335" s="436"/>
      <c r="BZ335" s="275"/>
      <c r="CA335" s="275"/>
      <c r="CB335" s="275"/>
      <c r="CC335" s="275"/>
      <c r="CD335" s="275"/>
      <c r="CE335" s="275"/>
      <c r="CF335" s="275"/>
      <c r="CG335" s="438"/>
      <c r="CH335" s="436"/>
      <c r="CI335" s="275"/>
      <c r="CJ335" s="275"/>
      <c r="CK335" s="275"/>
      <c r="CL335" s="275"/>
      <c r="CM335" s="275"/>
      <c r="CN335" s="275"/>
      <c r="CO335" s="442"/>
      <c r="CP335" s="443"/>
      <c r="CQ335" s="429">
        <f t="shared" si="37"/>
        <v>0</v>
      </c>
      <c r="CR335" s="430"/>
    </row>
    <row r="336" spans="1:96" ht="25.5" customHeight="1" x14ac:dyDescent="0.2">
      <c r="A336" s="410">
        <f t="shared" si="38"/>
        <v>321</v>
      </c>
      <c r="B336" s="280"/>
      <c r="C336" s="453"/>
      <c r="D336" s="411"/>
      <c r="E336" s="254"/>
      <c r="F336" s="277"/>
      <c r="G336" s="450"/>
      <c r="H336" s="451"/>
      <c r="I336" s="433" t="str">
        <f t="shared" ref="I336:I399" si="39">LEFT(H336,4)</f>
        <v/>
      </c>
      <c r="J336" s="434">
        <f t="shared" ref="J336:J399" si="40">G336-CQ336</f>
        <v>0</v>
      </c>
      <c r="K336" s="452"/>
      <c r="L336" s="276"/>
      <c r="M336" s="435"/>
      <c r="N336" s="417" t="str">
        <f t="shared" ref="N336:N399" si="41">IF($E336="","",MONTH($E336))</f>
        <v/>
      </c>
      <c r="O336" s="418" t="str">
        <f>IF('Data Set up'!$G$40="JUNE",IF(OR($N336=7,$N336=8,$N336=9),1,IF(OR($N336=10,$N336=11,$N336=12),2,IF(OR($N336=1,$N336=2,$N336=3),3,IF(OR($N336=4,$N336=5,$N336=6),4,"")))),IF(OR($N336=9,$N336=10,$N336=11),1,IF(OR($N336=12,$N336=1,$N336=2),2,IF(OR($N336=3,$N336=4,$N336=5),3,IF(OR($N336=6,$N336=7,$N336=8),4,"")))))</f>
        <v/>
      </c>
      <c r="P336" s="445"/>
      <c r="Q336" s="291"/>
      <c r="R336" s="291"/>
      <c r="S336" s="275"/>
      <c r="T336" s="275"/>
      <c r="U336" s="275"/>
      <c r="V336" s="275"/>
      <c r="W336" s="275"/>
      <c r="X336" s="275"/>
      <c r="Y336" s="275"/>
      <c r="Z336" s="275"/>
      <c r="AA336" s="275"/>
      <c r="AB336" s="275"/>
      <c r="AC336" s="275"/>
      <c r="AD336" s="275"/>
      <c r="AE336" s="275"/>
      <c r="AF336" s="275"/>
      <c r="AG336" s="275"/>
      <c r="AH336" s="438"/>
      <c r="AI336" s="439">
        <f t="shared" ref="AI336:AI399" si="42">SUM(AJ336:AP336)</f>
        <v>0</v>
      </c>
      <c r="AJ336" s="263"/>
      <c r="AK336" s="263"/>
      <c r="AL336" s="263"/>
      <c r="AM336" s="263"/>
      <c r="AN336" s="263"/>
      <c r="AO336" s="263"/>
      <c r="AP336" s="263"/>
      <c r="AQ336" s="436"/>
      <c r="AR336" s="275"/>
      <c r="AS336" s="275"/>
      <c r="AT336" s="275"/>
      <c r="AU336" s="275"/>
      <c r="AV336" s="275"/>
      <c r="AW336" s="275"/>
      <c r="AX336" s="275"/>
      <c r="AY336" s="437"/>
      <c r="AZ336" s="440">
        <f t="shared" ref="AZ336:AZ399" si="43">SUM(BA336:BG336)</f>
        <v>0</v>
      </c>
      <c r="BA336" s="275"/>
      <c r="BB336" s="275"/>
      <c r="BC336" s="275"/>
      <c r="BD336" s="275"/>
      <c r="BE336" s="275"/>
      <c r="BF336" s="275"/>
      <c r="BG336" s="275"/>
      <c r="BH336" s="436"/>
      <c r="BI336" s="275"/>
      <c r="BJ336" s="275"/>
      <c r="BK336" s="291"/>
      <c r="BL336" s="291"/>
      <c r="BM336" s="275"/>
      <c r="BN336" s="275"/>
      <c r="BO336" s="438"/>
      <c r="BP336" s="436"/>
      <c r="BQ336" s="275"/>
      <c r="BR336" s="275"/>
      <c r="BS336" s="275"/>
      <c r="BT336" s="275"/>
      <c r="BU336" s="275"/>
      <c r="BV336" s="275"/>
      <c r="BW336" s="275"/>
      <c r="BX336" s="438"/>
      <c r="BY336" s="436"/>
      <c r="BZ336" s="275"/>
      <c r="CA336" s="275"/>
      <c r="CB336" s="275"/>
      <c r="CC336" s="275"/>
      <c r="CD336" s="275"/>
      <c r="CE336" s="275"/>
      <c r="CF336" s="275"/>
      <c r="CG336" s="438"/>
      <c r="CH336" s="436"/>
      <c r="CI336" s="275"/>
      <c r="CJ336" s="275"/>
      <c r="CK336" s="275"/>
      <c r="CL336" s="275"/>
      <c r="CM336" s="275"/>
      <c r="CN336" s="275"/>
      <c r="CO336" s="442"/>
      <c r="CP336" s="443"/>
      <c r="CQ336" s="429">
        <f t="shared" ref="CQ336:CQ399" si="44">SUM(P336:AI336,AQ336:AZ336,BH336:CP336)</f>
        <v>0</v>
      </c>
      <c r="CR336" s="430"/>
    </row>
    <row r="337" spans="1:96" ht="25.5" customHeight="1" x14ac:dyDescent="0.2">
      <c r="A337" s="410">
        <f t="shared" ref="A337:A400" si="45">$A336+1</f>
        <v>322</v>
      </c>
      <c r="B337" s="280"/>
      <c r="C337" s="453"/>
      <c r="D337" s="411"/>
      <c r="E337" s="254"/>
      <c r="F337" s="277"/>
      <c r="G337" s="450"/>
      <c r="H337" s="451"/>
      <c r="I337" s="433" t="str">
        <f t="shared" si="39"/>
        <v/>
      </c>
      <c r="J337" s="434">
        <f t="shared" si="40"/>
        <v>0</v>
      </c>
      <c r="K337" s="452"/>
      <c r="L337" s="276"/>
      <c r="M337" s="435"/>
      <c r="N337" s="417" t="str">
        <f t="shared" si="41"/>
        <v/>
      </c>
      <c r="O337" s="418" t="str">
        <f>IF('Data Set up'!$G$40="JUNE",IF(OR($N337=7,$N337=8,$N337=9),1,IF(OR($N337=10,$N337=11,$N337=12),2,IF(OR($N337=1,$N337=2,$N337=3),3,IF(OR($N337=4,$N337=5,$N337=6),4,"")))),IF(OR($N337=9,$N337=10,$N337=11),1,IF(OR($N337=12,$N337=1,$N337=2),2,IF(OR($N337=3,$N337=4,$N337=5),3,IF(OR($N337=6,$N337=7,$N337=8),4,"")))))</f>
        <v/>
      </c>
      <c r="P337" s="445"/>
      <c r="Q337" s="291"/>
      <c r="R337" s="291"/>
      <c r="S337" s="275"/>
      <c r="T337" s="275"/>
      <c r="U337" s="275"/>
      <c r="V337" s="275"/>
      <c r="W337" s="275"/>
      <c r="X337" s="275"/>
      <c r="Y337" s="275"/>
      <c r="Z337" s="275"/>
      <c r="AA337" s="275"/>
      <c r="AB337" s="275"/>
      <c r="AC337" s="275"/>
      <c r="AD337" s="275"/>
      <c r="AE337" s="275"/>
      <c r="AF337" s="275"/>
      <c r="AG337" s="275"/>
      <c r="AH337" s="438"/>
      <c r="AI337" s="439">
        <f t="shared" si="42"/>
        <v>0</v>
      </c>
      <c r="AJ337" s="263"/>
      <c r="AK337" s="263"/>
      <c r="AL337" s="263"/>
      <c r="AM337" s="263"/>
      <c r="AN337" s="263"/>
      <c r="AO337" s="263"/>
      <c r="AP337" s="263"/>
      <c r="AQ337" s="436"/>
      <c r="AR337" s="275"/>
      <c r="AS337" s="275"/>
      <c r="AT337" s="275"/>
      <c r="AU337" s="275"/>
      <c r="AV337" s="275"/>
      <c r="AW337" s="275"/>
      <c r="AX337" s="275"/>
      <c r="AY337" s="437"/>
      <c r="AZ337" s="440">
        <f t="shared" si="43"/>
        <v>0</v>
      </c>
      <c r="BA337" s="275"/>
      <c r="BB337" s="275"/>
      <c r="BC337" s="275"/>
      <c r="BD337" s="275"/>
      <c r="BE337" s="275"/>
      <c r="BF337" s="275"/>
      <c r="BG337" s="275"/>
      <c r="BH337" s="436"/>
      <c r="BI337" s="275"/>
      <c r="BJ337" s="275"/>
      <c r="BK337" s="291"/>
      <c r="BL337" s="291"/>
      <c r="BM337" s="275"/>
      <c r="BN337" s="275"/>
      <c r="BO337" s="438"/>
      <c r="BP337" s="436"/>
      <c r="BQ337" s="275"/>
      <c r="BR337" s="275"/>
      <c r="BS337" s="275"/>
      <c r="BT337" s="275"/>
      <c r="BU337" s="275"/>
      <c r="BV337" s="275"/>
      <c r="BW337" s="275"/>
      <c r="BX337" s="438"/>
      <c r="BY337" s="436"/>
      <c r="BZ337" s="275"/>
      <c r="CA337" s="275"/>
      <c r="CB337" s="275"/>
      <c r="CC337" s="275"/>
      <c r="CD337" s="275"/>
      <c r="CE337" s="275"/>
      <c r="CF337" s="275"/>
      <c r="CG337" s="438"/>
      <c r="CH337" s="436"/>
      <c r="CI337" s="275"/>
      <c r="CJ337" s="275"/>
      <c r="CK337" s="275"/>
      <c r="CL337" s="275"/>
      <c r="CM337" s="275"/>
      <c r="CN337" s="275"/>
      <c r="CO337" s="442"/>
      <c r="CP337" s="443"/>
      <c r="CQ337" s="429">
        <f t="shared" si="44"/>
        <v>0</v>
      </c>
      <c r="CR337" s="430"/>
    </row>
    <row r="338" spans="1:96" ht="25.5" customHeight="1" x14ac:dyDescent="0.2">
      <c r="A338" s="410">
        <f t="shared" si="45"/>
        <v>323</v>
      </c>
      <c r="B338" s="280"/>
      <c r="C338" s="453"/>
      <c r="D338" s="411"/>
      <c r="E338" s="254"/>
      <c r="F338" s="277"/>
      <c r="G338" s="450"/>
      <c r="H338" s="451"/>
      <c r="I338" s="433" t="str">
        <f t="shared" si="39"/>
        <v/>
      </c>
      <c r="J338" s="434">
        <f t="shared" si="40"/>
        <v>0</v>
      </c>
      <c r="K338" s="452"/>
      <c r="L338" s="276"/>
      <c r="M338" s="435"/>
      <c r="N338" s="417" t="str">
        <f t="shared" si="41"/>
        <v/>
      </c>
      <c r="O338" s="418" t="str">
        <f>IF('Data Set up'!$G$40="JUNE",IF(OR($N338=7,$N338=8,$N338=9),1,IF(OR($N338=10,$N338=11,$N338=12),2,IF(OR($N338=1,$N338=2,$N338=3),3,IF(OR($N338=4,$N338=5,$N338=6),4,"")))),IF(OR($N338=9,$N338=10,$N338=11),1,IF(OR($N338=12,$N338=1,$N338=2),2,IF(OR($N338=3,$N338=4,$N338=5),3,IF(OR($N338=6,$N338=7,$N338=8),4,"")))))</f>
        <v/>
      </c>
      <c r="P338" s="445"/>
      <c r="Q338" s="291"/>
      <c r="R338" s="291"/>
      <c r="S338" s="275"/>
      <c r="T338" s="275"/>
      <c r="U338" s="275"/>
      <c r="V338" s="275"/>
      <c r="W338" s="275"/>
      <c r="X338" s="275"/>
      <c r="Y338" s="275"/>
      <c r="Z338" s="275"/>
      <c r="AA338" s="275"/>
      <c r="AB338" s="275"/>
      <c r="AC338" s="275"/>
      <c r="AD338" s="275"/>
      <c r="AE338" s="275"/>
      <c r="AF338" s="275"/>
      <c r="AG338" s="275"/>
      <c r="AH338" s="438"/>
      <c r="AI338" s="439">
        <f t="shared" si="42"/>
        <v>0</v>
      </c>
      <c r="AJ338" s="263"/>
      <c r="AK338" s="263"/>
      <c r="AL338" s="263"/>
      <c r="AM338" s="263"/>
      <c r="AN338" s="263"/>
      <c r="AO338" s="263"/>
      <c r="AP338" s="263"/>
      <c r="AQ338" s="436"/>
      <c r="AR338" s="275"/>
      <c r="AS338" s="275"/>
      <c r="AT338" s="275"/>
      <c r="AU338" s="275"/>
      <c r="AV338" s="275"/>
      <c r="AW338" s="275"/>
      <c r="AX338" s="275"/>
      <c r="AY338" s="437"/>
      <c r="AZ338" s="440">
        <f t="shared" si="43"/>
        <v>0</v>
      </c>
      <c r="BA338" s="275"/>
      <c r="BB338" s="275"/>
      <c r="BC338" s="275"/>
      <c r="BD338" s="275"/>
      <c r="BE338" s="275"/>
      <c r="BF338" s="275"/>
      <c r="BG338" s="275"/>
      <c r="BH338" s="436"/>
      <c r="BI338" s="275"/>
      <c r="BJ338" s="275"/>
      <c r="BK338" s="291"/>
      <c r="BL338" s="291"/>
      <c r="BM338" s="275"/>
      <c r="BN338" s="275"/>
      <c r="BO338" s="438"/>
      <c r="BP338" s="436"/>
      <c r="BQ338" s="275"/>
      <c r="BR338" s="275"/>
      <c r="BS338" s="275"/>
      <c r="BT338" s="275"/>
      <c r="BU338" s="275"/>
      <c r="BV338" s="275"/>
      <c r="BW338" s="275"/>
      <c r="BX338" s="438"/>
      <c r="BY338" s="436"/>
      <c r="BZ338" s="275"/>
      <c r="CA338" s="275"/>
      <c r="CB338" s="275"/>
      <c r="CC338" s="275"/>
      <c r="CD338" s="275"/>
      <c r="CE338" s="275"/>
      <c r="CF338" s="275"/>
      <c r="CG338" s="438"/>
      <c r="CH338" s="436"/>
      <c r="CI338" s="275"/>
      <c r="CJ338" s="275"/>
      <c r="CK338" s="275"/>
      <c r="CL338" s="275"/>
      <c r="CM338" s="275"/>
      <c r="CN338" s="275"/>
      <c r="CO338" s="442"/>
      <c r="CP338" s="443"/>
      <c r="CQ338" s="429">
        <f t="shared" si="44"/>
        <v>0</v>
      </c>
      <c r="CR338" s="430"/>
    </row>
    <row r="339" spans="1:96" ht="25.5" customHeight="1" x14ac:dyDescent="0.2">
      <c r="A339" s="410">
        <f t="shared" si="45"/>
        <v>324</v>
      </c>
      <c r="B339" s="280"/>
      <c r="C339" s="453"/>
      <c r="D339" s="411"/>
      <c r="E339" s="254"/>
      <c r="F339" s="277"/>
      <c r="G339" s="450"/>
      <c r="H339" s="451"/>
      <c r="I339" s="433" t="str">
        <f t="shared" si="39"/>
        <v/>
      </c>
      <c r="J339" s="434">
        <f t="shared" si="40"/>
        <v>0</v>
      </c>
      <c r="K339" s="452"/>
      <c r="L339" s="276"/>
      <c r="M339" s="435"/>
      <c r="N339" s="417" t="str">
        <f t="shared" si="41"/>
        <v/>
      </c>
      <c r="O339" s="418" t="str">
        <f>IF('Data Set up'!$G$40="JUNE",IF(OR($N339=7,$N339=8,$N339=9),1,IF(OR($N339=10,$N339=11,$N339=12),2,IF(OR($N339=1,$N339=2,$N339=3),3,IF(OR($N339=4,$N339=5,$N339=6),4,"")))),IF(OR($N339=9,$N339=10,$N339=11),1,IF(OR($N339=12,$N339=1,$N339=2),2,IF(OR($N339=3,$N339=4,$N339=5),3,IF(OR($N339=6,$N339=7,$N339=8),4,"")))))</f>
        <v/>
      </c>
      <c r="P339" s="445"/>
      <c r="Q339" s="291"/>
      <c r="R339" s="291"/>
      <c r="S339" s="275"/>
      <c r="T339" s="275"/>
      <c r="U339" s="275"/>
      <c r="V339" s="275"/>
      <c r="W339" s="275"/>
      <c r="X339" s="275"/>
      <c r="Y339" s="275"/>
      <c r="Z339" s="275"/>
      <c r="AA339" s="275"/>
      <c r="AB339" s="275"/>
      <c r="AC339" s="275"/>
      <c r="AD339" s="275"/>
      <c r="AE339" s="275"/>
      <c r="AF339" s="275"/>
      <c r="AG339" s="275"/>
      <c r="AH339" s="438"/>
      <c r="AI339" s="439">
        <f t="shared" si="42"/>
        <v>0</v>
      </c>
      <c r="AJ339" s="263"/>
      <c r="AK339" s="263"/>
      <c r="AL339" s="263"/>
      <c r="AM339" s="263"/>
      <c r="AN339" s="263"/>
      <c r="AO339" s="263"/>
      <c r="AP339" s="263"/>
      <c r="AQ339" s="436"/>
      <c r="AR339" s="275"/>
      <c r="AS339" s="275"/>
      <c r="AT339" s="275"/>
      <c r="AU339" s="275"/>
      <c r="AV339" s="275"/>
      <c r="AW339" s="275"/>
      <c r="AX339" s="275"/>
      <c r="AY339" s="437"/>
      <c r="AZ339" s="440">
        <f t="shared" si="43"/>
        <v>0</v>
      </c>
      <c r="BA339" s="275"/>
      <c r="BB339" s="275"/>
      <c r="BC339" s="275"/>
      <c r="BD339" s="275"/>
      <c r="BE339" s="275"/>
      <c r="BF339" s="275"/>
      <c r="BG339" s="275"/>
      <c r="BH339" s="436"/>
      <c r="BI339" s="275"/>
      <c r="BJ339" s="275"/>
      <c r="BK339" s="291"/>
      <c r="BL339" s="291"/>
      <c r="BM339" s="275"/>
      <c r="BN339" s="275"/>
      <c r="BO339" s="438"/>
      <c r="BP339" s="436"/>
      <c r="BQ339" s="275"/>
      <c r="BR339" s="275"/>
      <c r="BS339" s="275"/>
      <c r="BT339" s="275"/>
      <c r="BU339" s="275"/>
      <c r="BV339" s="275"/>
      <c r="BW339" s="275"/>
      <c r="BX339" s="438"/>
      <c r="BY339" s="436"/>
      <c r="BZ339" s="275"/>
      <c r="CA339" s="275"/>
      <c r="CB339" s="275"/>
      <c r="CC339" s="275"/>
      <c r="CD339" s="275"/>
      <c r="CE339" s="275"/>
      <c r="CF339" s="275"/>
      <c r="CG339" s="438"/>
      <c r="CH339" s="436"/>
      <c r="CI339" s="275"/>
      <c r="CJ339" s="275"/>
      <c r="CK339" s="275"/>
      <c r="CL339" s="275"/>
      <c r="CM339" s="275"/>
      <c r="CN339" s="275"/>
      <c r="CO339" s="442"/>
      <c r="CP339" s="443"/>
      <c r="CQ339" s="429">
        <f t="shared" si="44"/>
        <v>0</v>
      </c>
      <c r="CR339" s="430"/>
    </row>
    <row r="340" spans="1:96" ht="25.5" customHeight="1" x14ac:dyDescent="0.2">
      <c r="A340" s="410">
        <f t="shared" si="45"/>
        <v>325</v>
      </c>
      <c r="B340" s="280"/>
      <c r="C340" s="453"/>
      <c r="D340" s="411"/>
      <c r="E340" s="254"/>
      <c r="F340" s="277"/>
      <c r="G340" s="450"/>
      <c r="H340" s="451"/>
      <c r="I340" s="433" t="str">
        <f t="shared" si="39"/>
        <v/>
      </c>
      <c r="J340" s="434">
        <f t="shared" si="40"/>
        <v>0</v>
      </c>
      <c r="K340" s="452"/>
      <c r="L340" s="276"/>
      <c r="M340" s="435"/>
      <c r="N340" s="417" t="str">
        <f t="shared" si="41"/>
        <v/>
      </c>
      <c r="O340" s="418" t="str">
        <f>IF('Data Set up'!$G$40="JUNE",IF(OR($N340=7,$N340=8,$N340=9),1,IF(OR($N340=10,$N340=11,$N340=12),2,IF(OR($N340=1,$N340=2,$N340=3),3,IF(OR($N340=4,$N340=5,$N340=6),4,"")))),IF(OR($N340=9,$N340=10,$N340=11),1,IF(OR($N340=12,$N340=1,$N340=2),2,IF(OR($N340=3,$N340=4,$N340=5),3,IF(OR($N340=6,$N340=7,$N340=8),4,"")))))</f>
        <v/>
      </c>
      <c r="P340" s="445"/>
      <c r="Q340" s="291"/>
      <c r="R340" s="291"/>
      <c r="S340" s="275"/>
      <c r="T340" s="275"/>
      <c r="U340" s="275"/>
      <c r="V340" s="275"/>
      <c r="W340" s="275"/>
      <c r="X340" s="275"/>
      <c r="Y340" s="275"/>
      <c r="Z340" s="275"/>
      <c r="AA340" s="275"/>
      <c r="AB340" s="275"/>
      <c r="AC340" s="275"/>
      <c r="AD340" s="275"/>
      <c r="AE340" s="275"/>
      <c r="AF340" s="275"/>
      <c r="AG340" s="275"/>
      <c r="AH340" s="438"/>
      <c r="AI340" s="439">
        <f t="shared" si="42"/>
        <v>0</v>
      </c>
      <c r="AJ340" s="263"/>
      <c r="AK340" s="263"/>
      <c r="AL340" s="263"/>
      <c r="AM340" s="263"/>
      <c r="AN340" s="263"/>
      <c r="AO340" s="263"/>
      <c r="AP340" s="263"/>
      <c r="AQ340" s="436"/>
      <c r="AR340" s="275"/>
      <c r="AS340" s="275"/>
      <c r="AT340" s="275"/>
      <c r="AU340" s="275"/>
      <c r="AV340" s="275"/>
      <c r="AW340" s="275"/>
      <c r="AX340" s="275"/>
      <c r="AY340" s="437"/>
      <c r="AZ340" s="440">
        <f t="shared" si="43"/>
        <v>0</v>
      </c>
      <c r="BA340" s="275"/>
      <c r="BB340" s="275"/>
      <c r="BC340" s="275"/>
      <c r="BD340" s="275"/>
      <c r="BE340" s="275"/>
      <c r="BF340" s="275"/>
      <c r="BG340" s="275"/>
      <c r="BH340" s="436"/>
      <c r="BI340" s="275"/>
      <c r="BJ340" s="275"/>
      <c r="BK340" s="291"/>
      <c r="BL340" s="291"/>
      <c r="BM340" s="275"/>
      <c r="BN340" s="275"/>
      <c r="BO340" s="438"/>
      <c r="BP340" s="436"/>
      <c r="BQ340" s="275"/>
      <c r="BR340" s="275"/>
      <c r="BS340" s="275"/>
      <c r="BT340" s="275"/>
      <c r="BU340" s="275"/>
      <c r="BV340" s="275"/>
      <c r="BW340" s="275"/>
      <c r="BX340" s="438"/>
      <c r="BY340" s="436"/>
      <c r="BZ340" s="275"/>
      <c r="CA340" s="275"/>
      <c r="CB340" s="275"/>
      <c r="CC340" s="275"/>
      <c r="CD340" s="275"/>
      <c r="CE340" s="275"/>
      <c r="CF340" s="275"/>
      <c r="CG340" s="438"/>
      <c r="CH340" s="436"/>
      <c r="CI340" s="275"/>
      <c r="CJ340" s="275"/>
      <c r="CK340" s="275"/>
      <c r="CL340" s="275"/>
      <c r="CM340" s="275"/>
      <c r="CN340" s="275"/>
      <c r="CO340" s="442"/>
      <c r="CP340" s="443"/>
      <c r="CQ340" s="429">
        <f t="shared" si="44"/>
        <v>0</v>
      </c>
      <c r="CR340" s="430"/>
    </row>
    <row r="341" spans="1:96" ht="25.5" customHeight="1" x14ac:dyDescent="0.2">
      <c r="A341" s="410">
        <f t="shared" si="45"/>
        <v>326</v>
      </c>
      <c r="B341" s="280"/>
      <c r="C341" s="453"/>
      <c r="D341" s="411"/>
      <c r="E341" s="254"/>
      <c r="F341" s="277"/>
      <c r="G341" s="450"/>
      <c r="H341" s="451"/>
      <c r="I341" s="433" t="str">
        <f t="shared" si="39"/>
        <v/>
      </c>
      <c r="J341" s="434">
        <f t="shared" si="40"/>
        <v>0</v>
      </c>
      <c r="K341" s="452"/>
      <c r="L341" s="276"/>
      <c r="M341" s="435"/>
      <c r="N341" s="417" t="str">
        <f t="shared" si="41"/>
        <v/>
      </c>
      <c r="O341" s="418" t="str">
        <f>IF('Data Set up'!$G$40="JUNE",IF(OR($N341=7,$N341=8,$N341=9),1,IF(OR($N341=10,$N341=11,$N341=12),2,IF(OR($N341=1,$N341=2,$N341=3),3,IF(OR($N341=4,$N341=5,$N341=6),4,"")))),IF(OR($N341=9,$N341=10,$N341=11),1,IF(OR($N341=12,$N341=1,$N341=2),2,IF(OR($N341=3,$N341=4,$N341=5),3,IF(OR($N341=6,$N341=7,$N341=8),4,"")))))</f>
        <v/>
      </c>
      <c r="P341" s="445"/>
      <c r="Q341" s="291"/>
      <c r="R341" s="291"/>
      <c r="S341" s="275"/>
      <c r="T341" s="275"/>
      <c r="U341" s="275"/>
      <c r="V341" s="275"/>
      <c r="W341" s="275"/>
      <c r="X341" s="275"/>
      <c r="Y341" s="275"/>
      <c r="Z341" s="275"/>
      <c r="AA341" s="275"/>
      <c r="AB341" s="275"/>
      <c r="AC341" s="275"/>
      <c r="AD341" s="275"/>
      <c r="AE341" s="275"/>
      <c r="AF341" s="275"/>
      <c r="AG341" s="275"/>
      <c r="AH341" s="438"/>
      <c r="AI341" s="439">
        <f t="shared" si="42"/>
        <v>0</v>
      </c>
      <c r="AJ341" s="263"/>
      <c r="AK341" s="263"/>
      <c r="AL341" s="263"/>
      <c r="AM341" s="263"/>
      <c r="AN341" s="263"/>
      <c r="AO341" s="263"/>
      <c r="AP341" s="263"/>
      <c r="AQ341" s="436"/>
      <c r="AR341" s="275"/>
      <c r="AS341" s="275"/>
      <c r="AT341" s="275"/>
      <c r="AU341" s="275"/>
      <c r="AV341" s="275"/>
      <c r="AW341" s="275"/>
      <c r="AX341" s="275"/>
      <c r="AY341" s="437"/>
      <c r="AZ341" s="440">
        <f t="shared" si="43"/>
        <v>0</v>
      </c>
      <c r="BA341" s="275"/>
      <c r="BB341" s="275"/>
      <c r="BC341" s="275"/>
      <c r="BD341" s="275"/>
      <c r="BE341" s="275"/>
      <c r="BF341" s="275"/>
      <c r="BG341" s="275"/>
      <c r="BH341" s="436"/>
      <c r="BI341" s="275"/>
      <c r="BJ341" s="275"/>
      <c r="BK341" s="291"/>
      <c r="BL341" s="291"/>
      <c r="BM341" s="275"/>
      <c r="BN341" s="275"/>
      <c r="BO341" s="438"/>
      <c r="BP341" s="436"/>
      <c r="BQ341" s="275"/>
      <c r="BR341" s="275"/>
      <c r="BS341" s="275"/>
      <c r="BT341" s="275"/>
      <c r="BU341" s="275"/>
      <c r="BV341" s="275"/>
      <c r="BW341" s="275"/>
      <c r="BX341" s="438"/>
      <c r="BY341" s="436"/>
      <c r="BZ341" s="275"/>
      <c r="CA341" s="275"/>
      <c r="CB341" s="275"/>
      <c r="CC341" s="275"/>
      <c r="CD341" s="275"/>
      <c r="CE341" s="275"/>
      <c r="CF341" s="275"/>
      <c r="CG341" s="438"/>
      <c r="CH341" s="436"/>
      <c r="CI341" s="275"/>
      <c r="CJ341" s="275"/>
      <c r="CK341" s="275"/>
      <c r="CL341" s="275"/>
      <c r="CM341" s="275"/>
      <c r="CN341" s="275"/>
      <c r="CO341" s="442"/>
      <c r="CP341" s="443"/>
      <c r="CQ341" s="429">
        <f t="shared" si="44"/>
        <v>0</v>
      </c>
      <c r="CR341" s="430"/>
    </row>
    <row r="342" spans="1:96" ht="25.5" customHeight="1" x14ac:dyDescent="0.2">
      <c r="A342" s="410">
        <f t="shared" si="45"/>
        <v>327</v>
      </c>
      <c r="B342" s="280"/>
      <c r="C342" s="453"/>
      <c r="D342" s="411"/>
      <c r="E342" s="254"/>
      <c r="F342" s="277"/>
      <c r="G342" s="450"/>
      <c r="H342" s="451"/>
      <c r="I342" s="433" t="str">
        <f t="shared" si="39"/>
        <v/>
      </c>
      <c r="J342" s="434">
        <f t="shared" si="40"/>
        <v>0</v>
      </c>
      <c r="K342" s="452"/>
      <c r="L342" s="276"/>
      <c r="M342" s="435"/>
      <c r="N342" s="417" t="str">
        <f t="shared" si="41"/>
        <v/>
      </c>
      <c r="O342" s="418" t="str">
        <f>IF('Data Set up'!$G$40="JUNE",IF(OR($N342=7,$N342=8,$N342=9),1,IF(OR($N342=10,$N342=11,$N342=12),2,IF(OR($N342=1,$N342=2,$N342=3),3,IF(OR($N342=4,$N342=5,$N342=6),4,"")))),IF(OR($N342=9,$N342=10,$N342=11),1,IF(OR($N342=12,$N342=1,$N342=2),2,IF(OR($N342=3,$N342=4,$N342=5),3,IF(OR($N342=6,$N342=7,$N342=8),4,"")))))</f>
        <v/>
      </c>
      <c r="P342" s="445"/>
      <c r="Q342" s="291"/>
      <c r="R342" s="291"/>
      <c r="S342" s="275"/>
      <c r="T342" s="275"/>
      <c r="U342" s="275"/>
      <c r="V342" s="275"/>
      <c r="W342" s="275"/>
      <c r="X342" s="275"/>
      <c r="Y342" s="275"/>
      <c r="Z342" s="275"/>
      <c r="AA342" s="275"/>
      <c r="AB342" s="275"/>
      <c r="AC342" s="275"/>
      <c r="AD342" s="275"/>
      <c r="AE342" s="275"/>
      <c r="AF342" s="275"/>
      <c r="AG342" s="275"/>
      <c r="AH342" s="438"/>
      <c r="AI342" s="439">
        <f t="shared" si="42"/>
        <v>0</v>
      </c>
      <c r="AJ342" s="263"/>
      <c r="AK342" s="263"/>
      <c r="AL342" s="263"/>
      <c r="AM342" s="263"/>
      <c r="AN342" s="263"/>
      <c r="AO342" s="263"/>
      <c r="AP342" s="263"/>
      <c r="AQ342" s="436"/>
      <c r="AR342" s="275"/>
      <c r="AS342" s="275"/>
      <c r="AT342" s="275"/>
      <c r="AU342" s="275"/>
      <c r="AV342" s="275"/>
      <c r="AW342" s="275"/>
      <c r="AX342" s="275"/>
      <c r="AY342" s="437"/>
      <c r="AZ342" s="440">
        <f t="shared" si="43"/>
        <v>0</v>
      </c>
      <c r="BA342" s="275"/>
      <c r="BB342" s="275"/>
      <c r="BC342" s="275"/>
      <c r="BD342" s="275"/>
      <c r="BE342" s="275"/>
      <c r="BF342" s="275"/>
      <c r="BG342" s="275"/>
      <c r="BH342" s="436"/>
      <c r="BI342" s="275"/>
      <c r="BJ342" s="275"/>
      <c r="BK342" s="291"/>
      <c r="BL342" s="291"/>
      <c r="BM342" s="275"/>
      <c r="BN342" s="275"/>
      <c r="BO342" s="438"/>
      <c r="BP342" s="436"/>
      <c r="BQ342" s="275"/>
      <c r="BR342" s="275"/>
      <c r="BS342" s="275"/>
      <c r="BT342" s="275"/>
      <c r="BU342" s="275"/>
      <c r="BV342" s="275"/>
      <c r="BW342" s="275"/>
      <c r="BX342" s="438"/>
      <c r="BY342" s="436"/>
      <c r="BZ342" s="275"/>
      <c r="CA342" s="275"/>
      <c r="CB342" s="275"/>
      <c r="CC342" s="275"/>
      <c r="CD342" s="275"/>
      <c r="CE342" s="275"/>
      <c r="CF342" s="275"/>
      <c r="CG342" s="438"/>
      <c r="CH342" s="436"/>
      <c r="CI342" s="275"/>
      <c r="CJ342" s="275"/>
      <c r="CK342" s="275"/>
      <c r="CL342" s="275"/>
      <c r="CM342" s="275"/>
      <c r="CN342" s="275"/>
      <c r="CO342" s="442"/>
      <c r="CP342" s="443"/>
      <c r="CQ342" s="429">
        <f t="shared" si="44"/>
        <v>0</v>
      </c>
      <c r="CR342" s="430"/>
    </row>
    <row r="343" spans="1:96" ht="25.5" customHeight="1" x14ac:dyDescent="0.2">
      <c r="A343" s="410">
        <f t="shared" si="45"/>
        <v>328</v>
      </c>
      <c r="B343" s="280"/>
      <c r="C343" s="453"/>
      <c r="D343" s="411"/>
      <c r="E343" s="254"/>
      <c r="F343" s="277"/>
      <c r="G343" s="450"/>
      <c r="H343" s="451"/>
      <c r="I343" s="433" t="str">
        <f t="shared" si="39"/>
        <v/>
      </c>
      <c r="J343" s="434">
        <f t="shared" si="40"/>
        <v>0</v>
      </c>
      <c r="K343" s="452"/>
      <c r="L343" s="276"/>
      <c r="M343" s="435"/>
      <c r="N343" s="417" t="str">
        <f t="shared" si="41"/>
        <v/>
      </c>
      <c r="O343" s="418" t="str">
        <f>IF('Data Set up'!$G$40="JUNE",IF(OR($N343=7,$N343=8,$N343=9),1,IF(OR($N343=10,$N343=11,$N343=12),2,IF(OR($N343=1,$N343=2,$N343=3),3,IF(OR($N343=4,$N343=5,$N343=6),4,"")))),IF(OR($N343=9,$N343=10,$N343=11),1,IF(OR($N343=12,$N343=1,$N343=2),2,IF(OR($N343=3,$N343=4,$N343=5),3,IF(OR($N343=6,$N343=7,$N343=8),4,"")))))</f>
        <v/>
      </c>
      <c r="P343" s="445"/>
      <c r="Q343" s="291"/>
      <c r="R343" s="291"/>
      <c r="S343" s="275"/>
      <c r="T343" s="275"/>
      <c r="U343" s="275"/>
      <c r="V343" s="275"/>
      <c r="W343" s="275"/>
      <c r="X343" s="275"/>
      <c r="Y343" s="275"/>
      <c r="Z343" s="275"/>
      <c r="AA343" s="275"/>
      <c r="AB343" s="275"/>
      <c r="AC343" s="275"/>
      <c r="AD343" s="275"/>
      <c r="AE343" s="275"/>
      <c r="AF343" s="275"/>
      <c r="AG343" s="275"/>
      <c r="AH343" s="438"/>
      <c r="AI343" s="439">
        <f t="shared" si="42"/>
        <v>0</v>
      </c>
      <c r="AJ343" s="263"/>
      <c r="AK343" s="263"/>
      <c r="AL343" s="263"/>
      <c r="AM343" s="263"/>
      <c r="AN343" s="263"/>
      <c r="AO343" s="263"/>
      <c r="AP343" s="263"/>
      <c r="AQ343" s="436"/>
      <c r="AR343" s="275"/>
      <c r="AS343" s="275"/>
      <c r="AT343" s="275"/>
      <c r="AU343" s="275"/>
      <c r="AV343" s="275"/>
      <c r="AW343" s="275"/>
      <c r="AX343" s="275"/>
      <c r="AY343" s="437"/>
      <c r="AZ343" s="440">
        <f t="shared" si="43"/>
        <v>0</v>
      </c>
      <c r="BA343" s="275"/>
      <c r="BB343" s="275"/>
      <c r="BC343" s="275"/>
      <c r="BD343" s="275"/>
      <c r="BE343" s="275"/>
      <c r="BF343" s="275"/>
      <c r="BG343" s="275"/>
      <c r="BH343" s="436"/>
      <c r="BI343" s="275"/>
      <c r="BJ343" s="275"/>
      <c r="BK343" s="291"/>
      <c r="BL343" s="291"/>
      <c r="BM343" s="275"/>
      <c r="BN343" s="275"/>
      <c r="BO343" s="438"/>
      <c r="BP343" s="436"/>
      <c r="BQ343" s="275"/>
      <c r="BR343" s="275"/>
      <c r="BS343" s="275"/>
      <c r="BT343" s="275"/>
      <c r="BU343" s="275"/>
      <c r="BV343" s="275"/>
      <c r="BW343" s="275"/>
      <c r="BX343" s="438"/>
      <c r="BY343" s="436"/>
      <c r="BZ343" s="275"/>
      <c r="CA343" s="275"/>
      <c r="CB343" s="275"/>
      <c r="CC343" s="275"/>
      <c r="CD343" s="275"/>
      <c r="CE343" s="275"/>
      <c r="CF343" s="275"/>
      <c r="CG343" s="438"/>
      <c r="CH343" s="436"/>
      <c r="CI343" s="275"/>
      <c r="CJ343" s="275"/>
      <c r="CK343" s="275"/>
      <c r="CL343" s="275"/>
      <c r="CM343" s="275"/>
      <c r="CN343" s="275"/>
      <c r="CO343" s="442"/>
      <c r="CP343" s="443"/>
      <c r="CQ343" s="429">
        <f t="shared" si="44"/>
        <v>0</v>
      </c>
      <c r="CR343" s="430"/>
    </row>
    <row r="344" spans="1:96" ht="25.5" customHeight="1" x14ac:dyDescent="0.2">
      <c r="A344" s="410">
        <f t="shared" si="45"/>
        <v>329</v>
      </c>
      <c r="B344" s="280"/>
      <c r="C344" s="453"/>
      <c r="D344" s="411"/>
      <c r="E344" s="254"/>
      <c r="F344" s="277"/>
      <c r="G344" s="450"/>
      <c r="H344" s="451"/>
      <c r="I344" s="433" t="str">
        <f t="shared" si="39"/>
        <v/>
      </c>
      <c r="J344" s="434">
        <f t="shared" si="40"/>
        <v>0</v>
      </c>
      <c r="K344" s="452"/>
      <c r="L344" s="276"/>
      <c r="M344" s="435"/>
      <c r="N344" s="417" t="str">
        <f t="shared" si="41"/>
        <v/>
      </c>
      <c r="O344" s="418" t="str">
        <f>IF('Data Set up'!$G$40="JUNE",IF(OR($N344=7,$N344=8,$N344=9),1,IF(OR($N344=10,$N344=11,$N344=12),2,IF(OR($N344=1,$N344=2,$N344=3),3,IF(OR($N344=4,$N344=5,$N344=6),4,"")))),IF(OR($N344=9,$N344=10,$N344=11),1,IF(OR($N344=12,$N344=1,$N344=2),2,IF(OR($N344=3,$N344=4,$N344=5),3,IF(OR($N344=6,$N344=7,$N344=8),4,"")))))</f>
        <v/>
      </c>
      <c r="P344" s="445"/>
      <c r="Q344" s="291"/>
      <c r="R344" s="291"/>
      <c r="S344" s="275"/>
      <c r="T344" s="275"/>
      <c r="U344" s="275"/>
      <c r="V344" s="275"/>
      <c r="W344" s="275"/>
      <c r="X344" s="275"/>
      <c r="Y344" s="275"/>
      <c r="Z344" s="275"/>
      <c r="AA344" s="275"/>
      <c r="AB344" s="275"/>
      <c r="AC344" s="275"/>
      <c r="AD344" s="275"/>
      <c r="AE344" s="275"/>
      <c r="AF344" s="275"/>
      <c r="AG344" s="275"/>
      <c r="AH344" s="438"/>
      <c r="AI344" s="439">
        <f t="shared" si="42"/>
        <v>0</v>
      </c>
      <c r="AJ344" s="263"/>
      <c r="AK344" s="263"/>
      <c r="AL344" s="263"/>
      <c r="AM344" s="263"/>
      <c r="AN344" s="263"/>
      <c r="AO344" s="263"/>
      <c r="AP344" s="263"/>
      <c r="AQ344" s="436"/>
      <c r="AR344" s="275"/>
      <c r="AS344" s="275"/>
      <c r="AT344" s="275"/>
      <c r="AU344" s="275"/>
      <c r="AV344" s="275"/>
      <c r="AW344" s="275"/>
      <c r="AX344" s="275"/>
      <c r="AY344" s="437"/>
      <c r="AZ344" s="440">
        <f t="shared" si="43"/>
        <v>0</v>
      </c>
      <c r="BA344" s="275"/>
      <c r="BB344" s="275"/>
      <c r="BC344" s="275"/>
      <c r="BD344" s="275"/>
      <c r="BE344" s="275"/>
      <c r="BF344" s="275"/>
      <c r="BG344" s="275"/>
      <c r="BH344" s="436"/>
      <c r="BI344" s="275"/>
      <c r="BJ344" s="275"/>
      <c r="BK344" s="291"/>
      <c r="BL344" s="291"/>
      <c r="BM344" s="275"/>
      <c r="BN344" s="275"/>
      <c r="BO344" s="438"/>
      <c r="BP344" s="436"/>
      <c r="BQ344" s="275"/>
      <c r="BR344" s="275"/>
      <c r="BS344" s="275"/>
      <c r="BT344" s="275"/>
      <c r="BU344" s="275"/>
      <c r="BV344" s="275"/>
      <c r="BW344" s="275"/>
      <c r="BX344" s="438"/>
      <c r="BY344" s="436"/>
      <c r="BZ344" s="275"/>
      <c r="CA344" s="275"/>
      <c r="CB344" s="275"/>
      <c r="CC344" s="275"/>
      <c r="CD344" s="275"/>
      <c r="CE344" s="275"/>
      <c r="CF344" s="275"/>
      <c r="CG344" s="438"/>
      <c r="CH344" s="436"/>
      <c r="CI344" s="275"/>
      <c r="CJ344" s="275"/>
      <c r="CK344" s="275"/>
      <c r="CL344" s="275"/>
      <c r="CM344" s="275"/>
      <c r="CN344" s="275"/>
      <c r="CO344" s="442"/>
      <c r="CP344" s="443"/>
      <c r="CQ344" s="429">
        <f t="shared" si="44"/>
        <v>0</v>
      </c>
      <c r="CR344" s="430"/>
    </row>
    <row r="345" spans="1:96" ht="25.5" customHeight="1" x14ac:dyDescent="0.2">
      <c r="A345" s="410">
        <f t="shared" si="45"/>
        <v>330</v>
      </c>
      <c r="B345" s="280"/>
      <c r="C345" s="453"/>
      <c r="D345" s="411"/>
      <c r="E345" s="254"/>
      <c r="F345" s="277"/>
      <c r="G345" s="450"/>
      <c r="H345" s="451"/>
      <c r="I345" s="433" t="str">
        <f t="shared" si="39"/>
        <v/>
      </c>
      <c r="J345" s="434">
        <f t="shared" si="40"/>
        <v>0</v>
      </c>
      <c r="K345" s="452"/>
      <c r="L345" s="276"/>
      <c r="M345" s="435"/>
      <c r="N345" s="417" t="str">
        <f t="shared" si="41"/>
        <v/>
      </c>
      <c r="O345" s="418" t="str">
        <f>IF('Data Set up'!$G$40="JUNE",IF(OR($N345=7,$N345=8,$N345=9),1,IF(OR($N345=10,$N345=11,$N345=12),2,IF(OR($N345=1,$N345=2,$N345=3),3,IF(OR($N345=4,$N345=5,$N345=6),4,"")))),IF(OR($N345=9,$N345=10,$N345=11),1,IF(OR($N345=12,$N345=1,$N345=2),2,IF(OR($N345=3,$N345=4,$N345=5),3,IF(OR($N345=6,$N345=7,$N345=8),4,"")))))</f>
        <v/>
      </c>
      <c r="P345" s="445"/>
      <c r="Q345" s="291"/>
      <c r="R345" s="291"/>
      <c r="S345" s="275"/>
      <c r="T345" s="275"/>
      <c r="U345" s="275"/>
      <c r="V345" s="275"/>
      <c r="W345" s="275"/>
      <c r="X345" s="275"/>
      <c r="Y345" s="275"/>
      <c r="Z345" s="275"/>
      <c r="AA345" s="275"/>
      <c r="AB345" s="275"/>
      <c r="AC345" s="275"/>
      <c r="AD345" s="275"/>
      <c r="AE345" s="275"/>
      <c r="AF345" s="275"/>
      <c r="AG345" s="275"/>
      <c r="AH345" s="438"/>
      <c r="AI345" s="439">
        <f t="shared" si="42"/>
        <v>0</v>
      </c>
      <c r="AJ345" s="263"/>
      <c r="AK345" s="263"/>
      <c r="AL345" s="263"/>
      <c r="AM345" s="263"/>
      <c r="AN345" s="263"/>
      <c r="AO345" s="263"/>
      <c r="AP345" s="263"/>
      <c r="AQ345" s="436"/>
      <c r="AR345" s="275"/>
      <c r="AS345" s="275"/>
      <c r="AT345" s="275"/>
      <c r="AU345" s="275"/>
      <c r="AV345" s="275"/>
      <c r="AW345" s="275"/>
      <c r="AX345" s="275"/>
      <c r="AY345" s="437"/>
      <c r="AZ345" s="440">
        <f t="shared" si="43"/>
        <v>0</v>
      </c>
      <c r="BA345" s="275"/>
      <c r="BB345" s="275"/>
      <c r="BC345" s="275"/>
      <c r="BD345" s="275"/>
      <c r="BE345" s="275"/>
      <c r="BF345" s="275"/>
      <c r="BG345" s="275"/>
      <c r="BH345" s="436"/>
      <c r="BI345" s="275"/>
      <c r="BJ345" s="275"/>
      <c r="BK345" s="291"/>
      <c r="BL345" s="291"/>
      <c r="BM345" s="275"/>
      <c r="BN345" s="275"/>
      <c r="BO345" s="438"/>
      <c r="BP345" s="436"/>
      <c r="BQ345" s="275"/>
      <c r="BR345" s="275"/>
      <c r="BS345" s="275"/>
      <c r="BT345" s="275"/>
      <c r="BU345" s="275"/>
      <c r="BV345" s="275"/>
      <c r="BW345" s="275"/>
      <c r="BX345" s="438"/>
      <c r="BY345" s="436"/>
      <c r="BZ345" s="275"/>
      <c r="CA345" s="275"/>
      <c r="CB345" s="275"/>
      <c r="CC345" s="275"/>
      <c r="CD345" s="275"/>
      <c r="CE345" s="275"/>
      <c r="CF345" s="275"/>
      <c r="CG345" s="438"/>
      <c r="CH345" s="436"/>
      <c r="CI345" s="275"/>
      <c r="CJ345" s="275"/>
      <c r="CK345" s="275"/>
      <c r="CL345" s="275"/>
      <c r="CM345" s="275"/>
      <c r="CN345" s="275"/>
      <c r="CO345" s="442"/>
      <c r="CP345" s="443"/>
      <c r="CQ345" s="429">
        <f t="shared" si="44"/>
        <v>0</v>
      </c>
      <c r="CR345" s="430"/>
    </row>
    <row r="346" spans="1:96" ht="25.5" customHeight="1" x14ac:dyDescent="0.2">
      <c r="A346" s="410">
        <f t="shared" si="45"/>
        <v>331</v>
      </c>
      <c r="B346" s="280"/>
      <c r="C346" s="453"/>
      <c r="D346" s="411"/>
      <c r="E346" s="254"/>
      <c r="F346" s="277"/>
      <c r="G346" s="450"/>
      <c r="H346" s="451"/>
      <c r="I346" s="433" t="str">
        <f t="shared" si="39"/>
        <v/>
      </c>
      <c r="J346" s="434">
        <f t="shared" si="40"/>
        <v>0</v>
      </c>
      <c r="K346" s="452"/>
      <c r="L346" s="276"/>
      <c r="M346" s="435"/>
      <c r="N346" s="417" t="str">
        <f t="shared" si="41"/>
        <v/>
      </c>
      <c r="O346" s="418" t="str">
        <f>IF('Data Set up'!$G$40="JUNE",IF(OR($N346=7,$N346=8,$N346=9),1,IF(OR($N346=10,$N346=11,$N346=12),2,IF(OR($N346=1,$N346=2,$N346=3),3,IF(OR($N346=4,$N346=5,$N346=6),4,"")))),IF(OR($N346=9,$N346=10,$N346=11),1,IF(OR($N346=12,$N346=1,$N346=2),2,IF(OR($N346=3,$N346=4,$N346=5),3,IF(OR($N346=6,$N346=7,$N346=8),4,"")))))</f>
        <v/>
      </c>
      <c r="P346" s="445"/>
      <c r="Q346" s="291"/>
      <c r="R346" s="291"/>
      <c r="S346" s="275"/>
      <c r="T346" s="275"/>
      <c r="U346" s="275"/>
      <c r="V346" s="275"/>
      <c r="W346" s="275"/>
      <c r="X346" s="275"/>
      <c r="Y346" s="275"/>
      <c r="Z346" s="275"/>
      <c r="AA346" s="275"/>
      <c r="AB346" s="275"/>
      <c r="AC346" s="275"/>
      <c r="AD346" s="275"/>
      <c r="AE346" s="275"/>
      <c r="AF346" s="275"/>
      <c r="AG346" s="275"/>
      <c r="AH346" s="438"/>
      <c r="AI346" s="439">
        <f t="shared" si="42"/>
        <v>0</v>
      </c>
      <c r="AJ346" s="263"/>
      <c r="AK346" s="263"/>
      <c r="AL346" s="263"/>
      <c r="AM346" s="263"/>
      <c r="AN346" s="263"/>
      <c r="AO346" s="263"/>
      <c r="AP346" s="263"/>
      <c r="AQ346" s="436"/>
      <c r="AR346" s="275"/>
      <c r="AS346" s="275"/>
      <c r="AT346" s="275"/>
      <c r="AU346" s="275"/>
      <c r="AV346" s="275"/>
      <c r="AW346" s="275"/>
      <c r="AX346" s="275"/>
      <c r="AY346" s="437"/>
      <c r="AZ346" s="440">
        <f t="shared" si="43"/>
        <v>0</v>
      </c>
      <c r="BA346" s="275"/>
      <c r="BB346" s="275"/>
      <c r="BC346" s="275"/>
      <c r="BD346" s="275"/>
      <c r="BE346" s="275"/>
      <c r="BF346" s="275"/>
      <c r="BG346" s="275"/>
      <c r="BH346" s="436"/>
      <c r="BI346" s="275"/>
      <c r="BJ346" s="275"/>
      <c r="BK346" s="291"/>
      <c r="BL346" s="291"/>
      <c r="BM346" s="275"/>
      <c r="BN346" s="275"/>
      <c r="BO346" s="438"/>
      <c r="BP346" s="436"/>
      <c r="BQ346" s="275"/>
      <c r="BR346" s="275"/>
      <c r="BS346" s="275"/>
      <c r="BT346" s="275"/>
      <c r="BU346" s="275"/>
      <c r="BV346" s="275"/>
      <c r="BW346" s="275"/>
      <c r="BX346" s="438"/>
      <c r="BY346" s="436"/>
      <c r="BZ346" s="275"/>
      <c r="CA346" s="275"/>
      <c r="CB346" s="275"/>
      <c r="CC346" s="275"/>
      <c r="CD346" s="275"/>
      <c r="CE346" s="275"/>
      <c r="CF346" s="275"/>
      <c r="CG346" s="438"/>
      <c r="CH346" s="436"/>
      <c r="CI346" s="275"/>
      <c r="CJ346" s="275"/>
      <c r="CK346" s="275"/>
      <c r="CL346" s="275"/>
      <c r="CM346" s="275"/>
      <c r="CN346" s="275"/>
      <c r="CO346" s="442"/>
      <c r="CP346" s="443"/>
      <c r="CQ346" s="429">
        <f t="shared" si="44"/>
        <v>0</v>
      </c>
      <c r="CR346" s="430"/>
    </row>
    <row r="347" spans="1:96" ht="25.5" customHeight="1" x14ac:dyDescent="0.2">
      <c r="A347" s="410">
        <f t="shared" si="45"/>
        <v>332</v>
      </c>
      <c r="B347" s="280"/>
      <c r="C347" s="453"/>
      <c r="D347" s="411"/>
      <c r="E347" s="254"/>
      <c r="F347" s="277"/>
      <c r="G347" s="450"/>
      <c r="H347" s="451"/>
      <c r="I347" s="433" t="str">
        <f t="shared" si="39"/>
        <v/>
      </c>
      <c r="J347" s="434">
        <f t="shared" si="40"/>
        <v>0</v>
      </c>
      <c r="K347" s="452"/>
      <c r="L347" s="276"/>
      <c r="M347" s="435"/>
      <c r="N347" s="417" t="str">
        <f t="shared" si="41"/>
        <v/>
      </c>
      <c r="O347" s="418" t="str">
        <f>IF('Data Set up'!$G$40="JUNE",IF(OR($N347=7,$N347=8,$N347=9),1,IF(OR($N347=10,$N347=11,$N347=12),2,IF(OR($N347=1,$N347=2,$N347=3),3,IF(OR($N347=4,$N347=5,$N347=6),4,"")))),IF(OR($N347=9,$N347=10,$N347=11),1,IF(OR($N347=12,$N347=1,$N347=2),2,IF(OR($N347=3,$N347=4,$N347=5),3,IF(OR($N347=6,$N347=7,$N347=8),4,"")))))</f>
        <v/>
      </c>
      <c r="P347" s="445"/>
      <c r="Q347" s="291"/>
      <c r="R347" s="291"/>
      <c r="S347" s="275"/>
      <c r="T347" s="275"/>
      <c r="U347" s="275"/>
      <c r="V347" s="275"/>
      <c r="W347" s="275"/>
      <c r="X347" s="275"/>
      <c r="Y347" s="275"/>
      <c r="Z347" s="275"/>
      <c r="AA347" s="275"/>
      <c r="AB347" s="275"/>
      <c r="AC347" s="275"/>
      <c r="AD347" s="275"/>
      <c r="AE347" s="275"/>
      <c r="AF347" s="275"/>
      <c r="AG347" s="275"/>
      <c r="AH347" s="438"/>
      <c r="AI347" s="439">
        <f t="shared" si="42"/>
        <v>0</v>
      </c>
      <c r="AJ347" s="263"/>
      <c r="AK347" s="263"/>
      <c r="AL347" s="263"/>
      <c r="AM347" s="263"/>
      <c r="AN347" s="263"/>
      <c r="AO347" s="263"/>
      <c r="AP347" s="263"/>
      <c r="AQ347" s="436"/>
      <c r="AR347" s="275"/>
      <c r="AS347" s="275"/>
      <c r="AT347" s="275"/>
      <c r="AU347" s="275"/>
      <c r="AV347" s="275"/>
      <c r="AW347" s="275"/>
      <c r="AX347" s="275"/>
      <c r="AY347" s="437"/>
      <c r="AZ347" s="440">
        <f t="shared" si="43"/>
        <v>0</v>
      </c>
      <c r="BA347" s="275"/>
      <c r="BB347" s="275"/>
      <c r="BC347" s="275"/>
      <c r="BD347" s="275"/>
      <c r="BE347" s="275"/>
      <c r="BF347" s="275"/>
      <c r="BG347" s="275"/>
      <c r="BH347" s="436"/>
      <c r="BI347" s="275"/>
      <c r="BJ347" s="275"/>
      <c r="BK347" s="291"/>
      <c r="BL347" s="291"/>
      <c r="BM347" s="275"/>
      <c r="BN347" s="275"/>
      <c r="BO347" s="438"/>
      <c r="BP347" s="436"/>
      <c r="BQ347" s="275"/>
      <c r="BR347" s="275"/>
      <c r="BS347" s="275"/>
      <c r="BT347" s="275"/>
      <c r="BU347" s="275"/>
      <c r="BV347" s="275"/>
      <c r="BW347" s="275"/>
      <c r="BX347" s="438"/>
      <c r="BY347" s="436"/>
      <c r="BZ347" s="275"/>
      <c r="CA347" s="275"/>
      <c r="CB347" s="275"/>
      <c r="CC347" s="275"/>
      <c r="CD347" s="275"/>
      <c r="CE347" s="275"/>
      <c r="CF347" s="275"/>
      <c r="CG347" s="438"/>
      <c r="CH347" s="436"/>
      <c r="CI347" s="275"/>
      <c r="CJ347" s="275"/>
      <c r="CK347" s="275"/>
      <c r="CL347" s="275"/>
      <c r="CM347" s="275"/>
      <c r="CN347" s="275"/>
      <c r="CO347" s="442"/>
      <c r="CP347" s="443"/>
      <c r="CQ347" s="429">
        <f t="shared" si="44"/>
        <v>0</v>
      </c>
      <c r="CR347" s="430"/>
    </row>
    <row r="348" spans="1:96" ht="25.5" customHeight="1" x14ac:dyDescent="0.2">
      <c r="A348" s="410">
        <f t="shared" si="45"/>
        <v>333</v>
      </c>
      <c r="B348" s="280"/>
      <c r="C348" s="453"/>
      <c r="D348" s="411"/>
      <c r="E348" s="254"/>
      <c r="F348" s="277"/>
      <c r="G348" s="450"/>
      <c r="H348" s="451"/>
      <c r="I348" s="433" t="str">
        <f t="shared" si="39"/>
        <v/>
      </c>
      <c r="J348" s="434">
        <f t="shared" si="40"/>
        <v>0</v>
      </c>
      <c r="K348" s="452"/>
      <c r="L348" s="276"/>
      <c r="M348" s="435"/>
      <c r="N348" s="417" t="str">
        <f t="shared" si="41"/>
        <v/>
      </c>
      <c r="O348" s="418" t="str">
        <f>IF('Data Set up'!$G$40="JUNE",IF(OR($N348=7,$N348=8,$N348=9),1,IF(OR($N348=10,$N348=11,$N348=12),2,IF(OR($N348=1,$N348=2,$N348=3),3,IF(OR($N348=4,$N348=5,$N348=6),4,"")))),IF(OR($N348=9,$N348=10,$N348=11),1,IF(OR($N348=12,$N348=1,$N348=2),2,IF(OR($N348=3,$N348=4,$N348=5),3,IF(OR($N348=6,$N348=7,$N348=8),4,"")))))</f>
        <v/>
      </c>
      <c r="P348" s="445"/>
      <c r="Q348" s="291"/>
      <c r="R348" s="291"/>
      <c r="S348" s="275"/>
      <c r="T348" s="275"/>
      <c r="U348" s="275"/>
      <c r="V348" s="275"/>
      <c r="W348" s="275"/>
      <c r="X348" s="275"/>
      <c r="Y348" s="275"/>
      <c r="Z348" s="275"/>
      <c r="AA348" s="275"/>
      <c r="AB348" s="275"/>
      <c r="AC348" s="275"/>
      <c r="AD348" s="275"/>
      <c r="AE348" s="275"/>
      <c r="AF348" s="275"/>
      <c r="AG348" s="275"/>
      <c r="AH348" s="438"/>
      <c r="AI348" s="439">
        <f t="shared" si="42"/>
        <v>0</v>
      </c>
      <c r="AJ348" s="263"/>
      <c r="AK348" s="263"/>
      <c r="AL348" s="263"/>
      <c r="AM348" s="263"/>
      <c r="AN348" s="263"/>
      <c r="AO348" s="263"/>
      <c r="AP348" s="263"/>
      <c r="AQ348" s="436"/>
      <c r="AR348" s="275"/>
      <c r="AS348" s="275"/>
      <c r="AT348" s="275"/>
      <c r="AU348" s="275"/>
      <c r="AV348" s="275"/>
      <c r="AW348" s="275"/>
      <c r="AX348" s="275"/>
      <c r="AY348" s="437"/>
      <c r="AZ348" s="440">
        <f t="shared" si="43"/>
        <v>0</v>
      </c>
      <c r="BA348" s="275"/>
      <c r="BB348" s="275"/>
      <c r="BC348" s="275"/>
      <c r="BD348" s="275"/>
      <c r="BE348" s="275"/>
      <c r="BF348" s="275"/>
      <c r="BG348" s="275"/>
      <c r="BH348" s="436"/>
      <c r="BI348" s="275"/>
      <c r="BJ348" s="275"/>
      <c r="BK348" s="291"/>
      <c r="BL348" s="291"/>
      <c r="BM348" s="275"/>
      <c r="BN348" s="275"/>
      <c r="BO348" s="438"/>
      <c r="BP348" s="436"/>
      <c r="BQ348" s="275"/>
      <c r="BR348" s="275"/>
      <c r="BS348" s="275"/>
      <c r="BT348" s="275"/>
      <c r="BU348" s="275"/>
      <c r="BV348" s="275"/>
      <c r="BW348" s="275"/>
      <c r="BX348" s="438"/>
      <c r="BY348" s="436"/>
      <c r="BZ348" s="275"/>
      <c r="CA348" s="275"/>
      <c r="CB348" s="275"/>
      <c r="CC348" s="275"/>
      <c r="CD348" s="275"/>
      <c r="CE348" s="275"/>
      <c r="CF348" s="275"/>
      <c r="CG348" s="438"/>
      <c r="CH348" s="436"/>
      <c r="CI348" s="275"/>
      <c r="CJ348" s="275"/>
      <c r="CK348" s="275"/>
      <c r="CL348" s="275"/>
      <c r="CM348" s="275"/>
      <c r="CN348" s="275"/>
      <c r="CO348" s="442"/>
      <c r="CP348" s="443"/>
      <c r="CQ348" s="429">
        <f t="shared" si="44"/>
        <v>0</v>
      </c>
      <c r="CR348" s="430"/>
    </row>
    <row r="349" spans="1:96" ht="25.5" customHeight="1" x14ac:dyDescent="0.2">
      <c r="A349" s="410">
        <f t="shared" si="45"/>
        <v>334</v>
      </c>
      <c r="B349" s="280"/>
      <c r="C349" s="453"/>
      <c r="D349" s="411"/>
      <c r="E349" s="254"/>
      <c r="F349" s="277"/>
      <c r="G349" s="450"/>
      <c r="H349" s="451"/>
      <c r="I349" s="433" t="str">
        <f t="shared" si="39"/>
        <v/>
      </c>
      <c r="J349" s="434">
        <f t="shared" si="40"/>
        <v>0</v>
      </c>
      <c r="K349" s="452"/>
      <c r="L349" s="276"/>
      <c r="M349" s="435"/>
      <c r="N349" s="417" t="str">
        <f t="shared" si="41"/>
        <v/>
      </c>
      <c r="O349" s="418" t="str">
        <f>IF('Data Set up'!$G$40="JUNE",IF(OR($N349=7,$N349=8,$N349=9),1,IF(OR($N349=10,$N349=11,$N349=12),2,IF(OR($N349=1,$N349=2,$N349=3),3,IF(OR($N349=4,$N349=5,$N349=6),4,"")))),IF(OR($N349=9,$N349=10,$N349=11),1,IF(OR($N349=12,$N349=1,$N349=2),2,IF(OR($N349=3,$N349=4,$N349=5),3,IF(OR($N349=6,$N349=7,$N349=8),4,"")))))</f>
        <v/>
      </c>
      <c r="P349" s="445"/>
      <c r="Q349" s="291"/>
      <c r="R349" s="291"/>
      <c r="S349" s="275"/>
      <c r="T349" s="275"/>
      <c r="U349" s="275"/>
      <c r="V349" s="275"/>
      <c r="W349" s="275"/>
      <c r="X349" s="275"/>
      <c r="Y349" s="275"/>
      <c r="Z349" s="275"/>
      <c r="AA349" s="275"/>
      <c r="AB349" s="275"/>
      <c r="AC349" s="275"/>
      <c r="AD349" s="275"/>
      <c r="AE349" s="275"/>
      <c r="AF349" s="275"/>
      <c r="AG349" s="275"/>
      <c r="AH349" s="438"/>
      <c r="AI349" s="439">
        <f t="shared" si="42"/>
        <v>0</v>
      </c>
      <c r="AJ349" s="263"/>
      <c r="AK349" s="263"/>
      <c r="AL349" s="263"/>
      <c r="AM349" s="263"/>
      <c r="AN349" s="263"/>
      <c r="AO349" s="263"/>
      <c r="AP349" s="263"/>
      <c r="AQ349" s="436"/>
      <c r="AR349" s="275"/>
      <c r="AS349" s="275"/>
      <c r="AT349" s="275"/>
      <c r="AU349" s="275"/>
      <c r="AV349" s="275"/>
      <c r="AW349" s="275"/>
      <c r="AX349" s="275"/>
      <c r="AY349" s="437"/>
      <c r="AZ349" s="440">
        <f t="shared" si="43"/>
        <v>0</v>
      </c>
      <c r="BA349" s="275"/>
      <c r="BB349" s="275"/>
      <c r="BC349" s="275"/>
      <c r="BD349" s="275"/>
      <c r="BE349" s="275"/>
      <c r="BF349" s="275"/>
      <c r="BG349" s="275"/>
      <c r="BH349" s="436"/>
      <c r="BI349" s="275"/>
      <c r="BJ349" s="275"/>
      <c r="BK349" s="291"/>
      <c r="BL349" s="291"/>
      <c r="BM349" s="275"/>
      <c r="BN349" s="275"/>
      <c r="BO349" s="438"/>
      <c r="BP349" s="436"/>
      <c r="BQ349" s="275"/>
      <c r="BR349" s="275"/>
      <c r="BS349" s="275"/>
      <c r="BT349" s="275"/>
      <c r="BU349" s="275"/>
      <c r="BV349" s="275"/>
      <c r="BW349" s="275"/>
      <c r="BX349" s="438"/>
      <c r="BY349" s="436"/>
      <c r="BZ349" s="275"/>
      <c r="CA349" s="275"/>
      <c r="CB349" s="275"/>
      <c r="CC349" s="275"/>
      <c r="CD349" s="275"/>
      <c r="CE349" s="275"/>
      <c r="CF349" s="275"/>
      <c r="CG349" s="438"/>
      <c r="CH349" s="436"/>
      <c r="CI349" s="275"/>
      <c r="CJ349" s="275"/>
      <c r="CK349" s="275"/>
      <c r="CL349" s="275"/>
      <c r="CM349" s="275"/>
      <c r="CN349" s="275"/>
      <c r="CO349" s="442"/>
      <c r="CP349" s="443"/>
      <c r="CQ349" s="429">
        <f t="shared" si="44"/>
        <v>0</v>
      </c>
      <c r="CR349" s="430"/>
    </row>
    <row r="350" spans="1:96" ht="25.5" customHeight="1" x14ac:dyDescent="0.2">
      <c r="A350" s="410">
        <f t="shared" si="45"/>
        <v>335</v>
      </c>
      <c r="B350" s="280"/>
      <c r="C350" s="453"/>
      <c r="D350" s="411"/>
      <c r="E350" s="254"/>
      <c r="F350" s="277"/>
      <c r="G350" s="450"/>
      <c r="H350" s="451"/>
      <c r="I350" s="433" t="str">
        <f t="shared" si="39"/>
        <v/>
      </c>
      <c r="J350" s="434">
        <f t="shared" si="40"/>
        <v>0</v>
      </c>
      <c r="K350" s="452"/>
      <c r="L350" s="276"/>
      <c r="M350" s="435"/>
      <c r="N350" s="417" t="str">
        <f t="shared" si="41"/>
        <v/>
      </c>
      <c r="O350" s="418" t="str">
        <f>IF('Data Set up'!$G$40="JUNE",IF(OR($N350=7,$N350=8,$N350=9),1,IF(OR($N350=10,$N350=11,$N350=12),2,IF(OR($N350=1,$N350=2,$N350=3),3,IF(OR($N350=4,$N350=5,$N350=6),4,"")))),IF(OR($N350=9,$N350=10,$N350=11),1,IF(OR($N350=12,$N350=1,$N350=2),2,IF(OR($N350=3,$N350=4,$N350=5),3,IF(OR($N350=6,$N350=7,$N350=8),4,"")))))</f>
        <v/>
      </c>
      <c r="P350" s="445"/>
      <c r="Q350" s="291"/>
      <c r="R350" s="291"/>
      <c r="S350" s="275"/>
      <c r="T350" s="275"/>
      <c r="U350" s="275"/>
      <c r="V350" s="275"/>
      <c r="W350" s="275"/>
      <c r="X350" s="275"/>
      <c r="Y350" s="275"/>
      <c r="Z350" s="275"/>
      <c r="AA350" s="275"/>
      <c r="AB350" s="275"/>
      <c r="AC350" s="275"/>
      <c r="AD350" s="275"/>
      <c r="AE350" s="275"/>
      <c r="AF350" s="275"/>
      <c r="AG350" s="275"/>
      <c r="AH350" s="438"/>
      <c r="AI350" s="439">
        <f t="shared" si="42"/>
        <v>0</v>
      </c>
      <c r="AJ350" s="263"/>
      <c r="AK350" s="263"/>
      <c r="AL350" s="263"/>
      <c r="AM350" s="263"/>
      <c r="AN350" s="263"/>
      <c r="AO350" s="263"/>
      <c r="AP350" s="263"/>
      <c r="AQ350" s="436"/>
      <c r="AR350" s="275"/>
      <c r="AS350" s="275"/>
      <c r="AT350" s="275"/>
      <c r="AU350" s="275"/>
      <c r="AV350" s="275"/>
      <c r="AW350" s="275"/>
      <c r="AX350" s="275"/>
      <c r="AY350" s="437"/>
      <c r="AZ350" s="440">
        <f t="shared" si="43"/>
        <v>0</v>
      </c>
      <c r="BA350" s="275"/>
      <c r="BB350" s="275"/>
      <c r="BC350" s="275"/>
      <c r="BD350" s="275"/>
      <c r="BE350" s="275"/>
      <c r="BF350" s="275"/>
      <c r="BG350" s="275"/>
      <c r="BH350" s="436"/>
      <c r="BI350" s="275"/>
      <c r="BJ350" s="275"/>
      <c r="BK350" s="291"/>
      <c r="BL350" s="291"/>
      <c r="BM350" s="275"/>
      <c r="BN350" s="275"/>
      <c r="BO350" s="438"/>
      <c r="BP350" s="436"/>
      <c r="BQ350" s="275"/>
      <c r="BR350" s="275"/>
      <c r="BS350" s="275"/>
      <c r="BT350" s="275"/>
      <c r="BU350" s="275"/>
      <c r="BV350" s="275"/>
      <c r="BW350" s="275"/>
      <c r="BX350" s="438"/>
      <c r="BY350" s="436"/>
      <c r="BZ350" s="275"/>
      <c r="CA350" s="275"/>
      <c r="CB350" s="275"/>
      <c r="CC350" s="275"/>
      <c r="CD350" s="275"/>
      <c r="CE350" s="275"/>
      <c r="CF350" s="275"/>
      <c r="CG350" s="438"/>
      <c r="CH350" s="436"/>
      <c r="CI350" s="275"/>
      <c r="CJ350" s="275"/>
      <c r="CK350" s="275"/>
      <c r="CL350" s="275"/>
      <c r="CM350" s="275"/>
      <c r="CN350" s="275"/>
      <c r="CO350" s="442"/>
      <c r="CP350" s="443"/>
      <c r="CQ350" s="429">
        <f t="shared" si="44"/>
        <v>0</v>
      </c>
      <c r="CR350" s="430"/>
    </row>
    <row r="351" spans="1:96" ht="25.5" customHeight="1" x14ac:dyDescent="0.2">
      <c r="A351" s="410">
        <f t="shared" si="45"/>
        <v>336</v>
      </c>
      <c r="B351" s="280"/>
      <c r="C351" s="453"/>
      <c r="D351" s="411"/>
      <c r="E351" s="254"/>
      <c r="F351" s="277"/>
      <c r="G351" s="450"/>
      <c r="H351" s="451"/>
      <c r="I351" s="433" t="str">
        <f t="shared" si="39"/>
        <v/>
      </c>
      <c r="J351" s="434">
        <f t="shared" si="40"/>
        <v>0</v>
      </c>
      <c r="K351" s="452"/>
      <c r="L351" s="276"/>
      <c r="M351" s="435"/>
      <c r="N351" s="417" t="str">
        <f t="shared" si="41"/>
        <v/>
      </c>
      <c r="O351" s="418" t="str">
        <f>IF('Data Set up'!$G$40="JUNE",IF(OR($N351=7,$N351=8,$N351=9),1,IF(OR($N351=10,$N351=11,$N351=12),2,IF(OR($N351=1,$N351=2,$N351=3),3,IF(OR($N351=4,$N351=5,$N351=6),4,"")))),IF(OR($N351=9,$N351=10,$N351=11),1,IF(OR($N351=12,$N351=1,$N351=2),2,IF(OR($N351=3,$N351=4,$N351=5),3,IF(OR($N351=6,$N351=7,$N351=8),4,"")))))</f>
        <v/>
      </c>
      <c r="P351" s="445"/>
      <c r="Q351" s="291"/>
      <c r="R351" s="291"/>
      <c r="S351" s="275"/>
      <c r="T351" s="275"/>
      <c r="U351" s="275"/>
      <c r="V351" s="275"/>
      <c r="W351" s="275"/>
      <c r="X351" s="275"/>
      <c r="Y351" s="275"/>
      <c r="Z351" s="275"/>
      <c r="AA351" s="275"/>
      <c r="AB351" s="275"/>
      <c r="AC351" s="275"/>
      <c r="AD351" s="275"/>
      <c r="AE351" s="275"/>
      <c r="AF351" s="275"/>
      <c r="AG351" s="275"/>
      <c r="AH351" s="438"/>
      <c r="AI351" s="439">
        <f t="shared" si="42"/>
        <v>0</v>
      </c>
      <c r="AJ351" s="263"/>
      <c r="AK351" s="263"/>
      <c r="AL351" s="263"/>
      <c r="AM351" s="263"/>
      <c r="AN351" s="263"/>
      <c r="AO351" s="263"/>
      <c r="AP351" s="263"/>
      <c r="AQ351" s="436"/>
      <c r="AR351" s="275"/>
      <c r="AS351" s="275"/>
      <c r="AT351" s="275"/>
      <c r="AU351" s="275"/>
      <c r="AV351" s="275"/>
      <c r="AW351" s="275"/>
      <c r="AX351" s="275"/>
      <c r="AY351" s="437"/>
      <c r="AZ351" s="440">
        <f t="shared" si="43"/>
        <v>0</v>
      </c>
      <c r="BA351" s="275"/>
      <c r="BB351" s="275"/>
      <c r="BC351" s="275"/>
      <c r="BD351" s="275"/>
      <c r="BE351" s="275"/>
      <c r="BF351" s="275"/>
      <c r="BG351" s="275"/>
      <c r="BH351" s="436"/>
      <c r="BI351" s="275"/>
      <c r="BJ351" s="275"/>
      <c r="BK351" s="291"/>
      <c r="BL351" s="291"/>
      <c r="BM351" s="275"/>
      <c r="BN351" s="275"/>
      <c r="BO351" s="438"/>
      <c r="BP351" s="436"/>
      <c r="BQ351" s="275"/>
      <c r="BR351" s="275"/>
      <c r="BS351" s="275"/>
      <c r="BT351" s="275"/>
      <c r="BU351" s="275"/>
      <c r="BV351" s="275"/>
      <c r="BW351" s="275"/>
      <c r="BX351" s="438"/>
      <c r="BY351" s="436"/>
      <c r="BZ351" s="275"/>
      <c r="CA351" s="275"/>
      <c r="CB351" s="275"/>
      <c r="CC351" s="275"/>
      <c r="CD351" s="275"/>
      <c r="CE351" s="275"/>
      <c r="CF351" s="275"/>
      <c r="CG351" s="438"/>
      <c r="CH351" s="436"/>
      <c r="CI351" s="275"/>
      <c r="CJ351" s="275"/>
      <c r="CK351" s="275"/>
      <c r="CL351" s="275"/>
      <c r="CM351" s="275"/>
      <c r="CN351" s="275"/>
      <c r="CO351" s="442"/>
      <c r="CP351" s="443"/>
      <c r="CQ351" s="429">
        <f t="shared" si="44"/>
        <v>0</v>
      </c>
      <c r="CR351" s="430"/>
    </row>
    <row r="352" spans="1:96" ht="25.5" customHeight="1" x14ac:dyDescent="0.2">
      <c r="A352" s="410">
        <f t="shared" si="45"/>
        <v>337</v>
      </c>
      <c r="B352" s="280"/>
      <c r="C352" s="453"/>
      <c r="D352" s="411"/>
      <c r="E352" s="254"/>
      <c r="F352" s="277"/>
      <c r="G352" s="450"/>
      <c r="H352" s="451"/>
      <c r="I352" s="433" t="str">
        <f t="shared" si="39"/>
        <v/>
      </c>
      <c r="J352" s="434">
        <f t="shared" si="40"/>
        <v>0</v>
      </c>
      <c r="K352" s="452"/>
      <c r="L352" s="276"/>
      <c r="M352" s="435"/>
      <c r="N352" s="417" t="str">
        <f t="shared" si="41"/>
        <v/>
      </c>
      <c r="O352" s="418" t="str">
        <f>IF('Data Set up'!$G$40="JUNE",IF(OR($N352=7,$N352=8,$N352=9),1,IF(OR($N352=10,$N352=11,$N352=12),2,IF(OR($N352=1,$N352=2,$N352=3),3,IF(OR($N352=4,$N352=5,$N352=6),4,"")))),IF(OR($N352=9,$N352=10,$N352=11),1,IF(OR($N352=12,$N352=1,$N352=2),2,IF(OR($N352=3,$N352=4,$N352=5),3,IF(OR($N352=6,$N352=7,$N352=8),4,"")))))</f>
        <v/>
      </c>
      <c r="P352" s="445"/>
      <c r="Q352" s="291"/>
      <c r="R352" s="291"/>
      <c r="S352" s="275"/>
      <c r="T352" s="275"/>
      <c r="U352" s="275"/>
      <c r="V352" s="275"/>
      <c r="W352" s="275"/>
      <c r="X352" s="275"/>
      <c r="Y352" s="275"/>
      <c r="Z352" s="275"/>
      <c r="AA352" s="275"/>
      <c r="AB352" s="275"/>
      <c r="AC352" s="275"/>
      <c r="AD352" s="275"/>
      <c r="AE352" s="275"/>
      <c r="AF352" s="275"/>
      <c r="AG352" s="275"/>
      <c r="AH352" s="438"/>
      <c r="AI352" s="439">
        <f t="shared" si="42"/>
        <v>0</v>
      </c>
      <c r="AJ352" s="263"/>
      <c r="AK352" s="263"/>
      <c r="AL352" s="263"/>
      <c r="AM352" s="263"/>
      <c r="AN352" s="263"/>
      <c r="AO352" s="263"/>
      <c r="AP352" s="263"/>
      <c r="AQ352" s="436"/>
      <c r="AR352" s="275"/>
      <c r="AS352" s="275"/>
      <c r="AT352" s="275"/>
      <c r="AU352" s="275"/>
      <c r="AV352" s="275"/>
      <c r="AW352" s="275"/>
      <c r="AX352" s="275"/>
      <c r="AY352" s="437"/>
      <c r="AZ352" s="440">
        <f t="shared" si="43"/>
        <v>0</v>
      </c>
      <c r="BA352" s="275"/>
      <c r="BB352" s="275"/>
      <c r="BC352" s="275"/>
      <c r="BD352" s="275"/>
      <c r="BE352" s="275"/>
      <c r="BF352" s="275"/>
      <c r="BG352" s="275"/>
      <c r="BH352" s="436"/>
      <c r="BI352" s="275"/>
      <c r="BJ352" s="275"/>
      <c r="BK352" s="291"/>
      <c r="BL352" s="291"/>
      <c r="BM352" s="275"/>
      <c r="BN352" s="275"/>
      <c r="BO352" s="438"/>
      <c r="BP352" s="436"/>
      <c r="BQ352" s="275"/>
      <c r="BR352" s="275"/>
      <c r="BS352" s="275"/>
      <c r="BT352" s="275"/>
      <c r="BU352" s="275"/>
      <c r="BV352" s="275"/>
      <c r="BW352" s="275"/>
      <c r="BX352" s="438"/>
      <c r="BY352" s="436"/>
      <c r="BZ352" s="275"/>
      <c r="CA352" s="275"/>
      <c r="CB352" s="275"/>
      <c r="CC352" s="275"/>
      <c r="CD352" s="275"/>
      <c r="CE352" s="275"/>
      <c r="CF352" s="275"/>
      <c r="CG352" s="438"/>
      <c r="CH352" s="436"/>
      <c r="CI352" s="275"/>
      <c r="CJ352" s="275"/>
      <c r="CK352" s="275"/>
      <c r="CL352" s="275"/>
      <c r="CM352" s="275"/>
      <c r="CN352" s="275"/>
      <c r="CO352" s="442"/>
      <c r="CP352" s="443"/>
      <c r="CQ352" s="429">
        <f t="shared" si="44"/>
        <v>0</v>
      </c>
      <c r="CR352" s="430"/>
    </row>
    <row r="353" spans="1:96" ht="25.5" customHeight="1" x14ac:dyDescent="0.2">
      <c r="A353" s="410">
        <f t="shared" si="45"/>
        <v>338</v>
      </c>
      <c r="B353" s="280"/>
      <c r="C353" s="453"/>
      <c r="D353" s="411"/>
      <c r="E353" s="254"/>
      <c r="F353" s="277"/>
      <c r="G353" s="450"/>
      <c r="H353" s="451"/>
      <c r="I353" s="433" t="str">
        <f t="shared" si="39"/>
        <v/>
      </c>
      <c r="J353" s="434">
        <f t="shared" si="40"/>
        <v>0</v>
      </c>
      <c r="K353" s="452"/>
      <c r="L353" s="276"/>
      <c r="M353" s="435"/>
      <c r="N353" s="417" t="str">
        <f t="shared" si="41"/>
        <v/>
      </c>
      <c r="O353" s="418" t="str">
        <f>IF('Data Set up'!$G$40="JUNE",IF(OR($N353=7,$N353=8,$N353=9),1,IF(OR($N353=10,$N353=11,$N353=12),2,IF(OR($N353=1,$N353=2,$N353=3),3,IF(OR($N353=4,$N353=5,$N353=6),4,"")))),IF(OR($N353=9,$N353=10,$N353=11),1,IF(OR($N353=12,$N353=1,$N353=2),2,IF(OR($N353=3,$N353=4,$N353=5),3,IF(OR($N353=6,$N353=7,$N353=8),4,"")))))</f>
        <v/>
      </c>
      <c r="P353" s="445"/>
      <c r="Q353" s="291"/>
      <c r="R353" s="291"/>
      <c r="S353" s="275"/>
      <c r="T353" s="275"/>
      <c r="U353" s="275"/>
      <c r="V353" s="275"/>
      <c r="W353" s="275"/>
      <c r="X353" s="275"/>
      <c r="Y353" s="275"/>
      <c r="Z353" s="275"/>
      <c r="AA353" s="275"/>
      <c r="AB353" s="275"/>
      <c r="AC353" s="275"/>
      <c r="AD353" s="275"/>
      <c r="AE353" s="275"/>
      <c r="AF353" s="275"/>
      <c r="AG353" s="275"/>
      <c r="AH353" s="438"/>
      <c r="AI353" s="439">
        <f t="shared" si="42"/>
        <v>0</v>
      </c>
      <c r="AJ353" s="263"/>
      <c r="AK353" s="263"/>
      <c r="AL353" s="263"/>
      <c r="AM353" s="263"/>
      <c r="AN353" s="263"/>
      <c r="AO353" s="263"/>
      <c r="AP353" s="263"/>
      <c r="AQ353" s="436"/>
      <c r="AR353" s="275"/>
      <c r="AS353" s="275"/>
      <c r="AT353" s="275"/>
      <c r="AU353" s="275"/>
      <c r="AV353" s="275"/>
      <c r="AW353" s="275"/>
      <c r="AX353" s="275"/>
      <c r="AY353" s="437"/>
      <c r="AZ353" s="440">
        <f t="shared" si="43"/>
        <v>0</v>
      </c>
      <c r="BA353" s="275"/>
      <c r="BB353" s="275"/>
      <c r="BC353" s="275"/>
      <c r="BD353" s="275"/>
      <c r="BE353" s="275"/>
      <c r="BF353" s="275"/>
      <c r="BG353" s="275"/>
      <c r="BH353" s="436"/>
      <c r="BI353" s="275"/>
      <c r="BJ353" s="275"/>
      <c r="BK353" s="291"/>
      <c r="BL353" s="291"/>
      <c r="BM353" s="275"/>
      <c r="BN353" s="275"/>
      <c r="BO353" s="438"/>
      <c r="BP353" s="436"/>
      <c r="BQ353" s="275"/>
      <c r="BR353" s="275"/>
      <c r="BS353" s="275"/>
      <c r="BT353" s="275"/>
      <c r="BU353" s="275"/>
      <c r="BV353" s="275"/>
      <c r="BW353" s="275"/>
      <c r="BX353" s="438"/>
      <c r="BY353" s="436"/>
      <c r="BZ353" s="275"/>
      <c r="CA353" s="275"/>
      <c r="CB353" s="275"/>
      <c r="CC353" s="275"/>
      <c r="CD353" s="275"/>
      <c r="CE353" s="275"/>
      <c r="CF353" s="275"/>
      <c r="CG353" s="438"/>
      <c r="CH353" s="436"/>
      <c r="CI353" s="275"/>
      <c r="CJ353" s="275"/>
      <c r="CK353" s="275"/>
      <c r="CL353" s="275"/>
      <c r="CM353" s="275"/>
      <c r="CN353" s="275"/>
      <c r="CO353" s="442"/>
      <c r="CP353" s="443"/>
      <c r="CQ353" s="429">
        <f t="shared" si="44"/>
        <v>0</v>
      </c>
      <c r="CR353" s="430"/>
    </row>
    <row r="354" spans="1:96" ht="25.5" customHeight="1" x14ac:dyDescent="0.2">
      <c r="A354" s="410">
        <f t="shared" si="45"/>
        <v>339</v>
      </c>
      <c r="B354" s="280"/>
      <c r="C354" s="453"/>
      <c r="D354" s="411"/>
      <c r="E354" s="254"/>
      <c r="F354" s="277"/>
      <c r="G354" s="450"/>
      <c r="H354" s="451"/>
      <c r="I354" s="433" t="str">
        <f t="shared" si="39"/>
        <v/>
      </c>
      <c r="J354" s="434">
        <f t="shared" si="40"/>
        <v>0</v>
      </c>
      <c r="K354" s="452"/>
      <c r="L354" s="276"/>
      <c r="M354" s="435"/>
      <c r="N354" s="417" t="str">
        <f t="shared" si="41"/>
        <v/>
      </c>
      <c r="O354" s="418" t="str">
        <f>IF('Data Set up'!$G$40="JUNE",IF(OR($N354=7,$N354=8,$N354=9),1,IF(OR($N354=10,$N354=11,$N354=12),2,IF(OR($N354=1,$N354=2,$N354=3),3,IF(OR($N354=4,$N354=5,$N354=6),4,"")))),IF(OR($N354=9,$N354=10,$N354=11),1,IF(OR($N354=12,$N354=1,$N354=2),2,IF(OR($N354=3,$N354=4,$N354=5),3,IF(OR($N354=6,$N354=7,$N354=8),4,"")))))</f>
        <v/>
      </c>
      <c r="P354" s="445"/>
      <c r="Q354" s="291"/>
      <c r="R354" s="291"/>
      <c r="S354" s="275"/>
      <c r="T354" s="275"/>
      <c r="U354" s="275"/>
      <c r="V354" s="275"/>
      <c r="W354" s="275"/>
      <c r="X354" s="275"/>
      <c r="Y354" s="275"/>
      <c r="Z354" s="275"/>
      <c r="AA354" s="275"/>
      <c r="AB354" s="275"/>
      <c r="AC354" s="275"/>
      <c r="AD354" s="275"/>
      <c r="AE354" s="275"/>
      <c r="AF354" s="275"/>
      <c r="AG354" s="275"/>
      <c r="AH354" s="438"/>
      <c r="AI354" s="439">
        <f t="shared" si="42"/>
        <v>0</v>
      </c>
      <c r="AJ354" s="263"/>
      <c r="AK354" s="263"/>
      <c r="AL354" s="263"/>
      <c r="AM354" s="263"/>
      <c r="AN354" s="263"/>
      <c r="AO354" s="263"/>
      <c r="AP354" s="263"/>
      <c r="AQ354" s="436"/>
      <c r="AR354" s="275"/>
      <c r="AS354" s="275"/>
      <c r="AT354" s="275"/>
      <c r="AU354" s="275"/>
      <c r="AV354" s="275"/>
      <c r="AW354" s="275"/>
      <c r="AX354" s="275"/>
      <c r="AY354" s="437"/>
      <c r="AZ354" s="440">
        <f t="shared" si="43"/>
        <v>0</v>
      </c>
      <c r="BA354" s="275"/>
      <c r="BB354" s="275"/>
      <c r="BC354" s="275"/>
      <c r="BD354" s="275"/>
      <c r="BE354" s="275"/>
      <c r="BF354" s="275"/>
      <c r="BG354" s="275"/>
      <c r="BH354" s="436"/>
      <c r="BI354" s="275"/>
      <c r="BJ354" s="275"/>
      <c r="BK354" s="291"/>
      <c r="BL354" s="291"/>
      <c r="BM354" s="275"/>
      <c r="BN354" s="275"/>
      <c r="BO354" s="438"/>
      <c r="BP354" s="436"/>
      <c r="BQ354" s="275"/>
      <c r="BR354" s="275"/>
      <c r="BS354" s="275"/>
      <c r="BT354" s="275"/>
      <c r="BU354" s="275"/>
      <c r="BV354" s="275"/>
      <c r="BW354" s="275"/>
      <c r="BX354" s="438"/>
      <c r="BY354" s="436"/>
      <c r="BZ354" s="275"/>
      <c r="CA354" s="275"/>
      <c r="CB354" s="275"/>
      <c r="CC354" s="275"/>
      <c r="CD354" s="275"/>
      <c r="CE354" s="275"/>
      <c r="CF354" s="275"/>
      <c r="CG354" s="438"/>
      <c r="CH354" s="436"/>
      <c r="CI354" s="275"/>
      <c r="CJ354" s="275"/>
      <c r="CK354" s="275"/>
      <c r="CL354" s="275"/>
      <c r="CM354" s="275"/>
      <c r="CN354" s="275"/>
      <c r="CO354" s="442"/>
      <c r="CP354" s="443"/>
      <c r="CQ354" s="429">
        <f t="shared" si="44"/>
        <v>0</v>
      </c>
      <c r="CR354" s="430"/>
    </row>
    <row r="355" spans="1:96" ht="25.5" customHeight="1" x14ac:dyDescent="0.2">
      <c r="A355" s="410">
        <f t="shared" si="45"/>
        <v>340</v>
      </c>
      <c r="B355" s="280"/>
      <c r="C355" s="453"/>
      <c r="D355" s="411"/>
      <c r="E355" s="254"/>
      <c r="F355" s="277"/>
      <c r="G355" s="450"/>
      <c r="H355" s="451"/>
      <c r="I355" s="433" t="str">
        <f t="shared" si="39"/>
        <v/>
      </c>
      <c r="J355" s="434">
        <f t="shared" si="40"/>
        <v>0</v>
      </c>
      <c r="K355" s="452"/>
      <c r="L355" s="276"/>
      <c r="M355" s="435"/>
      <c r="N355" s="417" t="str">
        <f t="shared" si="41"/>
        <v/>
      </c>
      <c r="O355" s="418" t="str">
        <f>IF('Data Set up'!$G$40="JUNE",IF(OR($N355=7,$N355=8,$N355=9),1,IF(OR($N355=10,$N355=11,$N355=12),2,IF(OR($N355=1,$N355=2,$N355=3),3,IF(OR($N355=4,$N355=5,$N355=6),4,"")))),IF(OR($N355=9,$N355=10,$N355=11),1,IF(OR($N355=12,$N355=1,$N355=2),2,IF(OR($N355=3,$N355=4,$N355=5),3,IF(OR($N355=6,$N355=7,$N355=8),4,"")))))</f>
        <v/>
      </c>
      <c r="P355" s="445"/>
      <c r="Q355" s="291"/>
      <c r="R355" s="291"/>
      <c r="S355" s="275"/>
      <c r="T355" s="275"/>
      <c r="U355" s="275"/>
      <c r="V355" s="275"/>
      <c r="W355" s="275"/>
      <c r="X355" s="275"/>
      <c r="Y355" s="275"/>
      <c r="Z355" s="275"/>
      <c r="AA355" s="275"/>
      <c r="AB355" s="275"/>
      <c r="AC355" s="275"/>
      <c r="AD355" s="275"/>
      <c r="AE355" s="275"/>
      <c r="AF355" s="275"/>
      <c r="AG355" s="275"/>
      <c r="AH355" s="438"/>
      <c r="AI355" s="439">
        <f t="shared" si="42"/>
        <v>0</v>
      </c>
      <c r="AJ355" s="263"/>
      <c r="AK355" s="263"/>
      <c r="AL355" s="263"/>
      <c r="AM355" s="263"/>
      <c r="AN355" s="263"/>
      <c r="AO355" s="263"/>
      <c r="AP355" s="263"/>
      <c r="AQ355" s="436"/>
      <c r="AR355" s="275"/>
      <c r="AS355" s="275"/>
      <c r="AT355" s="275"/>
      <c r="AU355" s="275"/>
      <c r="AV355" s="275"/>
      <c r="AW355" s="275"/>
      <c r="AX355" s="275"/>
      <c r="AY355" s="437"/>
      <c r="AZ355" s="440">
        <f t="shared" si="43"/>
        <v>0</v>
      </c>
      <c r="BA355" s="275"/>
      <c r="BB355" s="275"/>
      <c r="BC355" s="275"/>
      <c r="BD355" s="275"/>
      <c r="BE355" s="275"/>
      <c r="BF355" s="275"/>
      <c r="BG355" s="275"/>
      <c r="BH355" s="436"/>
      <c r="BI355" s="275"/>
      <c r="BJ355" s="275"/>
      <c r="BK355" s="291"/>
      <c r="BL355" s="291"/>
      <c r="BM355" s="275"/>
      <c r="BN355" s="275"/>
      <c r="BO355" s="438"/>
      <c r="BP355" s="436"/>
      <c r="BQ355" s="275"/>
      <c r="BR355" s="275"/>
      <c r="BS355" s="275"/>
      <c r="BT355" s="275"/>
      <c r="BU355" s="275"/>
      <c r="BV355" s="275"/>
      <c r="BW355" s="275"/>
      <c r="BX355" s="438"/>
      <c r="BY355" s="436"/>
      <c r="BZ355" s="275"/>
      <c r="CA355" s="275"/>
      <c r="CB355" s="275"/>
      <c r="CC355" s="275"/>
      <c r="CD355" s="275"/>
      <c r="CE355" s="275"/>
      <c r="CF355" s="275"/>
      <c r="CG355" s="438"/>
      <c r="CH355" s="436"/>
      <c r="CI355" s="275"/>
      <c r="CJ355" s="275"/>
      <c r="CK355" s="275"/>
      <c r="CL355" s="275"/>
      <c r="CM355" s="275"/>
      <c r="CN355" s="275"/>
      <c r="CO355" s="442"/>
      <c r="CP355" s="443"/>
      <c r="CQ355" s="429">
        <f t="shared" si="44"/>
        <v>0</v>
      </c>
      <c r="CR355" s="430"/>
    </row>
    <row r="356" spans="1:96" ht="25.5" customHeight="1" x14ac:dyDescent="0.2">
      <c r="A356" s="410">
        <f t="shared" si="45"/>
        <v>341</v>
      </c>
      <c r="B356" s="280"/>
      <c r="C356" s="453"/>
      <c r="D356" s="411"/>
      <c r="E356" s="254"/>
      <c r="F356" s="277"/>
      <c r="G356" s="450"/>
      <c r="H356" s="451"/>
      <c r="I356" s="433" t="str">
        <f t="shared" si="39"/>
        <v/>
      </c>
      <c r="J356" s="434">
        <f t="shared" si="40"/>
        <v>0</v>
      </c>
      <c r="K356" s="452"/>
      <c r="L356" s="276"/>
      <c r="M356" s="435"/>
      <c r="N356" s="417" t="str">
        <f t="shared" si="41"/>
        <v/>
      </c>
      <c r="O356" s="418" t="str">
        <f>IF('Data Set up'!$G$40="JUNE",IF(OR($N356=7,$N356=8,$N356=9),1,IF(OR($N356=10,$N356=11,$N356=12),2,IF(OR($N356=1,$N356=2,$N356=3),3,IF(OR($N356=4,$N356=5,$N356=6),4,"")))),IF(OR($N356=9,$N356=10,$N356=11),1,IF(OR($N356=12,$N356=1,$N356=2),2,IF(OR($N356=3,$N356=4,$N356=5),3,IF(OR($N356=6,$N356=7,$N356=8),4,"")))))</f>
        <v/>
      </c>
      <c r="P356" s="445"/>
      <c r="Q356" s="291"/>
      <c r="R356" s="291"/>
      <c r="S356" s="275"/>
      <c r="T356" s="275"/>
      <c r="U356" s="275"/>
      <c r="V356" s="275"/>
      <c r="W356" s="275"/>
      <c r="X356" s="275"/>
      <c r="Y356" s="275"/>
      <c r="Z356" s="275"/>
      <c r="AA356" s="275"/>
      <c r="AB356" s="275"/>
      <c r="AC356" s="275"/>
      <c r="AD356" s="275"/>
      <c r="AE356" s="275"/>
      <c r="AF356" s="275"/>
      <c r="AG356" s="275"/>
      <c r="AH356" s="438"/>
      <c r="AI356" s="439">
        <f t="shared" si="42"/>
        <v>0</v>
      </c>
      <c r="AJ356" s="263"/>
      <c r="AK356" s="263"/>
      <c r="AL356" s="263"/>
      <c r="AM356" s="263"/>
      <c r="AN356" s="263"/>
      <c r="AO356" s="263"/>
      <c r="AP356" s="263"/>
      <c r="AQ356" s="436"/>
      <c r="AR356" s="275"/>
      <c r="AS356" s="275"/>
      <c r="AT356" s="275"/>
      <c r="AU356" s="275"/>
      <c r="AV356" s="275"/>
      <c r="AW356" s="275"/>
      <c r="AX356" s="275"/>
      <c r="AY356" s="437"/>
      <c r="AZ356" s="440">
        <f t="shared" si="43"/>
        <v>0</v>
      </c>
      <c r="BA356" s="275"/>
      <c r="BB356" s="275"/>
      <c r="BC356" s="275"/>
      <c r="BD356" s="275"/>
      <c r="BE356" s="275"/>
      <c r="BF356" s="275"/>
      <c r="BG356" s="275"/>
      <c r="BH356" s="436"/>
      <c r="BI356" s="275"/>
      <c r="BJ356" s="275"/>
      <c r="BK356" s="291"/>
      <c r="BL356" s="291"/>
      <c r="BM356" s="275"/>
      <c r="BN356" s="275"/>
      <c r="BO356" s="438"/>
      <c r="BP356" s="436"/>
      <c r="BQ356" s="275"/>
      <c r="BR356" s="275"/>
      <c r="BS356" s="275"/>
      <c r="BT356" s="275"/>
      <c r="BU356" s="275"/>
      <c r="BV356" s="275"/>
      <c r="BW356" s="275"/>
      <c r="BX356" s="438"/>
      <c r="BY356" s="436"/>
      <c r="BZ356" s="275"/>
      <c r="CA356" s="275"/>
      <c r="CB356" s="275"/>
      <c r="CC356" s="275"/>
      <c r="CD356" s="275"/>
      <c r="CE356" s="275"/>
      <c r="CF356" s="275"/>
      <c r="CG356" s="438"/>
      <c r="CH356" s="436"/>
      <c r="CI356" s="275"/>
      <c r="CJ356" s="275"/>
      <c r="CK356" s="275"/>
      <c r="CL356" s="275"/>
      <c r="CM356" s="275"/>
      <c r="CN356" s="275"/>
      <c r="CO356" s="442"/>
      <c r="CP356" s="443"/>
      <c r="CQ356" s="429">
        <f t="shared" si="44"/>
        <v>0</v>
      </c>
      <c r="CR356" s="430"/>
    </row>
    <row r="357" spans="1:96" ht="25.5" customHeight="1" x14ac:dyDescent="0.2">
      <c r="A357" s="410">
        <f t="shared" si="45"/>
        <v>342</v>
      </c>
      <c r="B357" s="280"/>
      <c r="C357" s="453"/>
      <c r="D357" s="411"/>
      <c r="E357" s="254"/>
      <c r="F357" s="277"/>
      <c r="G357" s="450"/>
      <c r="H357" s="451"/>
      <c r="I357" s="433" t="str">
        <f t="shared" si="39"/>
        <v/>
      </c>
      <c r="J357" s="434">
        <f t="shared" si="40"/>
        <v>0</v>
      </c>
      <c r="K357" s="452"/>
      <c r="L357" s="276"/>
      <c r="M357" s="435"/>
      <c r="N357" s="417" t="str">
        <f t="shared" si="41"/>
        <v/>
      </c>
      <c r="O357" s="418" t="str">
        <f>IF('Data Set up'!$G$40="JUNE",IF(OR($N357=7,$N357=8,$N357=9),1,IF(OR($N357=10,$N357=11,$N357=12),2,IF(OR($N357=1,$N357=2,$N357=3),3,IF(OR($N357=4,$N357=5,$N357=6),4,"")))),IF(OR($N357=9,$N357=10,$N357=11),1,IF(OR($N357=12,$N357=1,$N357=2),2,IF(OR($N357=3,$N357=4,$N357=5),3,IF(OR($N357=6,$N357=7,$N357=8),4,"")))))</f>
        <v/>
      </c>
      <c r="P357" s="445"/>
      <c r="Q357" s="291"/>
      <c r="R357" s="291"/>
      <c r="S357" s="275"/>
      <c r="T357" s="275"/>
      <c r="U357" s="275"/>
      <c r="V357" s="275"/>
      <c r="W357" s="275"/>
      <c r="X357" s="275"/>
      <c r="Y357" s="275"/>
      <c r="Z357" s="275"/>
      <c r="AA357" s="275"/>
      <c r="AB357" s="275"/>
      <c r="AC357" s="275"/>
      <c r="AD357" s="275"/>
      <c r="AE357" s="275"/>
      <c r="AF357" s="275"/>
      <c r="AG357" s="275"/>
      <c r="AH357" s="438"/>
      <c r="AI357" s="439">
        <f t="shared" si="42"/>
        <v>0</v>
      </c>
      <c r="AJ357" s="263"/>
      <c r="AK357" s="263"/>
      <c r="AL357" s="263"/>
      <c r="AM357" s="263"/>
      <c r="AN357" s="263"/>
      <c r="AO357" s="263"/>
      <c r="AP357" s="263"/>
      <c r="AQ357" s="436"/>
      <c r="AR357" s="275"/>
      <c r="AS357" s="275"/>
      <c r="AT357" s="275"/>
      <c r="AU357" s="275"/>
      <c r="AV357" s="275"/>
      <c r="AW357" s="275"/>
      <c r="AX357" s="275"/>
      <c r="AY357" s="437"/>
      <c r="AZ357" s="440">
        <f t="shared" si="43"/>
        <v>0</v>
      </c>
      <c r="BA357" s="275"/>
      <c r="BB357" s="275"/>
      <c r="BC357" s="275"/>
      <c r="BD357" s="275"/>
      <c r="BE357" s="275"/>
      <c r="BF357" s="275"/>
      <c r="BG357" s="275"/>
      <c r="BH357" s="436"/>
      <c r="BI357" s="275"/>
      <c r="BJ357" s="275"/>
      <c r="BK357" s="291"/>
      <c r="BL357" s="291"/>
      <c r="BM357" s="275"/>
      <c r="BN357" s="275"/>
      <c r="BO357" s="438"/>
      <c r="BP357" s="436"/>
      <c r="BQ357" s="275"/>
      <c r="BR357" s="275"/>
      <c r="BS357" s="275"/>
      <c r="BT357" s="275"/>
      <c r="BU357" s="275"/>
      <c r="BV357" s="275"/>
      <c r="BW357" s="275"/>
      <c r="BX357" s="438"/>
      <c r="BY357" s="436"/>
      <c r="BZ357" s="275"/>
      <c r="CA357" s="275"/>
      <c r="CB357" s="275"/>
      <c r="CC357" s="275"/>
      <c r="CD357" s="275"/>
      <c r="CE357" s="275"/>
      <c r="CF357" s="275"/>
      <c r="CG357" s="438"/>
      <c r="CH357" s="436"/>
      <c r="CI357" s="275"/>
      <c r="CJ357" s="275"/>
      <c r="CK357" s="275"/>
      <c r="CL357" s="275"/>
      <c r="CM357" s="275"/>
      <c r="CN357" s="275"/>
      <c r="CO357" s="442"/>
      <c r="CP357" s="443"/>
      <c r="CQ357" s="429">
        <f t="shared" si="44"/>
        <v>0</v>
      </c>
      <c r="CR357" s="430"/>
    </row>
    <row r="358" spans="1:96" ht="25.5" customHeight="1" x14ac:dyDescent="0.2">
      <c r="A358" s="410">
        <f t="shared" si="45"/>
        <v>343</v>
      </c>
      <c r="B358" s="280"/>
      <c r="C358" s="453"/>
      <c r="D358" s="411"/>
      <c r="E358" s="254"/>
      <c r="F358" s="277"/>
      <c r="G358" s="450"/>
      <c r="H358" s="451"/>
      <c r="I358" s="433" t="str">
        <f t="shared" si="39"/>
        <v/>
      </c>
      <c r="J358" s="434">
        <f t="shared" si="40"/>
        <v>0</v>
      </c>
      <c r="K358" s="452"/>
      <c r="L358" s="276"/>
      <c r="M358" s="435"/>
      <c r="N358" s="417" t="str">
        <f t="shared" si="41"/>
        <v/>
      </c>
      <c r="O358" s="418" t="str">
        <f>IF('Data Set up'!$G$40="JUNE",IF(OR($N358=7,$N358=8,$N358=9),1,IF(OR($N358=10,$N358=11,$N358=12),2,IF(OR($N358=1,$N358=2,$N358=3),3,IF(OR($N358=4,$N358=5,$N358=6),4,"")))),IF(OR($N358=9,$N358=10,$N358=11),1,IF(OR($N358=12,$N358=1,$N358=2),2,IF(OR($N358=3,$N358=4,$N358=5),3,IF(OR($N358=6,$N358=7,$N358=8),4,"")))))</f>
        <v/>
      </c>
      <c r="P358" s="445"/>
      <c r="Q358" s="291"/>
      <c r="R358" s="291"/>
      <c r="S358" s="275"/>
      <c r="T358" s="275"/>
      <c r="U358" s="275"/>
      <c r="V358" s="275"/>
      <c r="W358" s="275"/>
      <c r="X358" s="275"/>
      <c r="Y358" s="275"/>
      <c r="Z358" s="275"/>
      <c r="AA358" s="275"/>
      <c r="AB358" s="275"/>
      <c r="AC358" s="275"/>
      <c r="AD358" s="275"/>
      <c r="AE358" s="275"/>
      <c r="AF358" s="275"/>
      <c r="AG358" s="275"/>
      <c r="AH358" s="438"/>
      <c r="AI358" s="439">
        <f t="shared" si="42"/>
        <v>0</v>
      </c>
      <c r="AJ358" s="263"/>
      <c r="AK358" s="263"/>
      <c r="AL358" s="263"/>
      <c r="AM358" s="263"/>
      <c r="AN358" s="263"/>
      <c r="AO358" s="263"/>
      <c r="AP358" s="263"/>
      <c r="AQ358" s="436"/>
      <c r="AR358" s="275"/>
      <c r="AS358" s="275"/>
      <c r="AT358" s="275"/>
      <c r="AU358" s="275"/>
      <c r="AV358" s="275"/>
      <c r="AW358" s="275"/>
      <c r="AX358" s="275"/>
      <c r="AY358" s="437"/>
      <c r="AZ358" s="440">
        <f t="shared" si="43"/>
        <v>0</v>
      </c>
      <c r="BA358" s="275"/>
      <c r="BB358" s="275"/>
      <c r="BC358" s="275"/>
      <c r="BD358" s="275"/>
      <c r="BE358" s="275"/>
      <c r="BF358" s="275"/>
      <c r="BG358" s="275"/>
      <c r="BH358" s="436"/>
      <c r="BI358" s="275"/>
      <c r="BJ358" s="275"/>
      <c r="BK358" s="291"/>
      <c r="BL358" s="291"/>
      <c r="BM358" s="275"/>
      <c r="BN358" s="275"/>
      <c r="BO358" s="438"/>
      <c r="BP358" s="436"/>
      <c r="BQ358" s="275"/>
      <c r="BR358" s="275"/>
      <c r="BS358" s="275"/>
      <c r="BT358" s="275"/>
      <c r="BU358" s="275"/>
      <c r="BV358" s="275"/>
      <c r="BW358" s="275"/>
      <c r="BX358" s="438"/>
      <c r="BY358" s="436"/>
      <c r="BZ358" s="275"/>
      <c r="CA358" s="275"/>
      <c r="CB358" s="275"/>
      <c r="CC358" s="275"/>
      <c r="CD358" s="275"/>
      <c r="CE358" s="275"/>
      <c r="CF358" s="275"/>
      <c r="CG358" s="438"/>
      <c r="CH358" s="436"/>
      <c r="CI358" s="275"/>
      <c r="CJ358" s="275"/>
      <c r="CK358" s="275"/>
      <c r="CL358" s="275"/>
      <c r="CM358" s="275"/>
      <c r="CN358" s="275"/>
      <c r="CO358" s="442"/>
      <c r="CP358" s="443"/>
      <c r="CQ358" s="429">
        <f t="shared" si="44"/>
        <v>0</v>
      </c>
      <c r="CR358" s="430"/>
    </row>
    <row r="359" spans="1:96" ht="25.5" customHeight="1" x14ac:dyDescent="0.2">
      <c r="A359" s="410">
        <f t="shared" si="45"/>
        <v>344</v>
      </c>
      <c r="B359" s="280"/>
      <c r="C359" s="453"/>
      <c r="D359" s="411"/>
      <c r="E359" s="254"/>
      <c r="F359" s="277"/>
      <c r="G359" s="450"/>
      <c r="H359" s="451"/>
      <c r="I359" s="433" t="str">
        <f t="shared" si="39"/>
        <v/>
      </c>
      <c r="J359" s="434">
        <f t="shared" si="40"/>
        <v>0</v>
      </c>
      <c r="K359" s="452"/>
      <c r="L359" s="276"/>
      <c r="M359" s="435"/>
      <c r="N359" s="417" t="str">
        <f t="shared" si="41"/>
        <v/>
      </c>
      <c r="O359" s="418" t="str">
        <f>IF('Data Set up'!$G$40="JUNE",IF(OR($N359=7,$N359=8,$N359=9),1,IF(OR($N359=10,$N359=11,$N359=12),2,IF(OR($N359=1,$N359=2,$N359=3),3,IF(OR($N359=4,$N359=5,$N359=6),4,"")))),IF(OR($N359=9,$N359=10,$N359=11),1,IF(OR($N359=12,$N359=1,$N359=2),2,IF(OR($N359=3,$N359=4,$N359=5),3,IF(OR($N359=6,$N359=7,$N359=8),4,"")))))</f>
        <v/>
      </c>
      <c r="P359" s="445"/>
      <c r="Q359" s="291"/>
      <c r="R359" s="291"/>
      <c r="S359" s="275"/>
      <c r="T359" s="275"/>
      <c r="U359" s="275"/>
      <c r="V359" s="275"/>
      <c r="W359" s="275"/>
      <c r="X359" s="275"/>
      <c r="Y359" s="275"/>
      <c r="Z359" s="275"/>
      <c r="AA359" s="275"/>
      <c r="AB359" s="275"/>
      <c r="AC359" s="275"/>
      <c r="AD359" s="275"/>
      <c r="AE359" s="275"/>
      <c r="AF359" s="275"/>
      <c r="AG359" s="275"/>
      <c r="AH359" s="438"/>
      <c r="AI359" s="439">
        <f t="shared" si="42"/>
        <v>0</v>
      </c>
      <c r="AJ359" s="263"/>
      <c r="AK359" s="263"/>
      <c r="AL359" s="263"/>
      <c r="AM359" s="263"/>
      <c r="AN359" s="263"/>
      <c r="AO359" s="263"/>
      <c r="AP359" s="263"/>
      <c r="AQ359" s="436"/>
      <c r="AR359" s="275"/>
      <c r="AS359" s="275"/>
      <c r="AT359" s="275"/>
      <c r="AU359" s="275"/>
      <c r="AV359" s="275"/>
      <c r="AW359" s="275"/>
      <c r="AX359" s="275"/>
      <c r="AY359" s="437"/>
      <c r="AZ359" s="440">
        <f t="shared" si="43"/>
        <v>0</v>
      </c>
      <c r="BA359" s="275"/>
      <c r="BB359" s="275"/>
      <c r="BC359" s="275"/>
      <c r="BD359" s="275"/>
      <c r="BE359" s="275"/>
      <c r="BF359" s="275"/>
      <c r="BG359" s="275"/>
      <c r="BH359" s="436"/>
      <c r="BI359" s="275"/>
      <c r="BJ359" s="275"/>
      <c r="BK359" s="291"/>
      <c r="BL359" s="291"/>
      <c r="BM359" s="275"/>
      <c r="BN359" s="275"/>
      <c r="BO359" s="438"/>
      <c r="BP359" s="436"/>
      <c r="BQ359" s="275"/>
      <c r="BR359" s="275"/>
      <c r="BS359" s="275"/>
      <c r="BT359" s="275"/>
      <c r="BU359" s="275"/>
      <c r="BV359" s="275"/>
      <c r="BW359" s="275"/>
      <c r="BX359" s="438"/>
      <c r="BY359" s="436"/>
      <c r="BZ359" s="275"/>
      <c r="CA359" s="275"/>
      <c r="CB359" s="275"/>
      <c r="CC359" s="275"/>
      <c r="CD359" s="275"/>
      <c r="CE359" s="275"/>
      <c r="CF359" s="275"/>
      <c r="CG359" s="438"/>
      <c r="CH359" s="436"/>
      <c r="CI359" s="275"/>
      <c r="CJ359" s="275"/>
      <c r="CK359" s="275"/>
      <c r="CL359" s="275"/>
      <c r="CM359" s="275"/>
      <c r="CN359" s="275"/>
      <c r="CO359" s="442"/>
      <c r="CP359" s="443"/>
      <c r="CQ359" s="429">
        <f t="shared" si="44"/>
        <v>0</v>
      </c>
      <c r="CR359" s="430"/>
    </row>
    <row r="360" spans="1:96" ht="25.5" customHeight="1" x14ac:dyDescent="0.2">
      <c r="A360" s="410">
        <f t="shared" si="45"/>
        <v>345</v>
      </c>
      <c r="B360" s="280"/>
      <c r="C360" s="453"/>
      <c r="D360" s="411"/>
      <c r="E360" s="254"/>
      <c r="F360" s="277"/>
      <c r="G360" s="450"/>
      <c r="H360" s="451"/>
      <c r="I360" s="433" t="str">
        <f t="shared" si="39"/>
        <v/>
      </c>
      <c r="J360" s="434">
        <f t="shared" si="40"/>
        <v>0</v>
      </c>
      <c r="K360" s="452"/>
      <c r="L360" s="276"/>
      <c r="M360" s="435"/>
      <c r="N360" s="417" t="str">
        <f t="shared" si="41"/>
        <v/>
      </c>
      <c r="O360" s="418" t="str">
        <f>IF('Data Set up'!$G$40="JUNE",IF(OR($N360=7,$N360=8,$N360=9),1,IF(OR($N360=10,$N360=11,$N360=12),2,IF(OR($N360=1,$N360=2,$N360=3),3,IF(OR($N360=4,$N360=5,$N360=6),4,"")))),IF(OR($N360=9,$N360=10,$N360=11),1,IF(OR($N360=12,$N360=1,$N360=2),2,IF(OR($N360=3,$N360=4,$N360=5),3,IF(OR($N360=6,$N360=7,$N360=8),4,"")))))</f>
        <v/>
      </c>
      <c r="P360" s="445"/>
      <c r="Q360" s="291"/>
      <c r="R360" s="291"/>
      <c r="S360" s="275"/>
      <c r="T360" s="275"/>
      <c r="U360" s="275"/>
      <c r="V360" s="275"/>
      <c r="W360" s="275"/>
      <c r="X360" s="275"/>
      <c r="Y360" s="275"/>
      <c r="Z360" s="275"/>
      <c r="AA360" s="275"/>
      <c r="AB360" s="275"/>
      <c r="AC360" s="275"/>
      <c r="AD360" s="275"/>
      <c r="AE360" s="275"/>
      <c r="AF360" s="275"/>
      <c r="AG360" s="275"/>
      <c r="AH360" s="438"/>
      <c r="AI360" s="439">
        <f t="shared" si="42"/>
        <v>0</v>
      </c>
      <c r="AJ360" s="263"/>
      <c r="AK360" s="263"/>
      <c r="AL360" s="263"/>
      <c r="AM360" s="263"/>
      <c r="AN360" s="263"/>
      <c r="AO360" s="263"/>
      <c r="AP360" s="263"/>
      <c r="AQ360" s="436"/>
      <c r="AR360" s="275"/>
      <c r="AS360" s="275"/>
      <c r="AT360" s="275"/>
      <c r="AU360" s="275"/>
      <c r="AV360" s="275"/>
      <c r="AW360" s="275"/>
      <c r="AX360" s="275"/>
      <c r="AY360" s="437"/>
      <c r="AZ360" s="440">
        <f t="shared" si="43"/>
        <v>0</v>
      </c>
      <c r="BA360" s="275"/>
      <c r="BB360" s="275"/>
      <c r="BC360" s="275"/>
      <c r="BD360" s="275"/>
      <c r="BE360" s="275"/>
      <c r="BF360" s="275"/>
      <c r="BG360" s="275"/>
      <c r="BH360" s="436"/>
      <c r="BI360" s="275"/>
      <c r="BJ360" s="275"/>
      <c r="BK360" s="291"/>
      <c r="BL360" s="291"/>
      <c r="BM360" s="275"/>
      <c r="BN360" s="275"/>
      <c r="BO360" s="438"/>
      <c r="BP360" s="436"/>
      <c r="BQ360" s="275"/>
      <c r="BR360" s="275"/>
      <c r="BS360" s="275"/>
      <c r="BT360" s="275"/>
      <c r="BU360" s="275"/>
      <c r="BV360" s="275"/>
      <c r="BW360" s="275"/>
      <c r="BX360" s="438"/>
      <c r="BY360" s="436"/>
      <c r="BZ360" s="275"/>
      <c r="CA360" s="275"/>
      <c r="CB360" s="275"/>
      <c r="CC360" s="275"/>
      <c r="CD360" s="275"/>
      <c r="CE360" s="275"/>
      <c r="CF360" s="275"/>
      <c r="CG360" s="438"/>
      <c r="CH360" s="436"/>
      <c r="CI360" s="275"/>
      <c r="CJ360" s="275"/>
      <c r="CK360" s="275"/>
      <c r="CL360" s="275"/>
      <c r="CM360" s="275"/>
      <c r="CN360" s="275"/>
      <c r="CO360" s="442"/>
      <c r="CP360" s="443"/>
      <c r="CQ360" s="429">
        <f t="shared" si="44"/>
        <v>0</v>
      </c>
      <c r="CR360" s="430"/>
    </row>
    <row r="361" spans="1:96" ht="25.5" customHeight="1" x14ac:dyDescent="0.2">
      <c r="A361" s="410">
        <f t="shared" si="45"/>
        <v>346</v>
      </c>
      <c r="B361" s="280"/>
      <c r="C361" s="453"/>
      <c r="D361" s="411"/>
      <c r="E361" s="254"/>
      <c r="F361" s="277"/>
      <c r="G361" s="450"/>
      <c r="H361" s="451"/>
      <c r="I361" s="433" t="str">
        <f t="shared" si="39"/>
        <v/>
      </c>
      <c r="J361" s="434">
        <f t="shared" si="40"/>
        <v>0</v>
      </c>
      <c r="K361" s="452"/>
      <c r="L361" s="276"/>
      <c r="M361" s="435"/>
      <c r="N361" s="417" t="str">
        <f t="shared" si="41"/>
        <v/>
      </c>
      <c r="O361" s="418" t="str">
        <f>IF('Data Set up'!$G$40="JUNE",IF(OR($N361=7,$N361=8,$N361=9),1,IF(OR($N361=10,$N361=11,$N361=12),2,IF(OR($N361=1,$N361=2,$N361=3),3,IF(OR($N361=4,$N361=5,$N361=6),4,"")))),IF(OR($N361=9,$N361=10,$N361=11),1,IF(OR($N361=12,$N361=1,$N361=2),2,IF(OR($N361=3,$N361=4,$N361=5),3,IF(OR($N361=6,$N361=7,$N361=8),4,"")))))</f>
        <v/>
      </c>
      <c r="P361" s="445"/>
      <c r="Q361" s="291"/>
      <c r="R361" s="291"/>
      <c r="S361" s="275"/>
      <c r="T361" s="275"/>
      <c r="U361" s="275"/>
      <c r="V361" s="275"/>
      <c r="W361" s="275"/>
      <c r="X361" s="275"/>
      <c r="Y361" s="275"/>
      <c r="Z361" s="275"/>
      <c r="AA361" s="275"/>
      <c r="AB361" s="275"/>
      <c r="AC361" s="275"/>
      <c r="AD361" s="275"/>
      <c r="AE361" s="275"/>
      <c r="AF361" s="275"/>
      <c r="AG361" s="275"/>
      <c r="AH361" s="438"/>
      <c r="AI361" s="439">
        <f t="shared" si="42"/>
        <v>0</v>
      </c>
      <c r="AJ361" s="263"/>
      <c r="AK361" s="263"/>
      <c r="AL361" s="263"/>
      <c r="AM361" s="263"/>
      <c r="AN361" s="263"/>
      <c r="AO361" s="263"/>
      <c r="AP361" s="263"/>
      <c r="AQ361" s="436"/>
      <c r="AR361" s="275"/>
      <c r="AS361" s="275"/>
      <c r="AT361" s="275"/>
      <c r="AU361" s="275"/>
      <c r="AV361" s="275"/>
      <c r="AW361" s="275"/>
      <c r="AX361" s="275"/>
      <c r="AY361" s="437"/>
      <c r="AZ361" s="440">
        <f t="shared" si="43"/>
        <v>0</v>
      </c>
      <c r="BA361" s="275"/>
      <c r="BB361" s="275"/>
      <c r="BC361" s="275"/>
      <c r="BD361" s="275"/>
      <c r="BE361" s="275"/>
      <c r="BF361" s="275"/>
      <c r="BG361" s="275"/>
      <c r="BH361" s="436"/>
      <c r="BI361" s="275"/>
      <c r="BJ361" s="275"/>
      <c r="BK361" s="291"/>
      <c r="BL361" s="291"/>
      <c r="BM361" s="275"/>
      <c r="BN361" s="275"/>
      <c r="BO361" s="438"/>
      <c r="BP361" s="436"/>
      <c r="BQ361" s="275"/>
      <c r="BR361" s="275"/>
      <c r="BS361" s="275"/>
      <c r="BT361" s="275"/>
      <c r="BU361" s="275"/>
      <c r="BV361" s="275"/>
      <c r="BW361" s="275"/>
      <c r="BX361" s="438"/>
      <c r="BY361" s="436"/>
      <c r="BZ361" s="275"/>
      <c r="CA361" s="275"/>
      <c r="CB361" s="275"/>
      <c r="CC361" s="275"/>
      <c r="CD361" s="275"/>
      <c r="CE361" s="275"/>
      <c r="CF361" s="275"/>
      <c r="CG361" s="438"/>
      <c r="CH361" s="436"/>
      <c r="CI361" s="275"/>
      <c r="CJ361" s="275"/>
      <c r="CK361" s="275"/>
      <c r="CL361" s="275"/>
      <c r="CM361" s="275"/>
      <c r="CN361" s="275"/>
      <c r="CO361" s="442"/>
      <c r="CP361" s="443"/>
      <c r="CQ361" s="429">
        <f t="shared" si="44"/>
        <v>0</v>
      </c>
      <c r="CR361" s="430"/>
    </row>
    <row r="362" spans="1:96" ht="25.5" customHeight="1" x14ac:dyDescent="0.2">
      <c r="A362" s="410">
        <f t="shared" si="45"/>
        <v>347</v>
      </c>
      <c r="B362" s="280"/>
      <c r="C362" s="453"/>
      <c r="D362" s="411"/>
      <c r="E362" s="254"/>
      <c r="F362" s="277"/>
      <c r="G362" s="450"/>
      <c r="H362" s="451"/>
      <c r="I362" s="433" t="str">
        <f t="shared" si="39"/>
        <v/>
      </c>
      <c r="J362" s="434">
        <f t="shared" si="40"/>
        <v>0</v>
      </c>
      <c r="K362" s="452"/>
      <c r="L362" s="276"/>
      <c r="M362" s="435"/>
      <c r="N362" s="417" t="str">
        <f t="shared" si="41"/>
        <v/>
      </c>
      <c r="O362" s="418" t="str">
        <f>IF('Data Set up'!$G$40="JUNE",IF(OR($N362=7,$N362=8,$N362=9),1,IF(OR($N362=10,$N362=11,$N362=12),2,IF(OR($N362=1,$N362=2,$N362=3),3,IF(OR($N362=4,$N362=5,$N362=6),4,"")))),IF(OR($N362=9,$N362=10,$N362=11),1,IF(OR($N362=12,$N362=1,$N362=2),2,IF(OR($N362=3,$N362=4,$N362=5),3,IF(OR($N362=6,$N362=7,$N362=8),4,"")))))</f>
        <v/>
      </c>
      <c r="P362" s="445"/>
      <c r="Q362" s="291"/>
      <c r="R362" s="291"/>
      <c r="S362" s="275"/>
      <c r="T362" s="275"/>
      <c r="U362" s="275"/>
      <c r="V362" s="275"/>
      <c r="W362" s="275"/>
      <c r="X362" s="275"/>
      <c r="Y362" s="275"/>
      <c r="Z362" s="275"/>
      <c r="AA362" s="275"/>
      <c r="AB362" s="275"/>
      <c r="AC362" s="275"/>
      <c r="AD362" s="275"/>
      <c r="AE362" s="275"/>
      <c r="AF362" s="275"/>
      <c r="AG362" s="275"/>
      <c r="AH362" s="438"/>
      <c r="AI362" s="439">
        <f t="shared" si="42"/>
        <v>0</v>
      </c>
      <c r="AJ362" s="263"/>
      <c r="AK362" s="263"/>
      <c r="AL362" s="263"/>
      <c r="AM362" s="263"/>
      <c r="AN362" s="263"/>
      <c r="AO362" s="263"/>
      <c r="AP362" s="263"/>
      <c r="AQ362" s="436"/>
      <c r="AR362" s="275"/>
      <c r="AS362" s="275"/>
      <c r="AT362" s="275"/>
      <c r="AU362" s="275"/>
      <c r="AV362" s="275"/>
      <c r="AW362" s="275"/>
      <c r="AX362" s="275"/>
      <c r="AY362" s="437"/>
      <c r="AZ362" s="440">
        <f t="shared" si="43"/>
        <v>0</v>
      </c>
      <c r="BA362" s="275"/>
      <c r="BB362" s="275"/>
      <c r="BC362" s="275"/>
      <c r="BD362" s="275"/>
      <c r="BE362" s="275"/>
      <c r="BF362" s="275"/>
      <c r="BG362" s="275"/>
      <c r="BH362" s="436"/>
      <c r="BI362" s="275"/>
      <c r="BJ362" s="275"/>
      <c r="BK362" s="291"/>
      <c r="BL362" s="291"/>
      <c r="BM362" s="275"/>
      <c r="BN362" s="275"/>
      <c r="BO362" s="438"/>
      <c r="BP362" s="436"/>
      <c r="BQ362" s="275"/>
      <c r="BR362" s="275"/>
      <c r="BS362" s="275"/>
      <c r="BT362" s="275"/>
      <c r="BU362" s="275"/>
      <c r="BV362" s="275"/>
      <c r="BW362" s="275"/>
      <c r="BX362" s="438"/>
      <c r="BY362" s="436"/>
      <c r="BZ362" s="275"/>
      <c r="CA362" s="275"/>
      <c r="CB362" s="275"/>
      <c r="CC362" s="275"/>
      <c r="CD362" s="275"/>
      <c r="CE362" s="275"/>
      <c r="CF362" s="275"/>
      <c r="CG362" s="438"/>
      <c r="CH362" s="436"/>
      <c r="CI362" s="275"/>
      <c r="CJ362" s="275"/>
      <c r="CK362" s="275"/>
      <c r="CL362" s="275"/>
      <c r="CM362" s="275"/>
      <c r="CN362" s="275"/>
      <c r="CO362" s="442"/>
      <c r="CP362" s="443"/>
      <c r="CQ362" s="429">
        <f t="shared" si="44"/>
        <v>0</v>
      </c>
      <c r="CR362" s="430"/>
    </row>
    <row r="363" spans="1:96" ht="25.5" customHeight="1" x14ac:dyDescent="0.2">
      <c r="A363" s="410">
        <f t="shared" si="45"/>
        <v>348</v>
      </c>
      <c r="B363" s="280"/>
      <c r="C363" s="453"/>
      <c r="D363" s="411"/>
      <c r="E363" s="254"/>
      <c r="F363" s="277"/>
      <c r="G363" s="450"/>
      <c r="H363" s="451"/>
      <c r="I363" s="433" t="str">
        <f t="shared" si="39"/>
        <v/>
      </c>
      <c r="J363" s="434">
        <f t="shared" si="40"/>
        <v>0</v>
      </c>
      <c r="K363" s="452"/>
      <c r="L363" s="276"/>
      <c r="M363" s="435"/>
      <c r="N363" s="417" t="str">
        <f t="shared" si="41"/>
        <v/>
      </c>
      <c r="O363" s="418" t="str">
        <f>IF('Data Set up'!$G$40="JUNE",IF(OR($N363=7,$N363=8,$N363=9),1,IF(OR($N363=10,$N363=11,$N363=12),2,IF(OR($N363=1,$N363=2,$N363=3),3,IF(OR($N363=4,$N363=5,$N363=6),4,"")))),IF(OR($N363=9,$N363=10,$N363=11),1,IF(OR($N363=12,$N363=1,$N363=2),2,IF(OR($N363=3,$N363=4,$N363=5),3,IF(OR($N363=6,$N363=7,$N363=8),4,"")))))</f>
        <v/>
      </c>
      <c r="P363" s="445"/>
      <c r="Q363" s="291"/>
      <c r="R363" s="291"/>
      <c r="S363" s="275"/>
      <c r="T363" s="275"/>
      <c r="U363" s="275"/>
      <c r="V363" s="275"/>
      <c r="W363" s="275"/>
      <c r="X363" s="275"/>
      <c r="Y363" s="275"/>
      <c r="Z363" s="275"/>
      <c r="AA363" s="275"/>
      <c r="AB363" s="275"/>
      <c r="AC363" s="275"/>
      <c r="AD363" s="275"/>
      <c r="AE363" s="275"/>
      <c r="AF363" s="275"/>
      <c r="AG363" s="275"/>
      <c r="AH363" s="438"/>
      <c r="AI363" s="439">
        <f t="shared" si="42"/>
        <v>0</v>
      </c>
      <c r="AJ363" s="263"/>
      <c r="AK363" s="263"/>
      <c r="AL363" s="263"/>
      <c r="AM363" s="263"/>
      <c r="AN363" s="263"/>
      <c r="AO363" s="263"/>
      <c r="AP363" s="263"/>
      <c r="AQ363" s="436"/>
      <c r="AR363" s="275"/>
      <c r="AS363" s="275"/>
      <c r="AT363" s="275"/>
      <c r="AU363" s="275"/>
      <c r="AV363" s="275"/>
      <c r="AW363" s="275"/>
      <c r="AX363" s="275"/>
      <c r="AY363" s="437"/>
      <c r="AZ363" s="440">
        <f t="shared" si="43"/>
        <v>0</v>
      </c>
      <c r="BA363" s="275"/>
      <c r="BB363" s="275"/>
      <c r="BC363" s="275"/>
      <c r="BD363" s="275"/>
      <c r="BE363" s="275"/>
      <c r="BF363" s="275"/>
      <c r="BG363" s="275"/>
      <c r="BH363" s="436"/>
      <c r="BI363" s="275"/>
      <c r="BJ363" s="275"/>
      <c r="BK363" s="291"/>
      <c r="BL363" s="291"/>
      <c r="BM363" s="275"/>
      <c r="BN363" s="275"/>
      <c r="BO363" s="438"/>
      <c r="BP363" s="436"/>
      <c r="BQ363" s="275"/>
      <c r="BR363" s="275"/>
      <c r="BS363" s="275"/>
      <c r="BT363" s="275"/>
      <c r="BU363" s="275"/>
      <c r="BV363" s="275"/>
      <c r="BW363" s="275"/>
      <c r="BX363" s="438"/>
      <c r="BY363" s="436"/>
      <c r="BZ363" s="275"/>
      <c r="CA363" s="275"/>
      <c r="CB363" s="275"/>
      <c r="CC363" s="275"/>
      <c r="CD363" s="275"/>
      <c r="CE363" s="275"/>
      <c r="CF363" s="275"/>
      <c r="CG363" s="438"/>
      <c r="CH363" s="436"/>
      <c r="CI363" s="275"/>
      <c r="CJ363" s="275"/>
      <c r="CK363" s="275"/>
      <c r="CL363" s="275"/>
      <c r="CM363" s="275"/>
      <c r="CN363" s="275"/>
      <c r="CO363" s="442"/>
      <c r="CP363" s="443"/>
      <c r="CQ363" s="429">
        <f t="shared" si="44"/>
        <v>0</v>
      </c>
      <c r="CR363" s="430"/>
    </row>
    <row r="364" spans="1:96" ht="25.5" customHeight="1" x14ac:dyDescent="0.2">
      <c r="A364" s="410">
        <f t="shared" si="45"/>
        <v>349</v>
      </c>
      <c r="B364" s="280"/>
      <c r="C364" s="453"/>
      <c r="D364" s="411"/>
      <c r="E364" s="254"/>
      <c r="F364" s="277"/>
      <c r="G364" s="450"/>
      <c r="H364" s="451"/>
      <c r="I364" s="433" t="str">
        <f t="shared" si="39"/>
        <v/>
      </c>
      <c r="J364" s="434">
        <f t="shared" si="40"/>
        <v>0</v>
      </c>
      <c r="K364" s="452"/>
      <c r="L364" s="276"/>
      <c r="M364" s="435"/>
      <c r="N364" s="417" t="str">
        <f t="shared" si="41"/>
        <v/>
      </c>
      <c r="O364" s="418" t="str">
        <f>IF('Data Set up'!$G$40="JUNE",IF(OR($N364=7,$N364=8,$N364=9),1,IF(OR($N364=10,$N364=11,$N364=12),2,IF(OR($N364=1,$N364=2,$N364=3),3,IF(OR($N364=4,$N364=5,$N364=6),4,"")))),IF(OR($N364=9,$N364=10,$N364=11),1,IF(OR($N364=12,$N364=1,$N364=2),2,IF(OR($N364=3,$N364=4,$N364=5),3,IF(OR($N364=6,$N364=7,$N364=8),4,"")))))</f>
        <v/>
      </c>
      <c r="P364" s="445"/>
      <c r="Q364" s="291"/>
      <c r="R364" s="291"/>
      <c r="S364" s="275"/>
      <c r="T364" s="275"/>
      <c r="U364" s="275"/>
      <c r="V364" s="275"/>
      <c r="W364" s="275"/>
      <c r="X364" s="275"/>
      <c r="Y364" s="275"/>
      <c r="Z364" s="275"/>
      <c r="AA364" s="275"/>
      <c r="AB364" s="275"/>
      <c r="AC364" s="275"/>
      <c r="AD364" s="275"/>
      <c r="AE364" s="275"/>
      <c r="AF364" s="275"/>
      <c r="AG364" s="275"/>
      <c r="AH364" s="438"/>
      <c r="AI364" s="439">
        <f t="shared" si="42"/>
        <v>0</v>
      </c>
      <c r="AJ364" s="263"/>
      <c r="AK364" s="263"/>
      <c r="AL364" s="263"/>
      <c r="AM364" s="263"/>
      <c r="AN364" s="263"/>
      <c r="AO364" s="263"/>
      <c r="AP364" s="263"/>
      <c r="AQ364" s="436"/>
      <c r="AR364" s="275"/>
      <c r="AS364" s="275"/>
      <c r="AT364" s="275"/>
      <c r="AU364" s="275"/>
      <c r="AV364" s="275"/>
      <c r="AW364" s="275"/>
      <c r="AX364" s="275"/>
      <c r="AY364" s="437"/>
      <c r="AZ364" s="440">
        <f t="shared" si="43"/>
        <v>0</v>
      </c>
      <c r="BA364" s="275"/>
      <c r="BB364" s="275"/>
      <c r="BC364" s="275"/>
      <c r="BD364" s="275"/>
      <c r="BE364" s="275"/>
      <c r="BF364" s="275"/>
      <c r="BG364" s="275"/>
      <c r="BH364" s="436"/>
      <c r="BI364" s="275"/>
      <c r="BJ364" s="275"/>
      <c r="BK364" s="291"/>
      <c r="BL364" s="291"/>
      <c r="BM364" s="275"/>
      <c r="BN364" s="275"/>
      <c r="BO364" s="438"/>
      <c r="BP364" s="436"/>
      <c r="BQ364" s="275"/>
      <c r="BR364" s="275"/>
      <c r="BS364" s="275"/>
      <c r="BT364" s="275"/>
      <c r="BU364" s="275"/>
      <c r="BV364" s="275"/>
      <c r="BW364" s="275"/>
      <c r="BX364" s="438"/>
      <c r="BY364" s="436"/>
      <c r="BZ364" s="275"/>
      <c r="CA364" s="275"/>
      <c r="CB364" s="275"/>
      <c r="CC364" s="275"/>
      <c r="CD364" s="275"/>
      <c r="CE364" s="275"/>
      <c r="CF364" s="275"/>
      <c r="CG364" s="438"/>
      <c r="CH364" s="436"/>
      <c r="CI364" s="275"/>
      <c r="CJ364" s="275"/>
      <c r="CK364" s="275"/>
      <c r="CL364" s="275"/>
      <c r="CM364" s="275"/>
      <c r="CN364" s="275"/>
      <c r="CO364" s="442"/>
      <c r="CP364" s="443"/>
      <c r="CQ364" s="429">
        <f t="shared" si="44"/>
        <v>0</v>
      </c>
      <c r="CR364" s="430"/>
    </row>
    <row r="365" spans="1:96" ht="25.5" customHeight="1" x14ac:dyDescent="0.2">
      <c r="A365" s="410">
        <f t="shared" si="45"/>
        <v>350</v>
      </c>
      <c r="B365" s="280"/>
      <c r="C365" s="453"/>
      <c r="D365" s="411"/>
      <c r="E365" s="254"/>
      <c r="F365" s="277"/>
      <c r="G365" s="450"/>
      <c r="H365" s="451"/>
      <c r="I365" s="433" t="str">
        <f t="shared" si="39"/>
        <v/>
      </c>
      <c r="J365" s="434">
        <f t="shared" si="40"/>
        <v>0</v>
      </c>
      <c r="K365" s="452"/>
      <c r="L365" s="276"/>
      <c r="M365" s="435"/>
      <c r="N365" s="417" t="str">
        <f t="shared" si="41"/>
        <v/>
      </c>
      <c r="O365" s="418" t="str">
        <f>IF('Data Set up'!$G$40="JUNE",IF(OR($N365=7,$N365=8,$N365=9),1,IF(OR($N365=10,$N365=11,$N365=12),2,IF(OR($N365=1,$N365=2,$N365=3),3,IF(OR($N365=4,$N365=5,$N365=6),4,"")))),IF(OR($N365=9,$N365=10,$N365=11),1,IF(OR($N365=12,$N365=1,$N365=2),2,IF(OR($N365=3,$N365=4,$N365=5),3,IF(OR($N365=6,$N365=7,$N365=8),4,"")))))</f>
        <v/>
      </c>
      <c r="P365" s="445"/>
      <c r="Q365" s="291"/>
      <c r="R365" s="291"/>
      <c r="S365" s="275"/>
      <c r="T365" s="275"/>
      <c r="U365" s="275"/>
      <c r="V365" s="275"/>
      <c r="W365" s="275"/>
      <c r="X365" s="275"/>
      <c r="Y365" s="275"/>
      <c r="Z365" s="275"/>
      <c r="AA365" s="275"/>
      <c r="AB365" s="275"/>
      <c r="AC365" s="275"/>
      <c r="AD365" s="275"/>
      <c r="AE365" s="275"/>
      <c r="AF365" s="275"/>
      <c r="AG365" s="275"/>
      <c r="AH365" s="438"/>
      <c r="AI365" s="439">
        <f t="shared" si="42"/>
        <v>0</v>
      </c>
      <c r="AJ365" s="263"/>
      <c r="AK365" s="263"/>
      <c r="AL365" s="263"/>
      <c r="AM365" s="263"/>
      <c r="AN365" s="263"/>
      <c r="AO365" s="263"/>
      <c r="AP365" s="263"/>
      <c r="AQ365" s="436"/>
      <c r="AR365" s="275"/>
      <c r="AS365" s="275"/>
      <c r="AT365" s="275"/>
      <c r="AU365" s="275"/>
      <c r="AV365" s="275"/>
      <c r="AW365" s="275"/>
      <c r="AX365" s="275"/>
      <c r="AY365" s="437"/>
      <c r="AZ365" s="440">
        <f t="shared" si="43"/>
        <v>0</v>
      </c>
      <c r="BA365" s="275"/>
      <c r="BB365" s="275"/>
      <c r="BC365" s="275"/>
      <c r="BD365" s="275"/>
      <c r="BE365" s="275"/>
      <c r="BF365" s="275"/>
      <c r="BG365" s="275"/>
      <c r="BH365" s="436"/>
      <c r="BI365" s="275"/>
      <c r="BJ365" s="275"/>
      <c r="BK365" s="291"/>
      <c r="BL365" s="291"/>
      <c r="BM365" s="275"/>
      <c r="BN365" s="275"/>
      <c r="BO365" s="438"/>
      <c r="BP365" s="436"/>
      <c r="BQ365" s="275"/>
      <c r="BR365" s="275"/>
      <c r="BS365" s="275"/>
      <c r="BT365" s="275"/>
      <c r="BU365" s="275"/>
      <c r="BV365" s="275"/>
      <c r="BW365" s="275"/>
      <c r="BX365" s="438"/>
      <c r="BY365" s="436"/>
      <c r="BZ365" s="275"/>
      <c r="CA365" s="275"/>
      <c r="CB365" s="275"/>
      <c r="CC365" s="275"/>
      <c r="CD365" s="275"/>
      <c r="CE365" s="275"/>
      <c r="CF365" s="275"/>
      <c r="CG365" s="438"/>
      <c r="CH365" s="436"/>
      <c r="CI365" s="275"/>
      <c r="CJ365" s="275"/>
      <c r="CK365" s="275"/>
      <c r="CL365" s="275"/>
      <c r="CM365" s="275"/>
      <c r="CN365" s="275"/>
      <c r="CO365" s="442"/>
      <c r="CP365" s="443"/>
      <c r="CQ365" s="429">
        <f t="shared" si="44"/>
        <v>0</v>
      </c>
      <c r="CR365" s="430"/>
    </row>
    <row r="366" spans="1:96" ht="25.5" customHeight="1" x14ac:dyDescent="0.2">
      <c r="A366" s="410">
        <f t="shared" si="45"/>
        <v>351</v>
      </c>
      <c r="B366" s="280"/>
      <c r="C366" s="453"/>
      <c r="D366" s="411"/>
      <c r="E366" s="254"/>
      <c r="F366" s="277"/>
      <c r="G366" s="450"/>
      <c r="H366" s="451"/>
      <c r="I366" s="433" t="str">
        <f t="shared" si="39"/>
        <v/>
      </c>
      <c r="J366" s="434">
        <f t="shared" si="40"/>
        <v>0</v>
      </c>
      <c r="K366" s="452"/>
      <c r="L366" s="276"/>
      <c r="M366" s="435"/>
      <c r="N366" s="417" t="str">
        <f t="shared" si="41"/>
        <v/>
      </c>
      <c r="O366" s="418" t="str">
        <f>IF('Data Set up'!$G$40="JUNE",IF(OR($N366=7,$N366=8,$N366=9),1,IF(OR($N366=10,$N366=11,$N366=12),2,IF(OR($N366=1,$N366=2,$N366=3),3,IF(OR($N366=4,$N366=5,$N366=6),4,"")))),IF(OR($N366=9,$N366=10,$N366=11),1,IF(OR($N366=12,$N366=1,$N366=2),2,IF(OR($N366=3,$N366=4,$N366=5),3,IF(OR($N366=6,$N366=7,$N366=8),4,"")))))</f>
        <v/>
      </c>
      <c r="P366" s="445"/>
      <c r="Q366" s="291"/>
      <c r="R366" s="291"/>
      <c r="S366" s="275"/>
      <c r="T366" s="275"/>
      <c r="U366" s="275"/>
      <c r="V366" s="275"/>
      <c r="W366" s="275"/>
      <c r="X366" s="275"/>
      <c r="Y366" s="275"/>
      <c r="Z366" s="275"/>
      <c r="AA366" s="275"/>
      <c r="AB366" s="275"/>
      <c r="AC366" s="275"/>
      <c r="AD366" s="275"/>
      <c r="AE366" s="275"/>
      <c r="AF366" s="275"/>
      <c r="AG366" s="275"/>
      <c r="AH366" s="438"/>
      <c r="AI366" s="439">
        <f t="shared" si="42"/>
        <v>0</v>
      </c>
      <c r="AJ366" s="263"/>
      <c r="AK366" s="263"/>
      <c r="AL366" s="263"/>
      <c r="AM366" s="263"/>
      <c r="AN366" s="263"/>
      <c r="AO366" s="263"/>
      <c r="AP366" s="263"/>
      <c r="AQ366" s="436"/>
      <c r="AR366" s="275"/>
      <c r="AS366" s="275"/>
      <c r="AT366" s="275"/>
      <c r="AU366" s="275"/>
      <c r="AV366" s="275"/>
      <c r="AW366" s="275"/>
      <c r="AX366" s="275"/>
      <c r="AY366" s="437"/>
      <c r="AZ366" s="440">
        <f t="shared" si="43"/>
        <v>0</v>
      </c>
      <c r="BA366" s="275"/>
      <c r="BB366" s="275"/>
      <c r="BC366" s="275"/>
      <c r="BD366" s="275"/>
      <c r="BE366" s="275"/>
      <c r="BF366" s="275"/>
      <c r="BG366" s="275"/>
      <c r="BH366" s="436"/>
      <c r="BI366" s="275"/>
      <c r="BJ366" s="275"/>
      <c r="BK366" s="291"/>
      <c r="BL366" s="291"/>
      <c r="BM366" s="275"/>
      <c r="BN366" s="275"/>
      <c r="BO366" s="438"/>
      <c r="BP366" s="436"/>
      <c r="BQ366" s="275"/>
      <c r="BR366" s="275"/>
      <c r="BS366" s="275"/>
      <c r="BT366" s="275"/>
      <c r="BU366" s="275"/>
      <c r="BV366" s="275"/>
      <c r="BW366" s="275"/>
      <c r="BX366" s="438"/>
      <c r="BY366" s="436"/>
      <c r="BZ366" s="275"/>
      <c r="CA366" s="275"/>
      <c r="CB366" s="275"/>
      <c r="CC366" s="275"/>
      <c r="CD366" s="275"/>
      <c r="CE366" s="275"/>
      <c r="CF366" s="275"/>
      <c r="CG366" s="438"/>
      <c r="CH366" s="436"/>
      <c r="CI366" s="275"/>
      <c r="CJ366" s="275"/>
      <c r="CK366" s="275"/>
      <c r="CL366" s="275"/>
      <c r="CM366" s="275"/>
      <c r="CN366" s="275"/>
      <c r="CO366" s="442"/>
      <c r="CP366" s="443"/>
      <c r="CQ366" s="429">
        <f t="shared" si="44"/>
        <v>0</v>
      </c>
      <c r="CR366" s="430"/>
    </row>
    <row r="367" spans="1:96" ht="25.5" customHeight="1" x14ac:dyDescent="0.2">
      <c r="A367" s="410">
        <f t="shared" si="45"/>
        <v>352</v>
      </c>
      <c r="B367" s="280"/>
      <c r="C367" s="453"/>
      <c r="D367" s="411"/>
      <c r="E367" s="254"/>
      <c r="F367" s="277"/>
      <c r="G367" s="450"/>
      <c r="H367" s="451"/>
      <c r="I367" s="433" t="str">
        <f t="shared" si="39"/>
        <v/>
      </c>
      <c r="J367" s="434">
        <f t="shared" si="40"/>
        <v>0</v>
      </c>
      <c r="K367" s="452"/>
      <c r="L367" s="276"/>
      <c r="M367" s="435"/>
      <c r="N367" s="417" t="str">
        <f t="shared" si="41"/>
        <v/>
      </c>
      <c r="O367" s="418" t="str">
        <f>IF('Data Set up'!$G$40="JUNE",IF(OR($N367=7,$N367=8,$N367=9),1,IF(OR($N367=10,$N367=11,$N367=12),2,IF(OR($N367=1,$N367=2,$N367=3),3,IF(OR($N367=4,$N367=5,$N367=6),4,"")))),IF(OR($N367=9,$N367=10,$N367=11),1,IF(OR($N367=12,$N367=1,$N367=2),2,IF(OR($N367=3,$N367=4,$N367=5),3,IF(OR($N367=6,$N367=7,$N367=8),4,"")))))</f>
        <v/>
      </c>
      <c r="P367" s="445"/>
      <c r="Q367" s="291"/>
      <c r="R367" s="291"/>
      <c r="S367" s="275"/>
      <c r="T367" s="275"/>
      <c r="U367" s="275"/>
      <c r="V367" s="275"/>
      <c r="W367" s="275"/>
      <c r="X367" s="275"/>
      <c r="Y367" s="275"/>
      <c r="Z367" s="275"/>
      <c r="AA367" s="275"/>
      <c r="AB367" s="275"/>
      <c r="AC367" s="275"/>
      <c r="AD367" s="275"/>
      <c r="AE367" s="275"/>
      <c r="AF367" s="275"/>
      <c r="AG367" s="275"/>
      <c r="AH367" s="438"/>
      <c r="AI367" s="439">
        <f t="shared" si="42"/>
        <v>0</v>
      </c>
      <c r="AJ367" s="263"/>
      <c r="AK367" s="263"/>
      <c r="AL367" s="263"/>
      <c r="AM367" s="263"/>
      <c r="AN367" s="263"/>
      <c r="AO367" s="263"/>
      <c r="AP367" s="263"/>
      <c r="AQ367" s="436"/>
      <c r="AR367" s="275"/>
      <c r="AS367" s="275"/>
      <c r="AT367" s="275"/>
      <c r="AU367" s="275"/>
      <c r="AV367" s="275"/>
      <c r="AW367" s="275"/>
      <c r="AX367" s="275"/>
      <c r="AY367" s="437"/>
      <c r="AZ367" s="440">
        <f t="shared" si="43"/>
        <v>0</v>
      </c>
      <c r="BA367" s="275"/>
      <c r="BB367" s="275"/>
      <c r="BC367" s="275"/>
      <c r="BD367" s="275"/>
      <c r="BE367" s="275"/>
      <c r="BF367" s="275"/>
      <c r="BG367" s="275"/>
      <c r="BH367" s="436"/>
      <c r="BI367" s="275"/>
      <c r="BJ367" s="275"/>
      <c r="BK367" s="291"/>
      <c r="BL367" s="291"/>
      <c r="BM367" s="275"/>
      <c r="BN367" s="275"/>
      <c r="BO367" s="438"/>
      <c r="BP367" s="436"/>
      <c r="BQ367" s="275"/>
      <c r="BR367" s="275"/>
      <c r="BS367" s="275"/>
      <c r="BT367" s="275"/>
      <c r="BU367" s="275"/>
      <c r="BV367" s="275"/>
      <c r="BW367" s="275"/>
      <c r="BX367" s="438"/>
      <c r="BY367" s="436"/>
      <c r="BZ367" s="275"/>
      <c r="CA367" s="275"/>
      <c r="CB367" s="275"/>
      <c r="CC367" s="275"/>
      <c r="CD367" s="275"/>
      <c r="CE367" s="275"/>
      <c r="CF367" s="275"/>
      <c r="CG367" s="438"/>
      <c r="CH367" s="436"/>
      <c r="CI367" s="275"/>
      <c r="CJ367" s="275"/>
      <c r="CK367" s="275"/>
      <c r="CL367" s="275"/>
      <c r="CM367" s="275"/>
      <c r="CN367" s="275"/>
      <c r="CO367" s="442"/>
      <c r="CP367" s="443"/>
      <c r="CQ367" s="429">
        <f t="shared" si="44"/>
        <v>0</v>
      </c>
      <c r="CR367" s="430"/>
    </row>
    <row r="368" spans="1:96" ht="25.5" customHeight="1" x14ac:dyDescent="0.2">
      <c r="A368" s="410">
        <f t="shared" si="45"/>
        <v>353</v>
      </c>
      <c r="B368" s="280"/>
      <c r="C368" s="453"/>
      <c r="D368" s="411"/>
      <c r="E368" s="254"/>
      <c r="F368" s="277"/>
      <c r="G368" s="450"/>
      <c r="H368" s="451"/>
      <c r="I368" s="433" t="str">
        <f t="shared" si="39"/>
        <v/>
      </c>
      <c r="J368" s="434">
        <f t="shared" si="40"/>
        <v>0</v>
      </c>
      <c r="K368" s="452"/>
      <c r="L368" s="276"/>
      <c r="M368" s="435"/>
      <c r="N368" s="417" t="str">
        <f t="shared" si="41"/>
        <v/>
      </c>
      <c r="O368" s="418" t="str">
        <f>IF('Data Set up'!$G$40="JUNE",IF(OR($N368=7,$N368=8,$N368=9),1,IF(OR($N368=10,$N368=11,$N368=12),2,IF(OR($N368=1,$N368=2,$N368=3),3,IF(OR($N368=4,$N368=5,$N368=6),4,"")))),IF(OR($N368=9,$N368=10,$N368=11),1,IF(OR($N368=12,$N368=1,$N368=2),2,IF(OR($N368=3,$N368=4,$N368=5),3,IF(OR($N368=6,$N368=7,$N368=8),4,"")))))</f>
        <v/>
      </c>
      <c r="P368" s="445"/>
      <c r="Q368" s="291"/>
      <c r="R368" s="291"/>
      <c r="S368" s="275"/>
      <c r="T368" s="275"/>
      <c r="U368" s="275"/>
      <c r="V368" s="275"/>
      <c r="W368" s="275"/>
      <c r="X368" s="275"/>
      <c r="Y368" s="275"/>
      <c r="Z368" s="275"/>
      <c r="AA368" s="275"/>
      <c r="AB368" s="275"/>
      <c r="AC368" s="275"/>
      <c r="AD368" s="275"/>
      <c r="AE368" s="275"/>
      <c r="AF368" s="275"/>
      <c r="AG368" s="275"/>
      <c r="AH368" s="438"/>
      <c r="AI368" s="439">
        <f t="shared" si="42"/>
        <v>0</v>
      </c>
      <c r="AJ368" s="263"/>
      <c r="AK368" s="263"/>
      <c r="AL368" s="263"/>
      <c r="AM368" s="263"/>
      <c r="AN368" s="263"/>
      <c r="AO368" s="263"/>
      <c r="AP368" s="263"/>
      <c r="AQ368" s="436"/>
      <c r="AR368" s="275"/>
      <c r="AS368" s="275"/>
      <c r="AT368" s="275"/>
      <c r="AU368" s="275"/>
      <c r="AV368" s="275"/>
      <c r="AW368" s="275"/>
      <c r="AX368" s="275"/>
      <c r="AY368" s="437"/>
      <c r="AZ368" s="440">
        <f t="shared" si="43"/>
        <v>0</v>
      </c>
      <c r="BA368" s="275"/>
      <c r="BB368" s="275"/>
      <c r="BC368" s="275"/>
      <c r="BD368" s="275"/>
      <c r="BE368" s="275"/>
      <c r="BF368" s="275"/>
      <c r="BG368" s="275"/>
      <c r="BH368" s="436"/>
      <c r="BI368" s="275"/>
      <c r="BJ368" s="275"/>
      <c r="BK368" s="291"/>
      <c r="BL368" s="291"/>
      <c r="BM368" s="275"/>
      <c r="BN368" s="275"/>
      <c r="BO368" s="438"/>
      <c r="BP368" s="436"/>
      <c r="BQ368" s="275"/>
      <c r="BR368" s="275"/>
      <c r="BS368" s="275"/>
      <c r="BT368" s="275"/>
      <c r="BU368" s="275"/>
      <c r="BV368" s="275"/>
      <c r="BW368" s="275"/>
      <c r="BX368" s="438"/>
      <c r="BY368" s="436"/>
      <c r="BZ368" s="275"/>
      <c r="CA368" s="275"/>
      <c r="CB368" s="275"/>
      <c r="CC368" s="275"/>
      <c r="CD368" s="275"/>
      <c r="CE368" s="275"/>
      <c r="CF368" s="275"/>
      <c r="CG368" s="438"/>
      <c r="CH368" s="436"/>
      <c r="CI368" s="275"/>
      <c r="CJ368" s="275"/>
      <c r="CK368" s="275"/>
      <c r="CL368" s="275"/>
      <c r="CM368" s="275"/>
      <c r="CN368" s="275"/>
      <c r="CO368" s="442"/>
      <c r="CP368" s="443"/>
      <c r="CQ368" s="429">
        <f t="shared" si="44"/>
        <v>0</v>
      </c>
      <c r="CR368" s="430"/>
    </row>
    <row r="369" spans="1:96" ht="25.5" customHeight="1" x14ac:dyDescent="0.2">
      <c r="A369" s="410">
        <f t="shared" si="45"/>
        <v>354</v>
      </c>
      <c r="B369" s="280"/>
      <c r="C369" s="453"/>
      <c r="D369" s="411"/>
      <c r="E369" s="254"/>
      <c r="F369" s="277"/>
      <c r="G369" s="450"/>
      <c r="H369" s="451"/>
      <c r="I369" s="433" t="str">
        <f t="shared" si="39"/>
        <v/>
      </c>
      <c r="J369" s="434">
        <f t="shared" si="40"/>
        <v>0</v>
      </c>
      <c r="K369" s="452"/>
      <c r="L369" s="276"/>
      <c r="M369" s="435"/>
      <c r="N369" s="417" t="str">
        <f t="shared" si="41"/>
        <v/>
      </c>
      <c r="O369" s="418" t="str">
        <f>IF('Data Set up'!$G$40="JUNE",IF(OR($N369=7,$N369=8,$N369=9),1,IF(OR($N369=10,$N369=11,$N369=12),2,IF(OR($N369=1,$N369=2,$N369=3),3,IF(OR($N369=4,$N369=5,$N369=6),4,"")))),IF(OR($N369=9,$N369=10,$N369=11),1,IF(OR($N369=12,$N369=1,$N369=2),2,IF(OR($N369=3,$N369=4,$N369=5),3,IF(OR($N369=6,$N369=7,$N369=8),4,"")))))</f>
        <v/>
      </c>
      <c r="P369" s="445"/>
      <c r="Q369" s="291"/>
      <c r="R369" s="291"/>
      <c r="S369" s="275"/>
      <c r="T369" s="275"/>
      <c r="U369" s="275"/>
      <c r="V369" s="275"/>
      <c r="W369" s="275"/>
      <c r="X369" s="275"/>
      <c r="Y369" s="275"/>
      <c r="Z369" s="275"/>
      <c r="AA369" s="275"/>
      <c r="AB369" s="275"/>
      <c r="AC369" s="275"/>
      <c r="AD369" s="275"/>
      <c r="AE369" s="275"/>
      <c r="AF369" s="275"/>
      <c r="AG369" s="275"/>
      <c r="AH369" s="438"/>
      <c r="AI369" s="439">
        <f t="shared" si="42"/>
        <v>0</v>
      </c>
      <c r="AJ369" s="263"/>
      <c r="AK369" s="263"/>
      <c r="AL369" s="263"/>
      <c r="AM369" s="263"/>
      <c r="AN369" s="263"/>
      <c r="AO369" s="263"/>
      <c r="AP369" s="263"/>
      <c r="AQ369" s="436"/>
      <c r="AR369" s="275"/>
      <c r="AS369" s="275"/>
      <c r="AT369" s="275"/>
      <c r="AU369" s="275"/>
      <c r="AV369" s="275"/>
      <c r="AW369" s="275"/>
      <c r="AX369" s="275"/>
      <c r="AY369" s="437"/>
      <c r="AZ369" s="440">
        <f t="shared" si="43"/>
        <v>0</v>
      </c>
      <c r="BA369" s="275"/>
      <c r="BB369" s="275"/>
      <c r="BC369" s="275"/>
      <c r="BD369" s="275"/>
      <c r="BE369" s="275"/>
      <c r="BF369" s="275"/>
      <c r="BG369" s="275"/>
      <c r="BH369" s="436"/>
      <c r="BI369" s="275"/>
      <c r="BJ369" s="275"/>
      <c r="BK369" s="291"/>
      <c r="BL369" s="291"/>
      <c r="BM369" s="275"/>
      <c r="BN369" s="275"/>
      <c r="BO369" s="438"/>
      <c r="BP369" s="436"/>
      <c r="BQ369" s="275"/>
      <c r="BR369" s="275"/>
      <c r="BS369" s="275"/>
      <c r="BT369" s="275"/>
      <c r="BU369" s="275"/>
      <c r="BV369" s="275"/>
      <c r="BW369" s="275"/>
      <c r="BX369" s="438"/>
      <c r="BY369" s="436"/>
      <c r="BZ369" s="275"/>
      <c r="CA369" s="275"/>
      <c r="CB369" s="275"/>
      <c r="CC369" s="275"/>
      <c r="CD369" s="275"/>
      <c r="CE369" s="275"/>
      <c r="CF369" s="275"/>
      <c r="CG369" s="438"/>
      <c r="CH369" s="436"/>
      <c r="CI369" s="275"/>
      <c r="CJ369" s="275"/>
      <c r="CK369" s="275"/>
      <c r="CL369" s="275"/>
      <c r="CM369" s="275"/>
      <c r="CN369" s="275"/>
      <c r="CO369" s="442"/>
      <c r="CP369" s="443"/>
      <c r="CQ369" s="429">
        <f t="shared" si="44"/>
        <v>0</v>
      </c>
      <c r="CR369" s="430"/>
    </row>
    <row r="370" spans="1:96" ht="25.5" customHeight="1" x14ac:dyDescent="0.2">
      <c r="A370" s="410">
        <f t="shared" si="45"/>
        <v>355</v>
      </c>
      <c r="B370" s="280"/>
      <c r="C370" s="453"/>
      <c r="D370" s="411"/>
      <c r="E370" s="254"/>
      <c r="F370" s="277"/>
      <c r="G370" s="450"/>
      <c r="H370" s="451"/>
      <c r="I370" s="433" t="str">
        <f t="shared" si="39"/>
        <v/>
      </c>
      <c r="J370" s="434">
        <f t="shared" si="40"/>
        <v>0</v>
      </c>
      <c r="K370" s="452"/>
      <c r="L370" s="276"/>
      <c r="M370" s="435"/>
      <c r="N370" s="417" t="str">
        <f t="shared" si="41"/>
        <v/>
      </c>
      <c r="O370" s="418" t="str">
        <f>IF('Data Set up'!$G$40="JUNE",IF(OR($N370=7,$N370=8,$N370=9),1,IF(OR($N370=10,$N370=11,$N370=12),2,IF(OR($N370=1,$N370=2,$N370=3),3,IF(OR($N370=4,$N370=5,$N370=6),4,"")))),IF(OR($N370=9,$N370=10,$N370=11),1,IF(OR($N370=12,$N370=1,$N370=2),2,IF(OR($N370=3,$N370=4,$N370=5),3,IF(OR($N370=6,$N370=7,$N370=8),4,"")))))</f>
        <v/>
      </c>
      <c r="P370" s="445"/>
      <c r="Q370" s="291"/>
      <c r="R370" s="291"/>
      <c r="S370" s="275"/>
      <c r="T370" s="275"/>
      <c r="U370" s="275"/>
      <c r="V370" s="275"/>
      <c r="W370" s="275"/>
      <c r="X370" s="275"/>
      <c r="Y370" s="275"/>
      <c r="Z370" s="275"/>
      <c r="AA370" s="275"/>
      <c r="AB370" s="275"/>
      <c r="AC370" s="275"/>
      <c r="AD370" s="275"/>
      <c r="AE370" s="275"/>
      <c r="AF370" s="275"/>
      <c r="AG370" s="275"/>
      <c r="AH370" s="438"/>
      <c r="AI370" s="439">
        <f t="shared" si="42"/>
        <v>0</v>
      </c>
      <c r="AJ370" s="263"/>
      <c r="AK370" s="263"/>
      <c r="AL370" s="263"/>
      <c r="AM370" s="263"/>
      <c r="AN370" s="263"/>
      <c r="AO370" s="263"/>
      <c r="AP370" s="263"/>
      <c r="AQ370" s="436"/>
      <c r="AR370" s="275"/>
      <c r="AS370" s="275"/>
      <c r="AT370" s="275"/>
      <c r="AU370" s="275"/>
      <c r="AV370" s="275"/>
      <c r="AW370" s="275"/>
      <c r="AX370" s="275"/>
      <c r="AY370" s="437"/>
      <c r="AZ370" s="440">
        <f t="shared" si="43"/>
        <v>0</v>
      </c>
      <c r="BA370" s="275"/>
      <c r="BB370" s="275"/>
      <c r="BC370" s="275"/>
      <c r="BD370" s="275"/>
      <c r="BE370" s="275"/>
      <c r="BF370" s="275"/>
      <c r="BG370" s="275"/>
      <c r="BH370" s="436"/>
      <c r="BI370" s="275"/>
      <c r="BJ370" s="275"/>
      <c r="BK370" s="291"/>
      <c r="BL370" s="291"/>
      <c r="BM370" s="275"/>
      <c r="BN370" s="275"/>
      <c r="BO370" s="438"/>
      <c r="BP370" s="436"/>
      <c r="BQ370" s="275"/>
      <c r="BR370" s="275"/>
      <c r="BS370" s="275"/>
      <c r="BT370" s="275"/>
      <c r="BU370" s="275"/>
      <c r="BV370" s="275"/>
      <c r="BW370" s="275"/>
      <c r="BX370" s="438"/>
      <c r="BY370" s="436"/>
      <c r="BZ370" s="275"/>
      <c r="CA370" s="275"/>
      <c r="CB370" s="275"/>
      <c r="CC370" s="275"/>
      <c r="CD370" s="275"/>
      <c r="CE370" s="275"/>
      <c r="CF370" s="275"/>
      <c r="CG370" s="438"/>
      <c r="CH370" s="436"/>
      <c r="CI370" s="275"/>
      <c r="CJ370" s="275"/>
      <c r="CK370" s="275"/>
      <c r="CL370" s="275"/>
      <c r="CM370" s="275"/>
      <c r="CN370" s="275"/>
      <c r="CO370" s="442"/>
      <c r="CP370" s="443"/>
      <c r="CQ370" s="429">
        <f t="shared" si="44"/>
        <v>0</v>
      </c>
      <c r="CR370" s="430"/>
    </row>
    <row r="371" spans="1:96" ht="25.5" customHeight="1" x14ac:dyDescent="0.2">
      <c r="A371" s="410">
        <f t="shared" si="45"/>
        <v>356</v>
      </c>
      <c r="B371" s="280"/>
      <c r="C371" s="453"/>
      <c r="D371" s="411"/>
      <c r="E371" s="254"/>
      <c r="F371" s="277"/>
      <c r="G371" s="450"/>
      <c r="H371" s="451"/>
      <c r="I371" s="433" t="str">
        <f t="shared" si="39"/>
        <v/>
      </c>
      <c r="J371" s="434">
        <f t="shared" si="40"/>
        <v>0</v>
      </c>
      <c r="K371" s="452"/>
      <c r="L371" s="276"/>
      <c r="M371" s="435"/>
      <c r="N371" s="417" t="str">
        <f t="shared" si="41"/>
        <v/>
      </c>
      <c r="O371" s="418" t="str">
        <f>IF('Data Set up'!$G$40="JUNE",IF(OR($N371=7,$N371=8,$N371=9),1,IF(OR($N371=10,$N371=11,$N371=12),2,IF(OR($N371=1,$N371=2,$N371=3),3,IF(OR($N371=4,$N371=5,$N371=6),4,"")))),IF(OR($N371=9,$N371=10,$N371=11),1,IF(OR($N371=12,$N371=1,$N371=2),2,IF(OR($N371=3,$N371=4,$N371=5),3,IF(OR($N371=6,$N371=7,$N371=8),4,"")))))</f>
        <v/>
      </c>
      <c r="P371" s="445"/>
      <c r="Q371" s="291"/>
      <c r="R371" s="291"/>
      <c r="S371" s="275"/>
      <c r="T371" s="275"/>
      <c r="U371" s="275"/>
      <c r="V371" s="275"/>
      <c r="W371" s="275"/>
      <c r="X371" s="275"/>
      <c r="Y371" s="275"/>
      <c r="Z371" s="275"/>
      <c r="AA371" s="275"/>
      <c r="AB371" s="275"/>
      <c r="AC371" s="275"/>
      <c r="AD371" s="275"/>
      <c r="AE371" s="275"/>
      <c r="AF371" s="275"/>
      <c r="AG371" s="275"/>
      <c r="AH371" s="438"/>
      <c r="AI371" s="439">
        <f t="shared" si="42"/>
        <v>0</v>
      </c>
      <c r="AJ371" s="263"/>
      <c r="AK371" s="263"/>
      <c r="AL371" s="263"/>
      <c r="AM371" s="263"/>
      <c r="AN371" s="263"/>
      <c r="AO371" s="263"/>
      <c r="AP371" s="263"/>
      <c r="AQ371" s="436"/>
      <c r="AR371" s="275"/>
      <c r="AS371" s="275"/>
      <c r="AT371" s="275"/>
      <c r="AU371" s="275"/>
      <c r="AV371" s="275"/>
      <c r="AW371" s="275"/>
      <c r="AX371" s="275"/>
      <c r="AY371" s="437"/>
      <c r="AZ371" s="440">
        <f t="shared" si="43"/>
        <v>0</v>
      </c>
      <c r="BA371" s="275"/>
      <c r="BB371" s="275"/>
      <c r="BC371" s="275"/>
      <c r="BD371" s="275"/>
      <c r="BE371" s="275"/>
      <c r="BF371" s="275"/>
      <c r="BG371" s="275"/>
      <c r="BH371" s="436"/>
      <c r="BI371" s="275"/>
      <c r="BJ371" s="275"/>
      <c r="BK371" s="291"/>
      <c r="BL371" s="291"/>
      <c r="BM371" s="275"/>
      <c r="BN371" s="275"/>
      <c r="BO371" s="438"/>
      <c r="BP371" s="436"/>
      <c r="BQ371" s="275"/>
      <c r="BR371" s="275"/>
      <c r="BS371" s="275"/>
      <c r="BT371" s="275"/>
      <c r="BU371" s="275"/>
      <c r="BV371" s="275"/>
      <c r="BW371" s="275"/>
      <c r="BX371" s="438"/>
      <c r="BY371" s="436"/>
      <c r="BZ371" s="275"/>
      <c r="CA371" s="275"/>
      <c r="CB371" s="275"/>
      <c r="CC371" s="275"/>
      <c r="CD371" s="275"/>
      <c r="CE371" s="275"/>
      <c r="CF371" s="275"/>
      <c r="CG371" s="438"/>
      <c r="CH371" s="436"/>
      <c r="CI371" s="275"/>
      <c r="CJ371" s="275"/>
      <c r="CK371" s="275"/>
      <c r="CL371" s="275"/>
      <c r="CM371" s="275"/>
      <c r="CN371" s="275"/>
      <c r="CO371" s="442"/>
      <c r="CP371" s="443"/>
      <c r="CQ371" s="429">
        <f t="shared" si="44"/>
        <v>0</v>
      </c>
      <c r="CR371" s="430"/>
    </row>
    <row r="372" spans="1:96" ht="25.5" customHeight="1" x14ac:dyDescent="0.2">
      <c r="A372" s="410">
        <f t="shared" si="45"/>
        <v>357</v>
      </c>
      <c r="B372" s="280"/>
      <c r="C372" s="453"/>
      <c r="D372" s="411"/>
      <c r="E372" s="254"/>
      <c r="F372" s="277"/>
      <c r="G372" s="450"/>
      <c r="H372" s="451"/>
      <c r="I372" s="433" t="str">
        <f t="shared" si="39"/>
        <v/>
      </c>
      <c r="J372" s="434">
        <f t="shared" si="40"/>
        <v>0</v>
      </c>
      <c r="K372" s="452"/>
      <c r="L372" s="276"/>
      <c r="M372" s="435"/>
      <c r="N372" s="417" t="str">
        <f t="shared" si="41"/>
        <v/>
      </c>
      <c r="O372" s="418" t="str">
        <f>IF('Data Set up'!$G$40="JUNE",IF(OR($N372=7,$N372=8,$N372=9),1,IF(OR($N372=10,$N372=11,$N372=12),2,IF(OR($N372=1,$N372=2,$N372=3),3,IF(OR($N372=4,$N372=5,$N372=6),4,"")))),IF(OR($N372=9,$N372=10,$N372=11),1,IF(OR($N372=12,$N372=1,$N372=2),2,IF(OR($N372=3,$N372=4,$N372=5),3,IF(OR($N372=6,$N372=7,$N372=8),4,"")))))</f>
        <v/>
      </c>
      <c r="P372" s="445"/>
      <c r="Q372" s="291"/>
      <c r="R372" s="291"/>
      <c r="S372" s="275"/>
      <c r="T372" s="275"/>
      <c r="U372" s="275"/>
      <c r="V372" s="275"/>
      <c r="W372" s="275"/>
      <c r="X372" s="275"/>
      <c r="Y372" s="275"/>
      <c r="Z372" s="275"/>
      <c r="AA372" s="275"/>
      <c r="AB372" s="275"/>
      <c r="AC372" s="275"/>
      <c r="AD372" s="275"/>
      <c r="AE372" s="275"/>
      <c r="AF372" s="275"/>
      <c r="AG372" s="275"/>
      <c r="AH372" s="438"/>
      <c r="AI372" s="439">
        <f t="shared" si="42"/>
        <v>0</v>
      </c>
      <c r="AJ372" s="263"/>
      <c r="AK372" s="263"/>
      <c r="AL372" s="263"/>
      <c r="AM372" s="263"/>
      <c r="AN372" s="263"/>
      <c r="AO372" s="263"/>
      <c r="AP372" s="263"/>
      <c r="AQ372" s="436"/>
      <c r="AR372" s="275"/>
      <c r="AS372" s="275"/>
      <c r="AT372" s="275"/>
      <c r="AU372" s="275"/>
      <c r="AV372" s="275"/>
      <c r="AW372" s="275"/>
      <c r="AX372" s="275"/>
      <c r="AY372" s="437"/>
      <c r="AZ372" s="440">
        <f t="shared" si="43"/>
        <v>0</v>
      </c>
      <c r="BA372" s="275"/>
      <c r="BB372" s="275"/>
      <c r="BC372" s="275"/>
      <c r="BD372" s="275"/>
      <c r="BE372" s="275"/>
      <c r="BF372" s="275"/>
      <c r="BG372" s="275"/>
      <c r="BH372" s="436"/>
      <c r="BI372" s="275"/>
      <c r="BJ372" s="275"/>
      <c r="BK372" s="291"/>
      <c r="BL372" s="291"/>
      <c r="BM372" s="275"/>
      <c r="BN372" s="275"/>
      <c r="BO372" s="438"/>
      <c r="BP372" s="436"/>
      <c r="BQ372" s="275"/>
      <c r="BR372" s="275"/>
      <c r="BS372" s="275"/>
      <c r="BT372" s="275"/>
      <c r="BU372" s="275"/>
      <c r="BV372" s="275"/>
      <c r="BW372" s="275"/>
      <c r="BX372" s="438"/>
      <c r="BY372" s="436"/>
      <c r="BZ372" s="275"/>
      <c r="CA372" s="275"/>
      <c r="CB372" s="275"/>
      <c r="CC372" s="275"/>
      <c r="CD372" s="275"/>
      <c r="CE372" s="275"/>
      <c r="CF372" s="275"/>
      <c r="CG372" s="438"/>
      <c r="CH372" s="436"/>
      <c r="CI372" s="275"/>
      <c r="CJ372" s="275"/>
      <c r="CK372" s="275"/>
      <c r="CL372" s="275"/>
      <c r="CM372" s="275"/>
      <c r="CN372" s="275"/>
      <c r="CO372" s="442"/>
      <c r="CP372" s="443"/>
      <c r="CQ372" s="429">
        <f t="shared" si="44"/>
        <v>0</v>
      </c>
      <c r="CR372" s="430"/>
    </row>
    <row r="373" spans="1:96" ht="25.5" customHeight="1" x14ac:dyDescent="0.2">
      <c r="A373" s="410">
        <f t="shared" si="45"/>
        <v>358</v>
      </c>
      <c r="B373" s="280"/>
      <c r="C373" s="453"/>
      <c r="D373" s="411"/>
      <c r="E373" s="254"/>
      <c r="F373" s="277"/>
      <c r="G373" s="450"/>
      <c r="H373" s="451"/>
      <c r="I373" s="433" t="str">
        <f t="shared" si="39"/>
        <v/>
      </c>
      <c r="J373" s="434">
        <f t="shared" si="40"/>
        <v>0</v>
      </c>
      <c r="K373" s="452"/>
      <c r="L373" s="276"/>
      <c r="M373" s="435"/>
      <c r="N373" s="417" t="str">
        <f t="shared" si="41"/>
        <v/>
      </c>
      <c r="O373" s="418" t="str">
        <f>IF('Data Set up'!$G$40="JUNE",IF(OR($N373=7,$N373=8,$N373=9),1,IF(OR($N373=10,$N373=11,$N373=12),2,IF(OR($N373=1,$N373=2,$N373=3),3,IF(OR($N373=4,$N373=5,$N373=6),4,"")))),IF(OR($N373=9,$N373=10,$N373=11),1,IF(OR($N373=12,$N373=1,$N373=2),2,IF(OR($N373=3,$N373=4,$N373=5),3,IF(OR($N373=6,$N373=7,$N373=8),4,"")))))</f>
        <v/>
      </c>
      <c r="P373" s="445"/>
      <c r="Q373" s="291"/>
      <c r="R373" s="291"/>
      <c r="S373" s="275"/>
      <c r="T373" s="275"/>
      <c r="U373" s="275"/>
      <c r="V373" s="275"/>
      <c r="W373" s="275"/>
      <c r="X373" s="275"/>
      <c r="Y373" s="275"/>
      <c r="Z373" s="275"/>
      <c r="AA373" s="275"/>
      <c r="AB373" s="275"/>
      <c r="AC373" s="275"/>
      <c r="AD373" s="275"/>
      <c r="AE373" s="275"/>
      <c r="AF373" s="275"/>
      <c r="AG373" s="275"/>
      <c r="AH373" s="438"/>
      <c r="AI373" s="439">
        <f t="shared" si="42"/>
        <v>0</v>
      </c>
      <c r="AJ373" s="263"/>
      <c r="AK373" s="263"/>
      <c r="AL373" s="263"/>
      <c r="AM373" s="263"/>
      <c r="AN373" s="263"/>
      <c r="AO373" s="263"/>
      <c r="AP373" s="263"/>
      <c r="AQ373" s="436"/>
      <c r="AR373" s="275"/>
      <c r="AS373" s="275"/>
      <c r="AT373" s="275"/>
      <c r="AU373" s="275"/>
      <c r="AV373" s="275"/>
      <c r="AW373" s="275"/>
      <c r="AX373" s="275"/>
      <c r="AY373" s="437"/>
      <c r="AZ373" s="440">
        <f t="shared" si="43"/>
        <v>0</v>
      </c>
      <c r="BA373" s="275"/>
      <c r="BB373" s="275"/>
      <c r="BC373" s="275"/>
      <c r="BD373" s="275"/>
      <c r="BE373" s="275"/>
      <c r="BF373" s="275"/>
      <c r="BG373" s="275"/>
      <c r="BH373" s="436"/>
      <c r="BI373" s="275"/>
      <c r="BJ373" s="275"/>
      <c r="BK373" s="291"/>
      <c r="BL373" s="291"/>
      <c r="BM373" s="275"/>
      <c r="BN373" s="275"/>
      <c r="BO373" s="438"/>
      <c r="BP373" s="436"/>
      <c r="BQ373" s="275"/>
      <c r="BR373" s="275"/>
      <c r="BS373" s="275"/>
      <c r="BT373" s="275"/>
      <c r="BU373" s="275"/>
      <c r="BV373" s="275"/>
      <c r="BW373" s="275"/>
      <c r="BX373" s="438"/>
      <c r="BY373" s="436"/>
      <c r="BZ373" s="275"/>
      <c r="CA373" s="275"/>
      <c r="CB373" s="275"/>
      <c r="CC373" s="275"/>
      <c r="CD373" s="275"/>
      <c r="CE373" s="275"/>
      <c r="CF373" s="275"/>
      <c r="CG373" s="438"/>
      <c r="CH373" s="436"/>
      <c r="CI373" s="275"/>
      <c r="CJ373" s="275"/>
      <c r="CK373" s="275"/>
      <c r="CL373" s="275"/>
      <c r="CM373" s="275"/>
      <c r="CN373" s="275"/>
      <c r="CO373" s="442"/>
      <c r="CP373" s="443"/>
      <c r="CQ373" s="429">
        <f t="shared" si="44"/>
        <v>0</v>
      </c>
      <c r="CR373" s="430"/>
    </row>
    <row r="374" spans="1:96" ht="25.5" customHeight="1" x14ac:dyDescent="0.2">
      <c r="A374" s="410">
        <f t="shared" si="45"/>
        <v>359</v>
      </c>
      <c r="B374" s="280"/>
      <c r="C374" s="453"/>
      <c r="D374" s="411"/>
      <c r="E374" s="254"/>
      <c r="F374" s="277"/>
      <c r="G374" s="450"/>
      <c r="H374" s="451"/>
      <c r="I374" s="433" t="str">
        <f t="shared" si="39"/>
        <v/>
      </c>
      <c r="J374" s="434">
        <f t="shared" si="40"/>
        <v>0</v>
      </c>
      <c r="K374" s="452"/>
      <c r="L374" s="276"/>
      <c r="M374" s="435"/>
      <c r="N374" s="417" t="str">
        <f t="shared" si="41"/>
        <v/>
      </c>
      <c r="O374" s="418" t="str">
        <f>IF('Data Set up'!$G$40="JUNE",IF(OR($N374=7,$N374=8,$N374=9),1,IF(OR($N374=10,$N374=11,$N374=12),2,IF(OR($N374=1,$N374=2,$N374=3),3,IF(OR($N374=4,$N374=5,$N374=6),4,"")))),IF(OR($N374=9,$N374=10,$N374=11),1,IF(OR($N374=12,$N374=1,$N374=2),2,IF(OR($N374=3,$N374=4,$N374=5),3,IF(OR($N374=6,$N374=7,$N374=8),4,"")))))</f>
        <v/>
      </c>
      <c r="P374" s="445"/>
      <c r="Q374" s="291"/>
      <c r="R374" s="291"/>
      <c r="S374" s="275"/>
      <c r="T374" s="275"/>
      <c r="U374" s="275"/>
      <c r="V374" s="275"/>
      <c r="W374" s="275"/>
      <c r="X374" s="275"/>
      <c r="Y374" s="275"/>
      <c r="Z374" s="275"/>
      <c r="AA374" s="275"/>
      <c r="AB374" s="275"/>
      <c r="AC374" s="275"/>
      <c r="AD374" s="275"/>
      <c r="AE374" s="275"/>
      <c r="AF374" s="275"/>
      <c r="AG374" s="275"/>
      <c r="AH374" s="438"/>
      <c r="AI374" s="439">
        <f t="shared" si="42"/>
        <v>0</v>
      </c>
      <c r="AJ374" s="263"/>
      <c r="AK374" s="263"/>
      <c r="AL374" s="263"/>
      <c r="AM374" s="263"/>
      <c r="AN374" s="263"/>
      <c r="AO374" s="263"/>
      <c r="AP374" s="263"/>
      <c r="AQ374" s="436"/>
      <c r="AR374" s="275"/>
      <c r="AS374" s="275"/>
      <c r="AT374" s="275"/>
      <c r="AU374" s="275"/>
      <c r="AV374" s="275"/>
      <c r="AW374" s="275"/>
      <c r="AX374" s="275"/>
      <c r="AY374" s="437"/>
      <c r="AZ374" s="440">
        <f t="shared" si="43"/>
        <v>0</v>
      </c>
      <c r="BA374" s="275"/>
      <c r="BB374" s="275"/>
      <c r="BC374" s="275"/>
      <c r="BD374" s="275"/>
      <c r="BE374" s="275"/>
      <c r="BF374" s="275"/>
      <c r="BG374" s="275"/>
      <c r="BH374" s="436"/>
      <c r="BI374" s="275"/>
      <c r="BJ374" s="275"/>
      <c r="BK374" s="291"/>
      <c r="BL374" s="291"/>
      <c r="BM374" s="275"/>
      <c r="BN374" s="275"/>
      <c r="BO374" s="438"/>
      <c r="BP374" s="436"/>
      <c r="BQ374" s="275"/>
      <c r="BR374" s="275"/>
      <c r="BS374" s="275"/>
      <c r="BT374" s="275"/>
      <c r="BU374" s="275"/>
      <c r="BV374" s="275"/>
      <c r="BW374" s="275"/>
      <c r="BX374" s="438"/>
      <c r="BY374" s="436"/>
      <c r="BZ374" s="275"/>
      <c r="CA374" s="275"/>
      <c r="CB374" s="275"/>
      <c r="CC374" s="275"/>
      <c r="CD374" s="275"/>
      <c r="CE374" s="275"/>
      <c r="CF374" s="275"/>
      <c r="CG374" s="438"/>
      <c r="CH374" s="436"/>
      <c r="CI374" s="275"/>
      <c r="CJ374" s="275"/>
      <c r="CK374" s="275"/>
      <c r="CL374" s="275"/>
      <c r="CM374" s="275"/>
      <c r="CN374" s="275"/>
      <c r="CO374" s="442"/>
      <c r="CP374" s="443"/>
      <c r="CQ374" s="429">
        <f t="shared" si="44"/>
        <v>0</v>
      </c>
      <c r="CR374" s="430"/>
    </row>
    <row r="375" spans="1:96" ht="25.5" customHeight="1" x14ac:dyDescent="0.2">
      <c r="A375" s="410">
        <f t="shared" si="45"/>
        <v>360</v>
      </c>
      <c r="B375" s="280"/>
      <c r="C375" s="453"/>
      <c r="D375" s="411"/>
      <c r="E375" s="254"/>
      <c r="F375" s="277"/>
      <c r="G375" s="450"/>
      <c r="H375" s="451"/>
      <c r="I375" s="433" t="str">
        <f t="shared" si="39"/>
        <v/>
      </c>
      <c r="J375" s="434">
        <f t="shared" si="40"/>
        <v>0</v>
      </c>
      <c r="K375" s="452"/>
      <c r="L375" s="276"/>
      <c r="M375" s="435"/>
      <c r="N375" s="417" t="str">
        <f t="shared" si="41"/>
        <v/>
      </c>
      <c r="O375" s="418" t="str">
        <f>IF('Data Set up'!$G$40="JUNE",IF(OR($N375=7,$N375=8,$N375=9),1,IF(OR($N375=10,$N375=11,$N375=12),2,IF(OR($N375=1,$N375=2,$N375=3),3,IF(OR($N375=4,$N375=5,$N375=6),4,"")))),IF(OR($N375=9,$N375=10,$N375=11),1,IF(OR($N375=12,$N375=1,$N375=2),2,IF(OR($N375=3,$N375=4,$N375=5),3,IF(OR($N375=6,$N375=7,$N375=8),4,"")))))</f>
        <v/>
      </c>
      <c r="P375" s="445"/>
      <c r="Q375" s="291"/>
      <c r="R375" s="291"/>
      <c r="S375" s="275"/>
      <c r="T375" s="275"/>
      <c r="U375" s="275"/>
      <c r="V375" s="275"/>
      <c r="W375" s="275"/>
      <c r="X375" s="275"/>
      <c r="Y375" s="275"/>
      <c r="Z375" s="275"/>
      <c r="AA375" s="275"/>
      <c r="AB375" s="275"/>
      <c r="AC375" s="275"/>
      <c r="AD375" s="275"/>
      <c r="AE375" s="275"/>
      <c r="AF375" s="275"/>
      <c r="AG375" s="275"/>
      <c r="AH375" s="438"/>
      <c r="AI375" s="439">
        <f t="shared" si="42"/>
        <v>0</v>
      </c>
      <c r="AJ375" s="263"/>
      <c r="AK375" s="263"/>
      <c r="AL375" s="263"/>
      <c r="AM375" s="263"/>
      <c r="AN375" s="263"/>
      <c r="AO375" s="263"/>
      <c r="AP375" s="263"/>
      <c r="AQ375" s="436"/>
      <c r="AR375" s="275"/>
      <c r="AS375" s="275"/>
      <c r="AT375" s="275"/>
      <c r="AU375" s="275"/>
      <c r="AV375" s="275"/>
      <c r="AW375" s="275"/>
      <c r="AX375" s="275"/>
      <c r="AY375" s="437"/>
      <c r="AZ375" s="440">
        <f t="shared" si="43"/>
        <v>0</v>
      </c>
      <c r="BA375" s="275"/>
      <c r="BB375" s="275"/>
      <c r="BC375" s="275"/>
      <c r="BD375" s="275"/>
      <c r="BE375" s="275"/>
      <c r="BF375" s="275"/>
      <c r="BG375" s="275"/>
      <c r="BH375" s="436"/>
      <c r="BI375" s="275"/>
      <c r="BJ375" s="275"/>
      <c r="BK375" s="291"/>
      <c r="BL375" s="291"/>
      <c r="BM375" s="275"/>
      <c r="BN375" s="275"/>
      <c r="BO375" s="438"/>
      <c r="BP375" s="436"/>
      <c r="BQ375" s="275"/>
      <c r="BR375" s="275"/>
      <c r="BS375" s="275"/>
      <c r="BT375" s="275"/>
      <c r="BU375" s="275"/>
      <c r="BV375" s="275"/>
      <c r="BW375" s="275"/>
      <c r="BX375" s="438"/>
      <c r="BY375" s="436"/>
      <c r="BZ375" s="275"/>
      <c r="CA375" s="275"/>
      <c r="CB375" s="275"/>
      <c r="CC375" s="275"/>
      <c r="CD375" s="275"/>
      <c r="CE375" s="275"/>
      <c r="CF375" s="275"/>
      <c r="CG375" s="438"/>
      <c r="CH375" s="436"/>
      <c r="CI375" s="275"/>
      <c r="CJ375" s="275"/>
      <c r="CK375" s="275"/>
      <c r="CL375" s="275"/>
      <c r="CM375" s="275"/>
      <c r="CN375" s="275"/>
      <c r="CO375" s="442"/>
      <c r="CP375" s="443"/>
      <c r="CQ375" s="429">
        <f t="shared" si="44"/>
        <v>0</v>
      </c>
      <c r="CR375" s="430"/>
    </row>
    <row r="376" spans="1:96" ht="25.5" customHeight="1" x14ac:dyDescent="0.2">
      <c r="A376" s="410">
        <f t="shared" si="45"/>
        <v>361</v>
      </c>
      <c r="B376" s="280"/>
      <c r="C376" s="453"/>
      <c r="D376" s="411"/>
      <c r="E376" s="254"/>
      <c r="F376" s="277"/>
      <c r="G376" s="450"/>
      <c r="H376" s="451"/>
      <c r="I376" s="433" t="str">
        <f t="shared" si="39"/>
        <v/>
      </c>
      <c r="J376" s="434">
        <f t="shared" si="40"/>
        <v>0</v>
      </c>
      <c r="K376" s="452"/>
      <c r="L376" s="276"/>
      <c r="M376" s="435"/>
      <c r="N376" s="417" t="str">
        <f t="shared" si="41"/>
        <v/>
      </c>
      <c r="O376" s="418" t="str">
        <f>IF('Data Set up'!$G$40="JUNE",IF(OR($N376=7,$N376=8,$N376=9),1,IF(OR($N376=10,$N376=11,$N376=12),2,IF(OR($N376=1,$N376=2,$N376=3),3,IF(OR($N376=4,$N376=5,$N376=6),4,"")))),IF(OR($N376=9,$N376=10,$N376=11),1,IF(OR($N376=12,$N376=1,$N376=2),2,IF(OR($N376=3,$N376=4,$N376=5),3,IF(OR($N376=6,$N376=7,$N376=8),4,"")))))</f>
        <v/>
      </c>
      <c r="P376" s="445"/>
      <c r="Q376" s="291"/>
      <c r="R376" s="291"/>
      <c r="S376" s="275"/>
      <c r="T376" s="275"/>
      <c r="U376" s="275"/>
      <c r="V376" s="275"/>
      <c r="W376" s="275"/>
      <c r="X376" s="275"/>
      <c r="Y376" s="275"/>
      <c r="Z376" s="275"/>
      <c r="AA376" s="275"/>
      <c r="AB376" s="275"/>
      <c r="AC376" s="275"/>
      <c r="AD376" s="275"/>
      <c r="AE376" s="275"/>
      <c r="AF376" s="275"/>
      <c r="AG376" s="275"/>
      <c r="AH376" s="438"/>
      <c r="AI376" s="439">
        <f t="shared" si="42"/>
        <v>0</v>
      </c>
      <c r="AJ376" s="263"/>
      <c r="AK376" s="263"/>
      <c r="AL376" s="263"/>
      <c r="AM376" s="263"/>
      <c r="AN376" s="263"/>
      <c r="AO376" s="263"/>
      <c r="AP376" s="263"/>
      <c r="AQ376" s="436"/>
      <c r="AR376" s="275"/>
      <c r="AS376" s="275"/>
      <c r="AT376" s="275"/>
      <c r="AU376" s="275"/>
      <c r="AV376" s="275"/>
      <c r="AW376" s="275"/>
      <c r="AX376" s="275"/>
      <c r="AY376" s="437"/>
      <c r="AZ376" s="440">
        <f t="shared" si="43"/>
        <v>0</v>
      </c>
      <c r="BA376" s="275"/>
      <c r="BB376" s="275"/>
      <c r="BC376" s="275"/>
      <c r="BD376" s="275"/>
      <c r="BE376" s="275"/>
      <c r="BF376" s="275"/>
      <c r="BG376" s="275"/>
      <c r="BH376" s="436"/>
      <c r="BI376" s="275"/>
      <c r="BJ376" s="275"/>
      <c r="BK376" s="291"/>
      <c r="BL376" s="291"/>
      <c r="BM376" s="275"/>
      <c r="BN376" s="275"/>
      <c r="BO376" s="438"/>
      <c r="BP376" s="436"/>
      <c r="BQ376" s="275"/>
      <c r="BR376" s="275"/>
      <c r="BS376" s="275"/>
      <c r="BT376" s="275"/>
      <c r="BU376" s="275"/>
      <c r="BV376" s="275"/>
      <c r="BW376" s="275"/>
      <c r="BX376" s="438"/>
      <c r="BY376" s="436"/>
      <c r="BZ376" s="275"/>
      <c r="CA376" s="275"/>
      <c r="CB376" s="275"/>
      <c r="CC376" s="275"/>
      <c r="CD376" s="275"/>
      <c r="CE376" s="275"/>
      <c r="CF376" s="275"/>
      <c r="CG376" s="438"/>
      <c r="CH376" s="436"/>
      <c r="CI376" s="275"/>
      <c r="CJ376" s="275"/>
      <c r="CK376" s="275"/>
      <c r="CL376" s="275"/>
      <c r="CM376" s="275"/>
      <c r="CN376" s="275"/>
      <c r="CO376" s="442"/>
      <c r="CP376" s="443"/>
      <c r="CQ376" s="429">
        <f t="shared" si="44"/>
        <v>0</v>
      </c>
      <c r="CR376" s="430"/>
    </row>
    <row r="377" spans="1:96" ht="25.5" customHeight="1" x14ac:dyDescent="0.2">
      <c r="A377" s="410">
        <f t="shared" si="45"/>
        <v>362</v>
      </c>
      <c r="B377" s="280"/>
      <c r="C377" s="453"/>
      <c r="D377" s="411"/>
      <c r="E377" s="254"/>
      <c r="F377" s="277"/>
      <c r="G377" s="450"/>
      <c r="H377" s="451"/>
      <c r="I377" s="433" t="str">
        <f t="shared" si="39"/>
        <v/>
      </c>
      <c r="J377" s="434">
        <f t="shared" si="40"/>
        <v>0</v>
      </c>
      <c r="K377" s="452"/>
      <c r="L377" s="276"/>
      <c r="M377" s="435"/>
      <c r="N377" s="417" t="str">
        <f t="shared" si="41"/>
        <v/>
      </c>
      <c r="O377" s="418" t="str">
        <f>IF('Data Set up'!$G$40="JUNE",IF(OR($N377=7,$N377=8,$N377=9),1,IF(OR($N377=10,$N377=11,$N377=12),2,IF(OR($N377=1,$N377=2,$N377=3),3,IF(OR($N377=4,$N377=5,$N377=6),4,"")))),IF(OR($N377=9,$N377=10,$N377=11),1,IF(OR($N377=12,$N377=1,$N377=2),2,IF(OR($N377=3,$N377=4,$N377=5),3,IF(OR($N377=6,$N377=7,$N377=8),4,"")))))</f>
        <v/>
      </c>
      <c r="P377" s="445"/>
      <c r="Q377" s="291"/>
      <c r="R377" s="291"/>
      <c r="S377" s="275"/>
      <c r="T377" s="275"/>
      <c r="U377" s="275"/>
      <c r="V377" s="275"/>
      <c r="W377" s="275"/>
      <c r="X377" s="275"/>
      <c r="Y377" s="275"/>
      <c r="Z377" s="275"/>
      <c r="AA377" s="275"/>
      <c r="AB377" s="275"/>
      <c r="AC377" s="275"/>
      <c r="AD377" s="275"/>
      <c r="AE377" s="275"/>
      <c r="AF377" s="275"/>
      <c r="AG377" s="275"/>
      <c r="AH377" s="438"/>
      <c r="AI377" s="439">
        <f t="shared" si="42"/>
        <v>0</v>
      </c>
      <c r="AJ377" s="263"/>
      <c r="AK377" s="263"/>
      <c r="AL377" s="263"/>
      <c r="AM377" s="263"/>
      <c r="AN377" s="263"/>
      <c r="AO377" s="263"/>
      <c r="AP377" s="263"/>
      <c r="AQ377" s="436"/>
      <c r="AR377" s="275"/>
      <c r="AS377" s="275"/>
      <c r="AT377" s="275"/>
      <c r="AU377" s="275"/>
      <c r="AV377" s="275"/>
      <c r="AW377" s="275"/>
      <c r="AX377" s="275"/>
      <c r="AY377" s="437"/>
      <c r="AZ377" s="440">
        <f t="shared" si="43"/>
        <v>0</v>
      </c>
      <c r="BA377" s="275"/>
      <c r="BB377" s="275"/>
      <c r="BC377" s="275"/>
      <c r="BD377" s="275"/>
      <c r="BE377" s="275"/>
      <c r="BF377" s="275"/>
      <c r="BG377" s="275"/>
      <c r="BH377" s="436"/>
      <c r="BI377" s="275"/>
      <c r="BJ377" s="275"/>
      <c r="BK377" s="291"/>
      <c r="BL377" s="291"/>
      <c r="BM377" s="275"/>
      <c r="BN377" s="275"/>
      <c r="BO377" s="438"/>
      <c r="BP377" s="436"/>
      <c r="BQ377" s="275"/>
      <c r="BR377" s="275"/>
      <c r="BS377" s="275"/>
      <c r="BT377" s="275"/>
      <c r="BU377" s="275"/>
      <c r="BV377" s="275"/>
      <c r="BW377" s="275"/>
      <c r="BX377" s="438"/>
      <c r="BY377" s="436"/>
      <c r="BZ377" s="275"/>
      <c r="CA377" s="275"/>
      <c r="CB377" s="275"/>
      <c r="CC377" s="275"/>
      <c r="CD377" s="275"/>
      <c r="CE377" s="275"/>
      <c r="CF377" s="275"/>
      <c r="CG377" s="438"/>
      <c r="CH377" s="436"/>
      <c r="CI377" s="275"/>
      <c r="CJ377" s="275"/>
      <c r="CK377" s="275"/>
      <c r="CL377" s="275"/>
      <c r="CM377" s="275"/>
      <c r="CN377" s="275"/>
      <c r="CO377" s="442"/>
      <c r="CP377" s="443"/>
      <c r="CQ377" s="429">
        <f t="shared" si="44"/>
        <v>0</v>
      </c>
      <c r="CR377" s="430"/>
    </row>
    <row r="378" spans="1:96" ht="25.5" customHeight="1" x14ac:dyDescent="0.2">
      <c r="A378" s="410">
        <f t="shared" si="45"/>
        <v>363</v>
      </c>
      <c r="B378" s="280"/>
      <c r="C378" s="453"/>
      <c r="D378" s="411"/>
      <c r="E378" s="254"/>
      <c r="F378" s="277"/>
      <c r="G378" s="450"/>
      <c r="H378" s="451"/>
      <c r="I378" s="433" t="str">
        <f t="shared" si="39"/>
        <v/>
      </c>
      <c r="J378" s="434">
        <f t="shared" si="40"/>
        <v>0</v>
      </c>
      <c r="K378" s="452"/>
      <c r="L378" s="276"/>
      <c r="M378" s="435"/>
      <c r="N378" s="417" t="str">
        <f t="shared" si="41"/>
        <v/>
      </c>
      <c r="O378" s="418" t="str">
        <f>IF('Data Set up'!$G$40="JUNE",IF(OR($N378=7,$N378=8,$N378=9),1,IF(OR($N378=10,$N378=11,$N378=12),2,IF(OR($N378=1,$N378=2,$N378=3),3,IF(OR($N378=4,$N378=5,$N378=6),4,"")))),IF(OR($N378=9,$N378=10,$N378=11),1,IF(OR($N378=12,$N378=1,$N378=2),2,IF(OR($N378=3,$N378=4,$N378=5),3,IF(OR($N378=6,$N378=7,$N378=8),4,"")))))</f>
        <v/>
      </c>
      <c r="P378" s="445"/>
      <c r="Q378" s="291"/>
      <c r="R378" s="291"/>
      <c r="S378" s="275"/>
      <c r="T378" s="275"/>
      <c r="U378" s="275"/>
      <c r="V378" s="275"/>
      <c r="W378" s="275"/>
      <c r="X378" s="275"/>
      <c r="Y378" s="275"/>
      <c r="Z378" s="275"/>
      <c r="AA378" s="275"/>
      <c r="AB378" s="275"/>
      <c r="AC378" s="275"/>
      <c r="AD378" s="275"/>
      <c r="AE378" s="275"/>
      <c r="AF378" s="275"/>
      <c r="AG378" s="275"/>
      <c r="AH378" s="438"/>
      <c r="AI378" s="439">
        <f t="shared" si="42"/>
        <v>0</v>
      </c>
      <c r="AJ378" s="263"/>
      <c r="AK378" s="263"/>
      <c r="AL378" s="263"/>
      <c r="AM378" s="263"/>
      <c r="AN378" s="263"/>
      <c r="AO378" s="263"/>
      <c r="AP378" s="263"/>
      <c r="AQ378" s="436"/>
      <c r="AR378" s="275"/>
      <c r="AS378" s="275"/>
      <c r="AT378" s="275"/>
      <c r="AU378" s="275"/>
      <c r="AV378" s="275"/>
      <c r="AW378" s="275"/>
      <c r="AX378" s="275"/>
      <c r="AY378" s="437"/>
      <c r="AZ378" s="440">
        <f t="shared" si="43"/>
        <v>0</v>
      </c>
      <c r="BA378" s="275"/>
      <c r="BB378" s="275"/>
      <c r="BC378" s="275"/>
      <c r="BD378" s="275"/>
      <c r="BE378" s="275"/>
      <c r="BF378" s="275"/>
      <c r="BG378" s="275"/>
      <c r="BH378" s="436"/>
      <c r="BI378" s="275"/>
      <c r="BJ378" s="275"/>
      <c r="BK378" s="291"/>
      <c r="BL378" s="291"/>
      <c r="BM378" s="275"/>
      <c r="BN378" s="275"/>
      <c r="BO378" s="438"/>
      <c r="BP378" s="436"/>
      <c r="BQ378" s="275"/>
      <c r="BR378" s="275"/>
      <c r="BS378" s="275"/>
      <c r="BT378" s="275"/>
      <c r="BU378" s="275"/>
      <c r="BV378" s="275"/>
      <c r="BW378" s="275"/>
      <c r="BX378" s="438"/>
      <c r="BY378" s="436"/>
      <c r="BZ378" s="275"/>
      <c r="CA378" s="275"/>
      <c r="CB378" s="275"/>
      <c r="CC378" s="275"/>
      <c r="CD378" s="275"/>
      <c r="CE378" s="275"/>
      <c r="CF378" s="275"/>
      <c r="CG378" s="438"/>
      <c r="CH378" s="436"/>
      <c r="CI378" s="275"/>
      <c r="CJ378" s="275"/>
      <c r="CK378" s="275"/>
      <c r="CL378" s="275"/>
      <c r="CM378" s="275"/>
      <c r="CN378" s="275"/>
      <c r="CO378" s="442"/>
      <c r="CP378" s="443"/>
      <c r="CQ378" s="429">
        <f t="shared" si="44"/>
        <v>0</v>
      </c>
      <c r="CR378" s="430"/>
    </row>
    <row r="379" spans="1:96" ht="25.5" customHeight="1" x14ac:dyDescent="0.2">
      <c r="A379" s="410">
        <f t="shared" si="45"/>
        <v>364</v>
      </c>
      <c r="B379" s="280"/>
      <c r="C379" s="453"/>
      <c r="D379" s="411"/>
      <c r="E379" s="254"/>
      <c r="F379" s="277"/>
      <c r="G379" s="450"/>
      <c r="H379" s="451"/>
      <c r="I379" s="433" t="str">
        <f t="shared" si="39"/>
        <v/>
      </c>
      <c r="J379" s="434">
        <f t="shared" si="40"/>
        <v>0</v>
      </c>
      <c r="K379" s="452"/>
      <c r="L379" s="276"/>
      <c r="M379" s="435"/>
      <c r="N379" s="417" t="str">
        <f t="shared" si="41"/>
        <v/>
      </c>
      <c r="O379" s="418" t="str">
        <f>IF('Data Set up'!$G$40="JUNE",IF(OR($N379=7,$N379=8,$N379=9),1,IF(OR($N379=10,$N379=11,$N379=12),2,IF(OR($N379=1,$N379=2,$N379=3),3,IF(OR($N379=4,$N379=5,$N379=6),4,"")))),IF(OR($N379=9,$N379=10,$N379=11),1,IF(OR($N379=12,$N379=1,$N379=2),2,IF(OR($N379=3,$N379=4,$N379=5),3,IF(OR($N379=6,$N379=7,$N379=8),4,"")))))</f>
        <v/>
      </c>
      <c r="P379" s="445"/>
      <c r="Q379" s="291"/>
      <c r="R379" s="291"/>
      <c r="S379" s="275"/>
      <c r="T379" s="275"/>
      <c r="U379" s="275"/>
      <c r="V379" s="275"/>
      <c r="W379" s="275"/>
      <c r="X379" s="275"/>
      <c r="Y379" s="275"/>
      <c r="Z379" s="275"/>
      <c r="AA379" s="275"/>
      <c r="AB379" s="275"/>
      <c r="AC379" s="275"/>
      <c r="AD379" s="275"/>
      <c r="AE379" s="275"/>
      <c r="AF379" s="275"/>
      <c r="AG379" s="275"/>
      <c r="AH379" s="438"/>
      <c r="AI379" s="439">
        <f t="shared" si="42"/>
        <v>0</v>
      </c>
      <c r="AJ379" s="263"/>
      <c r="AK379" s="263"/>
      <c r="AL379" s="263"/>
      <c r="AM379" s="263"/>
      <c r="AN379" s="263"/>
      <c r="AO379" s="263"/>
      <c r="AP379" s="263"/>
      <c r="AQ379" s="436"/>
      <c r="AR379" s="275"/>
      <c r="AS379" s="275"/>
      <c r="AT379" s="275"/>
      <c r="AU379" s="275"/>
      <c r="AV379" s="275"/>
      <c r="AW379" s="275"/>
      <c r="AX379" s="275"/>
      <c r="AY379" s="437"/>
      <c r="AZ379" s="440">
        <f t="shared" si="43"/>
        <v>0</v>
      </c>
      <c r="BA379" s="275"/>
      <c r="BB379" s="275"/>
      <c r="BC379" s="275"/>
      <c r="BD379" s="275"/>
      <c r="BE379" s="275"/>
      <c r="BF379" s="275"/>
      <c r="BG379" s="275"/>
      <c r="BH379" s="436"/>
      <c r="BI379" s="275"/>
      <c r="BJ379" s="275"/>
      <c r="BK379" s="291"/>
      <c r="BL379" s="291"/>
      <c r="BM379" s="275"/>
      <c r="BN379" s="275"/>
      <c r="BO379" s="438"/>
      <c r="BP379" s="436"/>
      <c r="BQ379" s="275"/>
      <c r="BR379" s="275"/>
      <c r="BS379" s="275"/>
      <c r="BT379" s="275"/>
      <c r="BU379" s="275"/>
      <c r="BV379" s="275"/>
      <c r="BW379" s="275"/>
      <c r="BX379" s="438"/>
      <c r="BY379" s="436"/>
      <c r="BZ379" s="275"/>
      <c r="CA379" s="275"/>
      <c r="CB379" s="275"/>
      <c r="CC379" s="275"/>
      <c r="CD379" s="275"/>
      <c r="CE379" s="275"/>
      <c r="CF379" s="275"/>
      <c r="CG379" s="438"/>
      <c r="CH379" s="436"/>
      <c r="CI379" s="275"/>
      <c r="CJ379" s="275"/>
      <c r="CK379" s="275"/>
      <c r="CL379" s="275"/>
      <c r="CM379" s="275"/>
      <c r="CN379" s="275"/>
      <c r="CO379" s="442"/>
      <c r="CP379" s="443"/>
      <c r="CQ379" s="429">
        <f t="shared" si="44"/>
        <v>0</v>
      </c>
      <c r="CR379" s="430"/>
    </row>
    <row r="380" spans="1:96" ht="25.5" customHeight="1" x14ac:dyDescent="0.2">
      <c r="A380" s="410">
        <f t="shared" si="45"/>
        <v>365</v>
      </c>
      <c r="B380" s="280"/>
      <c r="C380" s="453"/>
      <c r="D380" s="411"/>
      <c r="E380" s="254"/>
      <c r="F380" s="277"/>
      <c r="G380" s="450"/>
      <c r="H380" s="451"/>
      <c r="I380" s="433" t="str">
        <f t="shared" si="39"/>
        <v/>
      </c>
      <c r="J380" s="434">
        <f t="shared" si="40"/>
        <v>0</v>
      </c>
      <c r="K380" s="452"/>
      <c r="L380" s="276"/>
      <c r="M380" s="435"/>
      <c r="N380" s="417" t="str">
        <f t="shared" si="41"/>
        <v/>
      </c>
      <c r="O380" s="418" t="str">
        <f>IF('Data Set up'!$G$40="JUNE",IF(OR($N380=7,$N380=8,$N380=9),1,IF(OR($N380=10,$N380=11,$N380=12),2,IF(OR($N380=1,$N380=2,$N380=3),3,IF(OR($N380=4,$N380=5,$N380=6),4,"")))),IF(OR($N380=9,$N380=10,$N380=11),1,IF(OR($N380=12,$N380=1,$N380=2),2,IF(OR($N380=3,$N380=4,$N380=5),3,IF(OR($N380=6,$N380=7,$N380=8),4,"")))))</f>
        <v/>
      </c>
      <c r="P380" s="445"/>
      <c r="Q380" s="291"/>
      <c r="R380" s="291"/>
      <c r="S380" s="275"/>
      <c r="T380" s="275"/>
      <c r="U380" s="275"/>
      <c r="V380" s="275"/>
      <c r="W380" s="275"/>
      <c r="X380" s="275"/>
      <c r="Y380" s="275"/>
      <c r="Z380" s="275"/>
      <c r="AA380" s="275"/>
      <c r="AB380" s="275"/>
      <c r="AC380" s="275"/>
      <c r="AD380" s="275"/>
      <c r="AE380" s="275"/>
      <c r="AF380" s="275"/>
      <c r="AG380" s="275"/>
      <c r="AH380" s="438"/>
      <c r="AI380" s="439">
        <f t="shared" si="42"/>
        <v>0</v>
      </c>
      <c r="AJ380" s="263"/>
      <c r="AK380" s="263"/>
      <c r="AL380" s="263"/>
      <c r="AM380" s="263"/>
      <c r="AN380" s="263"/>
      <c r="AO380" s="263"/>
      <c r="AP380" s="263"/>
      <c r="AQ380" s="436"/>
      <c r="AR380" s="275"/>
      <c r="AS380" s="275"/>
      <c r="AT380" s="275"/>
      <c r="AU380" s="275"/>
      <c r="AV380" s="275"/>
      <c r="AW380" s="275"/>
      <c r="AX380" s="275"/>
      <c r="AY380" s="437"/>
      <c r="AZ380" s="440">
        <f t="shared" si="43"/>
        <v>0</v>
      </c>
      <c r="BA380" s="275"/>
      <c r="BB380" s="275"/>
      <c r="BC380" s="275"/>
      <c r="BD380" s="275"/>
      <c r="BE380" s="275"/>
      <c r="BF380" s="275"/>
      <c r="BG380" s="275"/>
      <c r="BH380" s="436"/>
      <c r="BI380" s="275"/>
      <c r="BJ380" s="275"/>
      <c r="BK380" s="291"/>
      <c r="BL380" s="291"/>
      <c r="BM380" s="275"/>
      <c r="BN380" s="275"/>
      <c r="BO380" s="438"/>
      <c r="BP380" s="436"/>
      <c r="BQ380" s="275"/>
      <c r="BR380" s="275"/>
      <c r="BS380" s="275"/>
      <c r="BT380" s="275"/>
      <c r="BU380" s="275"/>
      <c r="BV380" s="275"/>
      <c r="BW380" s="275"/>
      <c r="BX380" s="438"/>
      <c r="BY380" s="436"/>
      <c r="BZ380" s="275"/>
      <c r="CA380" s="275"/>
      <c r="CB380" s="275"/>
      <c r="CC380" s="275"/>
      <c r="CD380" s="275"/>
      <c r="CE380" s="275"/>
      <c r="CF380" s="275"/>
      <c r="CG380" s="438"/>
      <c r="CH380" s="436"/>
      <c r="CI380" s="275"/>
      <c r="CJ380" s="275"/>
      <c r="CK380" s="275"/>
      <c r="CL380" s="275"/>
      <c r="CM380" s="275"/>
      <c r="CN380" s="275"/>
      <c r="CO380" s="442"/>
      <c r="CP380" s="443"/>
      <c r="CQ380" s="429">
        <f t="shared" si="44"/>
        <v>0</v>
      </c>
      <c r="CR380" s="430"/>
    </row>
    <row r="381" spans="1:96" ht="25.5" customHeight="1" x14ac:dyDescent="0.2">
      <c r="A381" s="410">
        <f t="shared" si="45"/>
        <v>366</v>
      </c>
      <c r="B381" s="280"/>
      <c r="C381" s="453"/>
      <c r="D381" s="411"/>
      <c r="E381" s="254"/>
      <c r="F381" s="277"/>
      <c r="G381" s="450"/>
      <c r="H381" s="451"/>
      <c r="I381" s="433" t="str">
        <f t="shared" si="39"/>
        <v/>
      </c>
      <c r="J381" s="434">
        <f t="shared" si="40"/>
        <v>0</v>
      </c>
      <c r="K381" s="452"/>
      <c r="L381" s="276"/>
      <c r="M381" s="435"/>
      <c r="N381" s="417" t="str">
        <f t="shared" si="41"/>
        <v/>
      </c>
      <c r="O381" s="418" t="str">
        <f>IF('Data Set up'!$G$40="JUNE",IF(OR($N381=7,$N381=8,$N381=9),1,IF(OR($N381=10,$N381=11,$N381=12),2,IF(OR($N381=1,$N381=2,$N381=3),3,IF(OR($N381=4,$N381=5,$N381=6),4,"")))),IF(OR($N381=9,$N381=10,$N381=11),1,IF(OR($N381=12,$N381=1,$N381=2),2,IF(OR($N381=3,$N381=4,$N381=5),3,IF(OR($N381=6,$N381=7,$N381=8),4,"")))))</f>
        <v/>
      </c>
      <c r="P381" s="445"/>
      <c r="Q381" s="291"/>
      <c r="R381" s="291"/>
      <c r="S381" s="275"/>
      <c r="T381" s="275"/>
      <c r="U381" s="275"/>
      <c r="V381" s="275"/>
      <c r="W381" s="275"/>
      <c r="X381" s="275"/>
      <c r="Y381" s="275"/>
      <c r="Z381" s="275"/>
      <c r="AA381" s="275"/>
      <c r="AB381" s="275"/>
      <c r="AC381" s="275"/>
      <c r="AD381" s="275"/>
      <c r="AE381" s="275"/>
      <c r="AF381" s="275"/>
      <c r="AG381" s="275"/>
      <c r="AH381" s="438"/>
      <c r="AI381" s="439">
        <f t="shared" si="42"/>
        <v>0</v>
      </c>
      <c r="AJ381" s="263"/>
      <c r="AK381" s="263"/>
      <c r="AL381" s="263"/>
      <c r="AM381" s="263"/>
      <c r="AN381" s="263"/>
      <c r="AO381" s="263"/>
      <c r="AP381" s="263"/>
      <c r="AQ381" s="436"/>
      <c r="AR381" s="275"/>
      <c r="AS381" s="275"/>
      <c r="AT381" s="275"/>
      <c r="AU381" s="275"/>
      <c r="AV381" s="275"/>
      <c r="AW381" s="275"/>
      <c r="AX381" s="275"/>
      <c r="AY381" s="437"/>
      <c r="AZ381" s="440">
        <f t="shared" si="43"/>
        <v>0</v>
      </c>
      <c r="BA381" s="275"/>
      <c r="BB381" s="275"/>
      <c r="BC381" s="275"/>
      <c r="BD381" s="275"/>
      <c r="BE381" s="275"/>
      <c r="BF381" s="275"/>
      <c r="BG381" s="275"/>
      <c r="BH381" s="436"/>
      <c r="BI381" s="275"/>
      <c r="BJ381" s="275"/>
      <c r="BK381" s="291"/>
      <c r="BL381" s="291"/>
      <c r="BM381" s="275"/>
      <c r="BN381" s="275"/>
      <c r="BO381" s="438"/>
      <c r="BP381" s="436"/>
      <c r="BQ381" s="275"/>
      <c r="BR381" s="275"/>
      <c r="BS381" s="275"/>
      <c r="BT381" s="275"/>
      <c r="BU381" s="275"/>
      <c r="BV381" s="275"/>
      <c r="BW381" s="275"/>
      <c r="BX381" s="438"/>
      <c r="BY381" s="436"/>
      <c r="BZ381" s="275"/>
      <c r="CA381" s="275"/>
      <c r="CB381" s="275"/>
      <c r="CC381" s="275"/>
      <c r="CD381" s="275"/>
      <c r="CE381" s="275"/>
      <c r="CF381" s="275"/>
      <c r="CG381" s="438"/>
      <c r="CH381" s="436"/>
      <c r="CI381" s="275"/>
      <c r="CJ381" s="275"/>
      <c r="CK381" s="275"/>
      <c r="CL381" s="275"/>
      <c r="CM381" s="275"/>
      <c r="CN381" s="275"/>
      <c r="CO381" s="442"/>
      <c r="CP381" s="443"/>
      <c r="CQ381" s="429">
        <f t="shared" si="44"/>
        <v>0</v>
      </c>
      <c r="CR381" s="430"/>
    </row>
    <row r="382" spans="1:96" ht="25.5" customHeight="1" x14ac:dyDescent="0.2">
      <c r="A382" s="410">
        <f t="shared" si="45"/>
        <v>367</v>
      </c>
      <c r="B382" s="280"/>
      <c r="C382" s="453"/>
      <c r="D382" s="411"/>
      <c r="E382" s="254"/>
      <c r="F382" s="277"/>
      <c r="G382" s="450"/>
      <c r="H382" s="451"/>
      <c r="I382" s="433" t="str">
        <f t="shared" si="39"/>
        <v/>
      </c>
      <c r="J382" s="434">
        <f t="shared" si="40"/>
        <v>0</v>
      </c>
      <c r="K382" s="452"/>
      <c r="L382" s="276"/>
      <c r="M382" s="435"/>
      <c r="N382" s="417" t="str">
        <f t="shared" si="41"/>
        <v/>
      </c>
      <c r="O382" s="418" t="str">
        <f>IF('Data Set up'!$G$40="JUNE",IF(OR($N382=7,$N382=8,$N382=9),1,IF(OR($N382=10,$N382=11,$N382=12),2,IF(OR($N382=1,$N382=2,$N382=3),3,IF(OR($N382=4,$N382=5,$N382=6),4,"")))),IF(OR($N382=9,$N382=10,$N382=11),1,IF(OR($N382=12,$N382=1,$N382=2),2,IF(OR($N382=3,$N382=4,$N382=5),3,IF(OR($N382=6,$N382=7,$N382=8),4,"")))))</f>
        <v/>
      </c>
      <c r="P382" s="445"/>
      <c r="Q382" s="291"/>
      <c r="R382" s="291"/>
      <c r="S382" s="275"/>
      <c r="T382" s="275"/>
      <c r="U382" s="275"/>
      <c r="V382" s="275"/>
      <c r="W382" s="275"/>
      <c r="X382" s="275"/>
      <c r="Y382" s="275"/>
      <c r="Z382" s="275"/>
      <c r="AA382" s="275"/>
      <c r="AB382" s="275"/>
      <c r="AC382" s="275"/>
      <c r="AD382" s="275"/>
      <c r="AE382" s="275"/>
      <c r="AF382" s="275"/>
      <c r="AG382" s="275"/>
      <c r="AH382" s="438"/>
      <c r="AI382" s="439">
        <f t="shared" si="42"/>
        <v>0</v>
      </c>
      <c r="AJ382" s="263"/>
      <c r="AK382" s="263"/>
      <c r="AL382" s="263"/>
      <c r="AM382" s="263"/>
      <c r="AN382" s="263"/>
      <c r="AO382" s="263"/>
      <c r="AP382" s="263"/>
      <c r="AQ382" s="436"/>
      <c r="AR382" s="275"/>
      <c r="AS382" s="275"/>
      <c r="AT382" s="275"/>
      <c r="AU382" s="275"/>
      <c r="AV382" s="275"/>
      <c r="AW382" s="275"/>
      <c r="AX382" s="275"/>
      <c r="AY382" s="437"/>
      <c r="AZ382" s="440">
        <f t="shared" si="43"/>
        <v>0</v>
      </c>
      <c r="BA382" s="275"/>
      <c r="BB382" s="275"/>
      <c r="BC382" s="275"/>
      <c r="BD382" s="275"/>
      <c r="BE382" s="275"/>
      <c r="BF382" s="275"/>
      <c r="BG382" s="275"/>
      <c r="BH382" s="436"/>
      <c r="BI382" s="275"/>
      <c r="BJ382" s="275"/>
      <c r="BK382" s="291"/>
      <c r="BL382" s="291"/>
      <c r="BM382" s="275"/>
      <c r="BN382" s="275"/>
      <c r="BO382" s="438"/>
      <c r="BP382" s="436"/>
      <c r="BQ382" s="275"/>
      <c r="BR382" s="275"/>
      <c r="BS382" s="275"/>
      <c r="BT382" s="275"/>
      <c r="BU382" s="275"/>
      <c r="BV382" s="275"/>
      <c r="BW382" s="275"/>
      <c r="BX382" s="438"/>
      <c r="BY382" s="436"/>
      <c r="BZ382" s="275"/>
      <c r="CA382" s="275"/>
      <c r="CB382" s="275"/>
      <c r="CC382" s="275"/>
      <c r="CD382" s="275"/>
      <c r="CE382" s="275"/>
      <c r="CF382" s="275"/>
      <c r="CG382" s="438"/>
      <c r="CH382" s="436"/>
      <c r="CI382" s="275"/>
      <c r="CJ382" s="275"/>
      <c r="CK382" s="275"/>
      <c r="CL382" s="275"/>
      <c r="CM382" s="275"/>
      <c r="CN382" s="275"/>
      <c r="CO382" s="442"/>
      <c r="CP382" s="443"/>
      <c r="CQ382" s="429">
        <f t="shared" si="44"/>
        <v>0</v>
      </c>
      <c r="CR382" s="430"/>
    </row>
    <row r="383" spans="1:96" ht="25.5" customHeight="1" x14ac:dyDescent="0.2">
      <c r="A383" s="410">
        <f t="shared" si="45"/>
        <v>368</v>
      </c>
      <c r="B383" s="280"/>
      <c r="C383" s="453"/>
      <c r="D383" s="411"/>
      <c r="E383" s="254"/>
      <c r="F383" s="277"/>
      <c r="G383" s="450"/>
      <c r="H383" s="451"/>
      <c r="I383" s="433" t="str">
        <f t="shared" si="39"/>
        <v/>
      </c>
      <c r="J383" s="434">
        <f t="shared" si="40"/>
        <v>0</v>
      </c>
      <c r="K383" s="452"/>
      <c r="L383" s="276"/>
      <c r="M383" s="435"/>
      <c r="N383" s="417" t="str">
        <f t="shared" si="41"/>
        <v/>
      </c>
      <c r="O383" s="418" t="str">
        <f>IF('Data Set up'!$G$40="JUNE",IF(OR($N383=7,$N383=8,$N383=9),1,IF(OR($N383=10,$N383=11,$N383=12),2,IF(OR($N383=1,$N383=2,$N383=3),3,IF(OR($N383=4,$N383=5,$N383=6),4,"")))),IF(OR($N383=9,$N383=10,$N383=11),1,IF(OR($N383=12,$N383=1,$N383=2),2,IF(OR($N383=3,$N383=4,$N383=5),3,IF(OR($N383=6,$N383=7,$N383=8),4,"")))))</f>
        <v/>
      </c>
      <c r="P383" s="445"/>
      <c r="Q383" s="291"/>
      <c r="R383" s="291"/>
      <c r="S383" s="275"/>
      <c r="T383" s="275"/>
      <c r="U383" s="275"/>
      <c r="V383" s="275"/>
      <c r="W383" s="275"/>
      <c r="X383" s="275"/>
      <c r="Y383" s="275"/>
      <c r="Z383" s="275"/>
      <c r="AA383" s="275"/>
      <c r="AB383" s="275"/>
      <c r="AC383" s="275"/>
      <c r="AD383" s="275"/>
      <c r="AE383" s="275"/>
      <c r="AF383" s="275"/>
      <c r="AG383" s="275"/>
      <c r="AH383" s="438"/>
      <c r="AI383" s="439">
        <f t="shared" si="42"/>
        <v>0</v>
      </c>
      <c r="AJ383" s="263"/>
      <c r="AK383" s="263"/>
      <c r="AL383" s="263"/>
      <c r="AM383" s="263"/>
      <c r="AN383" s="263"/>
      <c r="AO383" s="263"/>
      <c r="AP383" s="263"/>
      <c r="AQ383" s="436"/>
      <c r="AR383" s="275"/>
      <c r="AS383" s="275"/>
      <c r="AT383" s="275"/>
      <c r="AU383" s="275"/>
      <c r="AV383" s="275"/>
      <c r="AW383" s="275"/>
      <c r="AX383" s="275"/>
      <c r="AY383" s="437"/>
      <c r="AZ383" s="440">
        <f t="shared" si="43"/>
        <v>0</v>
      </c>
      <c r="BA383" s="275"/>
      <c r="BB383" s="275"/>
      <c r="BC383" s="275"/>
      <c r="BD383" s="275"/>
      <c r="BE383" s="275"/>
      <c r="BF383" s="275"/>
      <c r="BG383" s="275"/>
      <c r="BH383" s="436"/>
      <c r="BI383" s="275"/>
      <c r="BJ383" s="275"/>
      <c r="BK383" s="291"/>
      <c r="BL383" s="291"/>
      <c r="BM383" s="275"/>
      <c r="BN383" s="275"/>
      <c r="BO383" s="438"/>
      <c r="BP383" s="436"/>
      <c r="BQ383" s="275"/>
      <c r="BR383" s="275"/>
      <c r="BS383" s="275"/>
      <c r="BT383" s="275"/>
      <c r="BU383" s="275"/>
      <c r="BV383" s="275"/>
      <c r="BW383" s="275"/>
      <c r="BX383" s="438"/>
      <c r="BY383" s="436"/>
      <c r="BZ383" s="275"/>
      <c r="CA383" s="275"/>
      <c r="CB383" s="275"/>
      <c r="CC383" s="275"/>
      <c r="CD383" s="275"/>
      <c r="CE383" s="275"/>
      <c r="CF383" s="275"/>
      <c r="CG383" s="438"/>
      <c r="CH383" s="436"/>
      <c r="CI383" s="275"/>
      <c r="CJ383" s="275"/>
      <c r="CK383" s="275"/>
      <c r="CL383" s="275"/>
      <c r="CM383" s="275"/>
      <c r="CN383" s="275"/>
      <c r="CO383" s="442"/>
      <c r="CP383" s="443"/>
      <c r="CQ383" s="429">
        <f t="shared" si="44"/>
        <v>0</v>
      </c>
      <c r="CR383" s="430"/>
    </row>
    <row r="384" spans="1:96" ht="25.5" customHeight="1" x14ac:dyDescent="0.2">
      <c r="A384" s="410">
        <f t="shared" si="45"/>
        <v>369</v>
      </c>
      <c r="B384" s="280"/>
      <c r="C384" s="453"/>
      <c r="D384" s="411"/>
      <c r="E384" s="254"/>
      <c r="F384" s="277"/>
      <c r="G384" s="450"/>
      <c r="H384" s="451"/>
      <c r="I384" s="433" t="str">
        <f t="shared" si="39"/>
        <v/>
      </c>
      <c r="J384" s="434">
        <f t="shared" si="40"/>
        <v>0</v>
      </c>
      <c r="K384" s="452"/>
      <c r="L384" s="276"/>
      <c r="M384" s="435"/>
      <c r="N384" s="417" t="str">
        <f t="shared" si="41"/>
        <v/>
      </c>
      <c r="O384" s="418" t="str">
        <f>IF('Data Set up'!$G$40="JUNE",IF(OR($N384=7,$N384=8,$N384=9),1,IF(OR($N384=10,$N384=11,$N384=12),2,IF(OR($N384=1,$N384=2,$N384=3),3,IF(OR($N384=4,$N384=5,$N384=6),4,"")))),IF(OR($N384=9,$N384=10,$N384=11),1,IF(OR($N384=12,$N384=1,$N384=2),2,IF(OR($N384=3,$N384=4,$N384=5),3,IF(OR($N384=6,$N384=7,$N384=8),4,"")))))</f>
        <v/>
      </c>
      <c r="P384" s="445"/>
      <c r="Q384" s="291"/>
      <c r="R384" s="291"/>
      <c r="S384" s="275"/>
      <c r="T384" s="275"/>
      <c r="U384" s="275"/>
      <c r="V384" s="275"/>
      <c r="W384" s="275"/>
      <c r="X384" s="275"/>
      <c r="Y384" s="275"/>
      <c r="Z384" s="275"/>
      <c r="AA384" s="275"/>
      <c r="AB384" s="275"/>
      <c r="AC384" s="275"/>
      <c r="AD384" s="275"/>
      <c r="AE384" s="275"/>
      <c r="AF384" s="275"/>
      <c r="AG384" s="275"/>
      <c r="AH384" s="438"/>
      <c r="AI384" s="439">
        <f t="shared" si="42"/>
        <v>0</v>
      </c>
      <c r="AJ384" s="263"/>
      <c r="AK384" s="263"/>
      <c r="AL384" s="263"/>
      <c r="AM384" s="263"/>
      <c r="AN384" s="263"/>
      <c r="AO384" s="263"/>
      <c r="AP384" s="263"/>
      <c r="AQ384" s="436"/>
      <c r="AR384" s="275"/>
      <c r="AS384" s="275"/>
      <c r="AT384" s="275"/>
      <c r="AU384" s="275"/>
      <c r="AV384" s="275"/>
      <c r="AW384" s="275"/>
      <c r="AX384" s="275"/>
      <c r="AY384" s="437"/>
      <c r="AZ384" s="440">
        <f t="shared" si="43"/>
        <v>0</v>
      </c>
      <c r="BA384" s="275"/>
      <c r="BB384" s="275"/>
      <c r="BC384" s="275"/>
      <c r="BD384" s="275"/>
      <c r="BE384" s="275"/>
      <c r="BF384" s="275"/>
      <c r="BG384" s="275"/>
      <c r="BH384" s="436"/>
      <c r="BI384" s="275"/>
      <c r="BJ384" s="275"/>
      <c r="BK384" s="291"/>
      <c r="BL384" s="291"/>
      <c r="BM384" s="275"/>
      <c r="BN384" s="275"/>
      <c r="BO384" s="438"/>
      <c r="BP384" s="436"/>
      <c r="BQ384" s="275"/>
      <c r="BR384" s="275"/>
      <c r="BS384" s="275"/>
      <c r="BT384" s="275"/>
      <c r="BU384" s="275"/>
      <c r="BV384" s="275"/>
      <c r="BW384" s="275"/>
      <c r="BX384" s="438"/>
      <c r="BY384" s="436"/>
      <c r="BZ384" s="275"/>
      <c r="CA384" s="275"/>
      <c r="CB384" s="275"/>
      <c r="CC384" s="275"/>
      <c r="CD384" s="275"/>
      <c r="CE384" s="275"/>
      <c r="CF384" s="275"/>
      <c r="CG384" s="438"/>
      <c r="CH384" s="436"/>
      <c r="CI384" s="275"/>
      <c r="CJ384" s="275"/>
      <c r="CK384" s="275"/>
      <c r="CL384" s="275"/>
      <c r="CM384" s="275"/>
      <c r="CN384" s="275"/>
      <c r="CO384" s="442"/>
      <c r="CP384" s="443"/>
      <c r="CQ384" s="429">
        <f t="shared" si="44"/>
        <v>0</v>
      </c>
      <c r="CR384" s="430"/>
    </row>
    <row r="385" spans="1:96" ht="25.5" customHeight="1" x14ac:dyDescent="0.2">
      <c r="A385" s="410">
        <f t="shared" si="45"/>
        <v>370</v>
      </c>
      <c r="B385" s="280"/>
      <c r="C385" s="453"/>
      <c r="D385" s="411"/>
      <c r="E385" s="254"/>
      <c r="F385" s="277"/>
      <c r="G385" s="450"/>
      <c r="H385" s="451"/>
      <c r="I385" s="433" t="str">
        <f t="shared" si="39"/>
        <v/>
      </c>
      <c r="J385" s="434">
        <f t="shared" si="40"/>
        <v>0</v>
      </c>
      <c r="K385" s="452"/>
      <c r="L385" s="276"/>
      <c r="M385" s="435"/>
      <c r="N385" s="417" t="str">
        <f t="shared" si="41"/>
        <v/>
      </c>
      <c r="O385" s="418" t="str">
        <f>IF('Data Set up'!$G$40="JUNE",IF(OR($N385=7,$N385=8,$N385=9),1,IF(OR($N385=10,$N385=11,$N385=12),2,IF(OR($N385=1,$N385=2,$N385=3),3,IF(OR($N385=4,$N385=5,$N385=6),4,"")))),IF(OR($N385=9,$N385=10,$N385=11),1,IF(OR($N385=12,$N385=1,$N385=2),2,IF(OR($N385=3,$N385=4,$N385=5),3,IF(OR($N385=6,$N385=7,$N385=8),4,"")))))</f>
        <v/>
      </c>
      <c r="P385" s="445"/>
      <c r="Q385" s="291"/>
      <c r="R385" s="291"/>
      <c r="S385" s="275"/>
      <c r="T385" s="275"/>
      <c r="U385" s="275"/>
      <c r="V385" s="275"/>
      <c r="W385" s="275"/>
      <c r="X385" s="275"/>
      <c r="Y385" s="275"/>
      <c r="Z385" s="275"/>
      <c r="AA385" s="275"/>
      <c r="AB385" s="275"/>
      <c r="AC385" s="275"/>
      <c r="AD385" s="275"/>
      <c r="AE385" s="275"/>
      <c r="AF385" s="275"/>
      <c r="AG385" s="275"/>
      <c r="AH385" s="438"/>
      <c r="AI385" s="439">
        <f t="shared" si="42"/>
        <v>0</v>
      </c>
      <c r="AJ385" s="263"/>
      <c r="AK385" s="263"/>
      <c r="AL385" s="263"/>
      <c r="AM385" s="263"/>
      <c r="AN385" s="263"/>
      <c r="AO385" s="263"/>
      <c r="AP385" s="263"/>
      <c r="AQ385" s="436"/>
      <c r="AR385" s="275"/>
      <c r="AS385" s="275"/>
      <c r="AT385" s="275"/>
      <c r="AU385" s="275"/>
      <c r="AV385" s="275"/>
      <c r="AW385" s="275"/>
      <c r="AX385" s="275"/>
      <c r="AY385" s="437"/>
      <c r="AZ385" s="440">
        <f t="shared" si="43"/>
        <v>0</v>
      </c>
      <c r="BA385" s="275"/>
      <c r="BB385" s="275"/>
      <c r="BC385" s="275"/>
      <c r="BD385" s="275"/>
      <c r="BE385" s="275"/>
      <c r="BF385" s="275"/>
      <c r="BG385" s="275"/>
      <c r="BH385" s="436"/>
      <c r="BI385" s="275"/>
      <c r="BJ385" s="275"/>
      <c r="BK385" s="291"/>
      <c r="BL385" s="291"/>
      <c r="BM385" s="275"/>
      <c r="BN385" s="275"/>
      <c r="BO385" s="438"/>
      <c r="BP385" s="436"/>
      <c r="BQ385" s="275"/>
      <c r="BR385" s="275"/>
      <c r="BS385" s="275"/>
      <c r="BT385" s="275"/>
      <c r="BU385" s="275"/>
      <c r="BV385" s="275"/>
      <c r="BW385" s="275"/>
      <c r="BX385" s="438"/>
      <c r="BY385" s="436"/>
      <c r="BZ385" s="275"/>
      <c r="CA385" s="275"/>
      <c r="CB385" s="275"/>
      <c r="CC385" s="275"/>
      <c r="CD385" s="275"/>
      <c r="CE385" s="275"/>
      <c r="CF385" s="275"/>
      <c r="CG385" s="438"/>
      <c r="CH385" s="436"/>
      <c r="CI385" s="275"/>
      <c r="CJ385" s="275"/>
      <c r="CK385" s="275"/>
      <c r="CL385" s="275"/>
      <c r="CM385" s="275"/>
      <c r="CN385" s="275"/>
      <c r="CO385" s="442"/>
      <c r="CP385" s="443"/>
      <c r="CQ385" s="429">
        <f t="shared" si="44"/>
        <v>0</v>
      </c>
      <c r="CR385" s="430"/>
    </row>
    <row r="386" spans="1:96" ht="25.5" customHeight="1" x14ac:dyDescent="0.2">
      <c r="A386" s="410">
        <f t="shared" si="45"/>
        <v>371</v>
      </c>
      <c r="B386" s="280"/>
      <c r="C386" s="453"/>
      <c r="D386" s="411"/>
      <c r="E386" s="254"/>
      <c r="F386" s="277"/>
      <c r="G386" s="450"/>
      <c r="H386" s="451"/>
      <c r="I386" s="433" t="str">
        <f t="shared" si="39"/>
        <v/>
      </c>
      <c r="J386" s="434">
        <f t="shared" si="40"/>
        <v>0</v>
      </c>
      <c r="K386" s="452"/>
      <c r="L386" s="276"/>
      <c r="M386" s="435"/>
      <c r="N386" s="417" t="str">
        <f t="shared" si="41"/>
        <v/>
      </c>
      <c r="O386" s="418" t="str">
        <f>IF('Data Set up'!$G$40="JUNE",IF(OR($N386=7,$N386=8,$N386=9),1,IF(OR($N386=10,$N386=11,$N386=12),2,IF(OR($N386=1,$N386=2,$N386=3),3,IF(OR($N386=4,$N386=5,$N386=6),4,"")))),IF(OR($N386=9,$N386=10,$N386=11),1,IF(OR($N386=12,$N386=1,$N386=2),2,IF(OR($N386=3,$N386=4,$N386=5),3,IF(OR($N386=6,$N386=7,$N386=8),4,"")))))</f>
        <v/>
      </c>
      <c r="P386" s="445"/>
      <c r="Q386" s="291"/>
      <c r="R386" s="291"/>
      <c r="S386" s="275"/>
      <c r="T386" s="275"/>
      <c r="U386" s="275"/>
      <c r="V386" s="275"/>
      <c r="W386" s="275"/>
      <c r="X386" s="275"/>
      <c r="Y386" s="275"/>
      <c r="Z386" s="275"/>
      <c r="AA386" s="275"/>
      <c r="AB386" s="275"/>
      <c r="AC386" s="275"/>
      <c r="AD386" s="275"/>
      <c r="AE386" s="275"/>
      <c r="AF386" s="275"/>
      <c r="AG386" s="275"/>
      <c r="AH386" s="438"/>
      <c r="AI386" s="439">
        <f t="shared" si="42"/>
        <v>0</v>
      </c>
      <c r="AJ386" s="263"/>
      <c r="AK386" s="263"/>
      <c r="AL386" s="263"/>
      <c r="AM386" s="263"/>
      <c r="AN386" s="263"/>
      <c r="AO386" s="263"/>
      <c r="AP386" s="263"/>
      <c r="AQ386" s="436"/>
      <c r="AR386" s="275"/>
      <c r="AS386" s="275"/>
      <c r="AT386" s="275"/>
      <c r="AU386" s="275"/>
      <c r="AV386" s="275"/>
      <c r="AW386" s="275"/>
      <c r="AX386" s="275"/>
      <c r="AY386" s="437"/>
      <c r="AZ386" s="440">
        <f t="shared" si="43"/>
        <v>0</v>
      </c>
      <c r="BA386" s="275"/>
      <c r="BB386" s="275"/>
      <c r="BC386" s="275"/>
      <c r="BD386" s="275"/>
      <c r="BE386" s="275"/>
      <c r="BF386" s="275"/>
      <c r="BG386" s="275"/>
      <c r="BH386" s="436"/>
      <c r="BI386" s="275"/>
      <c r="BJ386" s="275"/>
      <c r="BK386" s="291"/>
      <c r="BL386" s="291"/>
      <c r="BM386" s="275"/>
      <c r="BN386" s="275"/>
      <c r="BO386" s="438"/>
      <c r="BP386" s="436"/>
      <c r="BQ386" s="275"/>
      <c r="BR386" s="275"/>
      <c r="BS386" s="275"/>
      <c r="BT386" s="275"/>
      <c r="BU386" s="275"/>
      <c r="BV386" s="275"/>
      <c r="BW386" s="275"/>
      <c r="BX386" s="438"/>
      <c r="BY386" s="436"/>
      <c r="BZ386" s="275"/>
      <c r="CA386" s="275"/>
      <c r="CB386" s="275"/>
      <c r="CC386" s="275"/>
      <c r="CD386" s="275"/>
      <c r="CE386" s="275"/>
      <c r="CF386" s="275"/>
      <c r="CG386" s="438"/>
      <c r="CH386" s="436"/>
      <c r="CI386" s="275"/>
      <c r="CJ386" s="275"/>
      <c r="CK386" s="275"/>
      <c r="CL386" s="275"/>
      <c r="CM386" s="275"/>
      <c r="CN386" s="275"/>
      <c r="CO386" s="442"/>
      <c r="CP386" s="443"/>
      <c r="CQ386" s="429">
        <f t="shared" si="44"/>
        <v>0</v>
      </c>
      <c r="CR386" s="430"/>
    </row>
    <row r="387" spans="1:96" ht="25.5" customHeight="1" x14ac:dyDescent="0.2">
      <c r="A387" s="410">
        <f t="shared" si="45"/>
        <v>372</v>
      </c>
      <c r="B387" s="280"/>
      <c r="C387" s="453"/>
      <c r="D387" s="411"/>
      <c r="E387" s="254"/>
      <c r="F387" s="277"/>
      <c r="G387" s="450"/>
      <c r="H387" s="451"/>
      <c r="I387" s="433" t="str">
        <f t="shared" si="39"/>
        <v/>
      </c>
      <c r="J387" s="434">
        <f t="shared" si="40"/>
        <v>0</v>
      </c>
      <c r="K387" s="452"/>
      <c r="L387" s="276"/>
      <c r="M387" s="435"/>
      <c r="N387" s="417" t="str">
        <f t="shared" si="41"/>
        <v/>
      </c>
      <c r="O387" s="418" t="str">
        <f>IF('Data Set up'!$G$40="JUNE",IF(OR($N387=7,$N387=8,$N387=9),1,IF(OR($N387=10,$N387=11,$N387=12),2,IF(OR($N387=1,$N387=2,$N387=3),3,IF(OR($N387=4,$N387=5,$N387=6),4,"")))),IF(OR($N387=9,$N387=10,$N387=11),1,IF(OR($N387=12,$N387=1,$N387=2),2,IF(OR($N387=3,$N387=4,$N387=5),3,IF(OR($N387=6,$N387=7,$N387=8),4,"")))))</f>
        <v/>
      </c>
      <c r="P387" s="445"/>
      <c r="Q387" s="291"/>
      <c r="R387" s="291"/>
      <c r="S387" s="275"/>
      <c r="T387" s="275"/>
      <c r="U387" s="275"/>
      <c r="V387" s="275"/>
      <c r="W387" s="275"/>
      <c r="X387" s="275"/>
      <c r="Y387" s="275"/>
      <c r="Z387" s="275"/>
      <c r="AA387" s="275"/>
      <c r="AB387" s="275"/>
      <c r="AC387" s="275"/>
      <c r="AD387" s="275"/>
      <c r="AE387" s="275"/>
      <c r="AF387" s="275"/>
      <c r="AG387" s="275"/>
      <c r="AH387" s="438"/>
      <c r="AI387" s="439">
        <f t="shared" si="42"/>
        <v>0</v>
      </c>
      <c r="AJ387" s="263"/>
      <c r="AK387" s="263"/>
      <c r="AL387" s="263"/>
      <c r="AM387" s="263"/>
      <c r="AN387" s="263"/>
      <c r="AO387" s="263"/>
      <c r="AP387" s="263"/>
      <c r="AQ387" s="436"/>
      <c r="AR387" s="275"/>
      <c r="AS387" s="275"/>
      <c r="AT387" s="275"/>
      <c r="AU387" s="275"/>
      <c r="AV387" s="275"/>
      <c r="AW387" s="275"/>
      <c r="AX387" s="275"/>
      <c r="AY387" s="437"/>
      <c r="AZ387" s="440">
        <f t="shared" si="43"/>
        <v>0</v>
      </c>
      <c r="BA387" s="275"/>
      <c r="BB387" s="275"/>
      <c r="BC387" s="275"/>
      <c r="BD387" s="275"/>
      <c r="BE387" s="275"/>
      <c r="BF387" s="275"/>
      <c r="BG387" s="275"/>
      <c r="BH387" s="436"/>
      <c r="BI387" s="275"/>
      <c r="BJ387" s="275"/>
      <c r="BK387" s="291"/>
      <c r="BL387" s="291"/>
      <c r="BM387" s="275"/>
      <c r="BN387" s="275"/>
      <c r="BO387" s="438"/>
      <c r="BP387" s="436"/>
      <c r="BQ387" s="275"/>
      <c r="BR387" s="275"/>
      <c r="BS387" s="275"/>
      <c r="BT387" s="275"/>
      <c r="BU387" s="275"/>
      <c r="BV387" s="275"/>
      <c r="BW387" s="275"/>
      <c r="BX387" s="438"/>
      <c r="BY387" s="436"/>
      <c r="BZ387" s="275"/>
      <c r="CA387" s="275"/>
      <c r="CB387" s="275"/>
      <c r="CC387" s="275"/>
      <c r="CD387" s="275"/>
      <c r="CE387" s="275"/>
      <c r="CF387" s="275"/>
      <c r="CG387" s="438"/>
      <c r="CH387" s="436"/>
      <c r="CI387" s="275"/>
      <c r="CJ387" s="275"/>
      <c r="CK387" s="275"/>
      <c r="CL387" s="275"/>
      <c r="CM387" s="275"/>
      <c r="CN387" s="275"/>
      <c r="CO387" s="442"/>
      <c r="CP387" s="443"/>
      <c r="CQ387" s="429">
        <f t="shared" si="44"/>
        <v>0</v>
      </c>
      <c r="CR387" s="430"/>
    </row>
    <row r="388" spans="1:96" ht="25.5" customHeight="1" x14ac:dyDescent="0.2">
      <c r="A388" s="410">
        <f t="shared" si="45"/>
        <v>373</v>
      </c>
      <c r="B388" s="280"/>
      <c r="C388" s="453"/>
      <c r="D388" s="411"/>
      <c r="E388" s="254"/>
      <c r="F388" s="277"/>
      <c r="G388" s="450"/>
      <c r="H388" s="451"/>
      <c r="I388" s="433" t="str">
        <f t="shared" si="39"/>
        <v/>
      </c>
      <c r="J388" s="434">
        <f t="shared" si="40"/>
        <v>0</v>
      </c>
      <c r="K388" s="452"/>
      <c r="L388" s="276"/>
      <c r="M388" s="435"/>
      <c r="N388" s="417" t="str">
        <f t="shared" si="41"/>
        <v/>
      </c>
      <c r="O388" s="418" t="str">
        <f>IF('Data Set up'!$G$40="JUNE",IF(OR($N388=7,$N388=8,$N388=9),1,IF(OR($N388=10,$N388=11,$N388=12),2,IF(OR($N388=1,$N388=2,$N388=3),3,IF(OR($N388=4,$N388=5,$N388=6),4,"")))),IF(OR($N388=9,$N388=10,$N388=11),1,IF(OR($N388=12,$N388=1,$N388=2),2,IF(OR($N388=3,$N388=4,$N388=5),3,IF(OR($N388=6,$N388=7,$N388=8),4,"")))))</f>
        <v/>
      </c>
      <c r="P388" s="445"/>
      <c r="Q388" s="291"/>
      <c r="R388" s="291"/>
      <c r="S388" s="275"/>
      <c r="T388" s="275"/>
      <c r="U388" s="275"/>
      <c r="V388" s="275"/>
      <c r="W388" s="275"/>
      <c r="X388" s="275"/>
      <c r="Y388" s="275"/>
      <c r="Z388" s="275"/>
      <c r="AA388" s="275"/>
      <c r="AB388" s="275"/>
      <c r="AC388" s="275"/>
      <c r="AD388" s="275"/>
      <c r="AE388" s="275"/>
      <c r="AF388" s="275"/>
      <c r="AG388" s="275"/>
      <c r="AH388" s="438"/>
      <c r="AI388" s="439">
        <f t="shared" si="42"/>
        <v>0</v>
      </c>
      <c r="AJ388" s="263"/>
      <c r="AK388" s="263"/>
      <c r="AL388" s="263"/>
      <c r="AM388" s="263"/>
      <c r="AN388" s="263"/>
      <c r="AO388" s="263"/>
      <c r="AP388" s="263"/>
      <c r="AQ388" s="436"/>
      <c r="AR388" s="275"/>
      <c r="AS388" s="275"/>
      <c r="AT388" s="275"/>
      <c r="AU388" s="275"/>
      <c r="AV388" s="275"/>
      <c r="AW388" s="275"/>
      <c r="AX388" s="275"/>
      <c r="AY388" s="437"/>
      <c r="AZ388" s="440">
        <f t="shared" si="43"/>
        <v>0</v>
      </c>
      <c r="BA388" s="275"/>
      <c r="BB388" s="275"/>
      <c r="BC388" s="275"/>
      <c r="BD388" s="275"/>
      <c r="BE388" s="275"/>
      <c r="BF388" s="275"/>
      <c r="BG388" s="275"/>
      <c r="BH388" s="436"/>
      <c r="BI388" s="275"/>
      <c r="BJ388" s="275"/>
      <c r="BK388" s="291"/>
      <c r="BL388" s="291"/>
      <c r="BM388" s="275"/>
      <c r="BN388" s="275"/>
      <c r="BO388" s="438"/>
      <c r="BP388" s="436"/>
      <c r="BQ388" s="275"/>
      <c r="BR388" s="275"/>
      <c r="BS388" s="275"/>
      <c r="BT388" s="275"/>
      <c r="BU388" s="275"/>
      <c r="BV388" s="275"/>
      <c r="BW388" s="275"/>
      <c r="BX388" s="438"/>
      <c r="BY388" s="436"/>
      <c r="BZ388" s="275"/>
      <c r="CA388" s="275"/>
      <c r="CB388" s="275"/>
      <c r="CC388" s="275"/>
      <c r="CD388" s="275"/>
      <c r="CE388" s="275"/>
      <c r="CF388" s="275"/>
      <c r="CG388" s="438"/>
      <c r="CH388" s="436"/>
      <c r="CI388" s="275"/>
      <c r="CJ388" s="275"/>
      <c r="CK388" s="275"/>
      <c r="CL388" s="275"/>
      <c r="CM388" s="275"/>
      <c r="CN388" s="275"/>
      <c r="CO388" s="442"/>
      <c r="CP388" s="443"/>
      <c r="CQ388" s="429">
        <f t="shared" si="44"/>
        <v>0</v>
      </c>
      <c r="CR388" s="430"/>
    </row>
    <row r="389" spans="1:96" ht="25.5" customHeight="1" x14ac:dyDescent="0.2">
      <c r="A389" s="410">
        <f t="shared" si="45"/>
        <v>374</v>
      </c>
      <c r="B389" s="280"/>
      <c r="C389" s="453"/>
      <c r="D389" s="411"/>
      <c r="E389" s="254"/>
      <c r="F389" s="277"/>
      <c r="G389" s="450"/>
      <c r="H389" s="451"/>
      <c r="I389" s="433" t="str">
        <f t="shared" si="39"/>
        <v/>
      </c>
      <c r="J389" s="434">
        <f t="shared" si="40"/>
        <v>0</v>
      </c>
      <c r="K389" s="452"/>
      <c r="L389" s="276"/>
      <c r="M389" s="435"/>
      <c r="N389" s="417" t="str">
        <f t="shared" si="41"/>
        <v/>
      </c>
      <c r="O389" s="418" t="str">
        <f>IF('Data Set up'!$G$40="JUNE",IF(OR($N389=7,$N389=8,$N389=9),1,IF(OR($N389=10,$N389=11,$N389=12),2,IF(OR($N389=1,$N389=2,$N389=3),3,IF(OR($N389=4,$N389=5,$N389=6),4,"")))),IF(OR($N389=9,$N389=10,$N389=11),1,IF(OR($N389=12,$N389=1,$N389=2),2,IF(OR($N389=3,$N389=4,$N389=5),3,IF(OR($N389=6,$N389=7,$N389=8),4,"")))))</f>
        <v/>
      </c>
      <c r="P389" s="445"/>
      <c r="Q389" s="291"/>
      <c r="R389" s="291"/>
      <c r="S389" s="275"/>
      <c r="T389" s="275"/>
      <c r="U389" s="275"/>
      <c r="V389" s="275"/>
      <c r="W389" s="275"/>
      <c r="X389" s="275"/>
      <c r="Y389" s="275"/>
      <c r="Z389" s="275"/>
      <c r="AA389" s="275"/>
      <c r="AB389" s="275"/>
      <c r="AC389" s="275"/>
      <c r="AD389" s="275"/>
      <c r="AE389" s="275"/>
      <c r="AF389" s="275"/>
      <c r="AG389" s="275"/>
      <c r="AH389" s="438"/>
      <c r="AI389" s="439">
        <f t="shared" si="42"/>
        <v>0</v>
      </c>
      <c r="AJ389" s="263"/>
      <c r="AK389" s="263"/>
      <c r="AL389" s="263"/>
      <c r="AM389" s="263"/>
      <c r="AN389" s="263"/>
      <c r="AO389" s="263"/>
      <c r="AP389" s="263"/>
      <c r="AQ389" s="436"/>
      <c r="AR389" s="275"/>
      <c r="AS389" s="275"/>
      <c r="AT389" s="275"/>
      <c r="AU389" s="275"/>
      <c r="AV389" s="275"/>
      <c r="AW389" s="275"/>
      <c r="AX389" s="275"/>
      <c r="AY389" s="437"/>
      <c r="AZ389" s="440">
        <f t="shared" si="43"/>
        <v>0</v>
      </c>
      <c r="BA389" s="275"/>
      <c r="BB389" s="275"/>
      <c r="BC389" s="275"/>
      <c r="BD389" s="275"/>
      <c r="BE389" s="275"/>
      <c r="BF389" s="275"/>
      <c r="BG389" s="275"/>
      <c r="BH389" s="436"/>
      <c r="BI389" s="275"/>
      <c r="BJ389" s="275"/>
      <c r="BK389" s="291"/>
      <c r="BL389" s="291"/>
      <c r="BM389" s="275"/>
      <c r="BN389" s="275"/>
      <c r="BO389" s="438"/>
      <c r="BP389" s="436"/>
      <c r="BQ389" s="275"/>
      <c r="BR389" s="275"/>
      <c r="BS389" s="275"/>
      <c r="BT389" s="275"/>
      <c r="BU389" s="275"/>
      <c r="BV389" s="275"/>
      <c r="BW389" s="275"/>
      <c r="BX389" s="438"/>
      <c r="BY389" s="436"/>
      <c r="BZ389" s="275"/>
      <c r="CA389" s="275"/>
      <c r="CB389" s="275"/>
      <c r="CC389" s="275"/>
      <c r="CD389" s="275"/>
      <c r="CE389" s="275"/>
      <c r="CF389" s="275"/>
      <c r="CG389" s="438"/>
      <c r="CH389" s="436"/>
      <c r="CI389" s="275"/>
      <c r="CJ389" s="275"/>
      <c r="CK389" s="275"/>
      <c r="CL389" s="275"/>
      <c r="CM389" s="275"/>
      <c r="CN389" s="275"/>
      <c r="CO389" s="442"/>
      <c r="CP389" s="443"/>
      <c r="CQ389" s="429">
        <f t="shared" si="44"/>
        <v>0</v>
      </c>
      <c r="CR389" s="430"/>
    </row>
    <row r="390" spans="1:96" ht="25.5" customHeight="1" x14ac:dyDescent="0.2">
      <c r="A390" s="410">
        <f t="shared" si="45"/>
        <v>375</v>
      </c>
      <c r="B390" s="280"/>
      <c r="C390" s="453"/>
      <c r="D390" s="411"/>
      <c r="E390" s="254"/>
      <c r="F390" s="277"/>
      <c r="G390" s="450"/>
      <c r="H390" s="451"/>
      <c r="I390" s="433" t="str">
        <f t="shared" si="39"/>
        <v/>
      </c>
      <c r="J390" s="434">
        <f t="shared" si="40"/>
        <v>0</v>
      </c>
      <c r="K390" s="452"/>
      <c r="L390" s="276"/>
      <c r="M390" s="435"/>
      <c r="N390" s="417" t="str">
        <f t="shared" si="41"/>
        <v/>
      </c>
      <c r="O390" s="418" t="str">
        <f>IF('Data Set up'!$G$40="JUNE",IF(OR($N390=7,$N390=8,$N390=9),1,IF(OR($N390=10,$N390=11,$N390=12),2,IF(OR($N390=1,$N390=2,$N390=3),3,IF(OR($N390=4,$N390=5,$N390=6),4,"")))),IF(OR($N390=9,$N390=10,$N390=11),1,IF(OR($N390=12,$N390=1,$N390=2),2,IF(OR($N390=3,$N390=4,$N390=5),3,IF(OR($N390=6,$N390=7,$N390=8),4,"")))))</f>
        <v/>
      </c>
      <c r="P390" s="445"/>
      <c r="Q390" s="291"/>
      <c r="R390" s="291"/>
      <c r="S390" s="275"/>
      <c r="T390" s="275"/>
      <c r="U390" s="275"/>
      <c r="V390" s="275"/>
      <c r="W390" s="275"/>
      <c r="X390" s="275"/>
      <c r="Y390" s="275"/>
      <c r="Z390" s="275"/>
      <c r="AA390" s="275"/>
      <c r="AB390" s="275"/>
      <c r="AC390" s="275"/>
      <c r="AD390" s="275"/>
      <c r="AE390" s="275"/>
      <c r="AF390" s="275"/>
      <c r="AG390" s="275"/>
      <c r="AH390" s="438"/>
      <c r="AI390" s="439">
        <f t="shared" si="42"/>
        <v>0</v>
      </c>
      <c r="AJ390" s="263"/>
      <c r="AK390" s="263"/>
      <c r="AL390" s="263"/>
      <c r="AM390" s="263"/>
      <c r="AN390" s="263"/>
      <c r="AO390" s="263"/>
      <c r="AP390" s="263"/>
      <c r="AQ390" s="436"/>
      <c r="AR390" s="275"/>
      <c r="AS390" s="275"/>
      <c r="AT390" s="275"/>
      <c r="AU390" s="275"/>
      <c r="AV390" s="275"/>
      <c r="AW390" s="275"/>
      <c r="AX390" s="275"/>
      <c r="AY390" s="437"/>
      <c r="AZ390" s="440">
        <f t="shared" si="43"/>
        <v>0</v>
      </c>
      <c r="BA390" s="275"/>
      <c r="BB390" s="275"/>
      <c r="BC390" s="275"/>
      <c r="BD390" s="275"/>
      <c r="BE390" s="275"/>
      <c r="BF390" s="275"/>
      <c r="BG390" s="275"/>
      <c r="BH390" s="436"/>
      <c r="BI390" s="275"/>
      <c r="BJ390" s="275"/>
      <c r="BK390" s="291"/>
      <c r="BL390" s="291"/>
      <c r="BM390" s="275"/>
      <c r="BN390" s="275"/>
      <c r="BO390" s="438"/>
      <c r="BP390" s="436"/>
      <c r="BQ390" s="275"/>
      <c r="BR390" s="275"/>
      <c r="BS390" s="275"/>
      <c r="BT390" s="275"/>
      <c r="BU390" s="275"/>
      <c r="BV390" s="275"/>
      <c r="BW390" s="275"/>
      <c r="BX390" s="438"/>
      <c r="BY390" s="436"/>
      <c r="BZ390" s="275"/>
      <c r="CA390" s="275"/>
      <c r="CB390" s="275"/>
      <c r="CC390" s="275"/>
      <c r="CD390" s="275"/>
      <c r="CE390" s="275"/>
      <c r="CF390" s="275"/>
      <c r="CG390" s="438"/>
      <c r="CH390" s="436"/>
      <c r="CI390" s="275"/>
      <c r="CJ390" s="275"/>
      <c r="CK390" s="275"/>
      <c r="CL390" s="275"/>
      <c r="CM390" s="275"/>
      <c r="CN390" s="275"/>
      <c r="CO390" s="442"/>
      <c r="CP390" s="443"/>
      <c r="CQ390" s="429">
        <f t="shared" si="44"/>
        <v>0</v>
      </c>
      <c r="CR390" s="430"/>
    </row>
    <row r="391" spans="1:96" ht="25.5" customHeight="1" x14ac:dyDescent="0.2">
      <c r="A391" s="410">
        <f t="shared" si="45"/>
        <v>376</v>
      </c>
      <c r="B391" s="280"/>
      <c r="C391" s="453"/>
      <c r="D391" s="411"/>
      <c r="E391" s="254"/>
      <c r="F391" s="277"/>
      <c r="G391" s="450"/>
      <c r="H391" s="451"/>
      <c r="I391" s="433" t="str">
        <f t="shared" si="39"/>
        <v/>
      </c>
      <c r="J391" s="434">
        <f t="shared" si="40"/>
        <v>0</v>
      </c>
      <c r="K391" s="452"/>
      <c r="L391" s="276"/>
      <c r="M391" s="435"/>
      <c r="N391" s="417" t="str">
        <f t="shared" si="41"/>
        <v/>
      </c>
      <c r="O391" s="418" t="str">
        <f>IF('Data Set up'!$G$40="JUNE",IF(OR($N391=7,$N391=8,$N391=9),1,IF(OR($N391=10,$N391=11,$N391=12),2,IF(OR($N391=1,$N391=2,$N391=3),3,IF(OR($N391=4,$N391=5,$N391=6),4,"")))),IF(OR($N391=9,$N391=10,$N391=11),1,IF(OR($N391=12,$N391=1,$N391=2),2,IF(OR($N391=3,$N391=4,$N391=5),3,IF(OR($N391=6,$N391=7,$N391=8),4,"")))))</f>
        <v/>
      </c>
      <c r="P391" s="445"/>
      <c r="Q391" s="291"/>
      <c r="R391" s="291"/>
      <c r="S391" s="275"/>
      <c r="T391" s="275"/>
      <c r="U391" s="275"/>
      <c r="V391" s="275"/>
      <c r="W391" s="275"/>
      <c r="X391" s="275"/>
      <c r="Y391" s="275"/>
      <c r="Z391" s="275"/>
      <c r="AA391" s="275"/>
      <c r="AB391" s="275"/>
      <c r="AC391" s="275"/>
      <c r="AD391" s="275"/>
      <c r="AE391" s="275"/>
      <c r="AF391" s="275"/>
      <c r="AG391" s="275"/>
      <c r="AH391" s="438"/>
      <c r="AI391" s="439">
        <f t="shared" si="42"/>
        <v>0</v>
      </c>
      <c r="AJ391" s="263"/>
      <c r="AK391" s="263"/>
      <c r="AL391" s="263"/>
      <c r="AM391" s="263"/>
      <c r="AN391" s="263"/>
      <c r="AO391" s="263"/>
      <c r="AP391" s="263"/>
      <c r="AQ391" s="436"/>
      <c r="AR391" s="275"/>
      <c r="AS391" s="275"/>
      <c r="AT391" s="275"/>
      <c r="AU391" s="275"/>
      <c r="AV391" s="275"/>
      <c r="AW391" s="275"/>
      <c r="AX391" s="275"/>
      <c r="AY391" s="437"/>
      <c r="AZ391" s="440">
        <f t="shared" si="43"/>
        <v>0</v>
      </c>
      <c r="BA391" s="275"/>
      <c r="BB391" s="275"/>
      <c r="BC391" s="275"/>
      <c r="BD391" s="275"/>
      <c r="BE391" s="275"/>
      <c r="BF391" s="275"/>
      <c r="BG391" s="275"/>
      <c r="BH391" s="436"/>
      <c r="BI391" s="275"/>
      <c r="BJ391" s="275"/>
      <c r="BK391" s="291"/>
      <c r="BL391" s="291"/>
      <c r="BM391" s="275"/>
      <c r="BN391" s="275"/>
      <c r="BO391" s="438"/>
      <c r="BP391" s="436"/>
      <c r="BQ391" s="275"/>
      <c r="BR391" s="275"/>
      <c r="BS391" s="275"/>
      <c r="BT391" s="275"/>
      <c r="BU391" s="275"/>
      <c r="BV391" s="275"/>
      <c r="BW391" s="275"/>
      <c r="BX391" s="438"/>
      <c r="BY391" s="436"/>
      <c r="BZ391" s="275"/>
      <c r="CA391" s="275"/>
      <c r="CB391" s="275"/>
      <c r="CC391" s="275"/>
      <c r="CD391" s="275"/>
      <c r="CE391" s="275"/>
      <c r="CF391" s="275"/>
      <c r="CG391" s="438"/>
      <c r="CH391" s="436"/>
      <c r="CI391" s="275"/>
      <c r="CJ391" s="275"/>
      <c r="CK391" s="275"/>
      <c r="CL391" s="275"/>
      <c r="CM391" s="275"/>
      <c r="CN391" s="275"/>
      <c r="CO391" s="442"/>
      <c r="CP391" s="443"/>
      <c r="CQ391" s="429">
        <f t="shared" si="44"/>
        <v>0</v>
      </c>
      <c r="CR391" s="430"/>
    </row>
    <row r="392" spans="1:96" ht="25.5" customHeight="1" x14ac:dyDescent="0.2">
      <c r="A392" s="410">
        <f t="shared" si="45"/>
        <v>377</v>
      </c>
      <c r="B392" s="280"/>
      <c r="C392" s="453"/>
      <c r="D392" s="411"/>
      <c r="E392" s="254"/>
      <c r="F392" s="277"/>
      <c r="G392" s="450"/>
      <c r="H392" s="451"/>
      <c r="I392" s="433" t="str">
        <f t="shared" si="39"/>
        <v/>
      </c>
      <c r="J392" s="434">
        <f t="shared" si="40"/>
        <v>0</v>
      </c>
      <c r="K392" s="452"/>
      <c r="L392" s="276"/>
      <c r="M392" s="435"/>
      <c r="N392" s="417" t="str">
        <f t="shared" si="41"/>
        <v/>
      </c>
      <c r="O392" s="418" t="str">
        <f>IF('Data Set up'!$G$40="JUNE",IF(OR($N392=7,$N392=8,$N392=9),1,IF(OR($N392=10,$N392=11,$N392=12),2,IF(OR($N392=1,$N392=2,$N392=3),3,IF(OR($N392=4,$N392=5,$N392=6),4,"")))),IF(OR($N392=9,$N392=10,$N392=11),1,IF(OR($N392=12,$N392=1,$N392=2),2,IF(OR($N392=3,$N392=4,$N392=5),3,IF(OR($N392=6,$N392=7,$N392=8),4,"")))))</f>
        <v/>
      </c>
      <c r="P392" s="445"/>
      <c r="Q392" s="291"/>
      <c r="R392" s="291"/>
      <c r="S392" s="275"/>
      <c r="T392" s="275"/>
      <c r="U392" s="275"/>
      <c r="V392" s="275"/>
      <c r="W392" s="275"/>
      <c r="X392" s="275"/>
      <c r="Y392" s="275"/>
      <c r="Z392" s="275"/>
      <c r="AA392" s="275"/>
      <c r="AB392" s="275"/>
      <c r="AC392" s="275"/>
      <c r="AD392" s="275"/>
      <c r="AE392" s="275"/>
      <c r="AF392" s="275"/>
      <c r="AG392" s="275"/>
      <c r="AH392" s="438"/>
      <c r="AI392" s="439">
        <f t="shared" si="42"/>
        <v>0</v>
      </c>
      <c r="AJ392" s="263"/>
      <c r="AK392" s="263"/>
      <c r="AL392" s="263"/>
      <c r="AM392" s="263"/>
      <c r="AN392" s="263"/>
      <c r="AO392" s="263"/>
      <c r="AP392" s="263"/>
      <c r="AQ392" s="436"/>
      <c r="AR392" s="275"/>
      <c r="AS392" s="275"/>
      <c r="AT392" s="275"/>
      <c r="AU392" s="275"/>
      <c r="AV392" s="275"/>
      <c r="AW392" s="275"/>
      <c r="AX392" s="275"/>
      <c r="AY392" s="437"/>
      <c r="AZ392" s="440">
        <f t="shared" si="43"/>
        <v>0</v>
      </c>
      <c r="BA392" s="275"/>
      <c r="BB392" s="275"/>
      <c r="BC392" s="275"/>
      <c r="BD392" s="275"/>
      <c r="BE392" s="275"/>
      <c r="BF392" s="275"/>
      <c r="BG392" s="275"/>
      <c r="BH392" s="436"/>
      <c r="BI392" s="275"/>
      <c r="BJ392" s="275"/>
      <c r="BK392" s="291"/>
      <c r="BL392" s="291"/>
      <c r="BM392" s="275"/>
      <c r="BN392" s="275"/>
      <c r="BO392" s="438"/>
      <c r="BP392" s="436"/>
      <c r="BQ392" s="275"/>
      <c r="BR392" s="275"/>
      <c r="BS392" s="275"/>
      <c r="BT392" s="275"/>
      <c r="BU392" s="275"/>
      <c r="BV392" s="275"/>
      <c r="BW392" s="275"/>
      <c r="BX392" s="438"/>
      <c r="BY392" s="436"/>
      <c r="BZ392" s="275"/>
      <c r="CA392" s="275"/>
      <c r="CB392" s="275"/>
      <c r="CC392" s="275"/>
      <c r="CD392" s="275"/>
      <c r="CE392" s="275"/>
      <c r="CF392" s="275"/>
      <c r="CG392" s="438"/>
      <c r="CH392" s="436"/>
      <c r="CI392" s="275"/>
      <c r="CJ392" s="275"/>
      <c r="CK392" s="275"/>
      <c r="CL392" s="275"/>
      <c r="CM392" s="275"/>
      <c r="CN392" s="275"/>
      <c r="CO392" s="442"/>
      <c r="CP392" s="443"/>
      <c r="CQ392" s="429">
        <f t="shared" si="44"/>
        <v>0</v>
      </c>
      <c r="CR392" s="430"/>
    </row>
    <row r="393" spans="1:96" ht="25.5" customHeight="1" x14ac:dyDescent="0.2">
      <c r="A393" s="410">
        <f t="shared" si="45"/>
        <v>378</v>
      </c>
      <c r="B393" s="280"/>
      <c r="C393" s="453"/>
      <c r="D393" s="411"/>
      <c r="E393" s="254"/>
      <c r="F393" s="277"/>
      <c r="G393" s="450"/>
      <c r="H393" s="451"/>
      <c r="I393" s="433" t="str">
        <f t="shared" si="39"/>
        <v/>
      </c>
      <c r="J393" s="434">
        <f t="shared" si="40"/>
        <v>0</v>
      </c>
      <c r="K393" s="452"/>
      <c r="L393" s="276"/>
      <c r="M393" s="435"/>
      <c r="N393" s="417" t="str">
        <f t="shared" si="41"/>
        <v/>
      </c>
      <c r="O393" s="418" t="str">
        <f>IF('Data Set up'!$G$40="JUNE",IF(OR($N393=7,$N393=8,$N393=9),1,IF(OR($N393=10,$N393=11,$N393=12),2,IF(OR($N393=1,$N393=2,$N393=3),3,IF(OR($N393=4,$N393=5,$N393=6),4,"")))),IF(OR($N393=9,$N393=10,$N393=11),1,IF(OR($N393=12,$N393=1,$N393=2),2,IF(OR($N393=3,$N393=4,$N393=5),3,IF(OR($N393=6,$N393=7,$N393=8),4,"")))))</f>
        <v/>
      </c>
      <c r="P393" s="445"/>
      <c r="Q393" s="291"/>
      <c r="R393" s="291"/>
      <c r="S393" s="275"/>
      <c r="T393" s="275"/>
      <c r="U393" s="275"/>
      <c r="V393" s="275"/>
      <c r="W393" s="275"/>
      <c r="X393" s="275"/>
      <c r="Y393" s="275"/>
      <c r="Z393" s="275"/>
      <c r="AA393" s="275"/>
      <c r="AB393" s="275"/>
      <c r="AC393" s="275"/>
      <c r="AD393" s="275"/>
      <c r="AE393" s="275"/>
      <c r="AF393" s="275"/>
      <c r="AG393" s="275"/>
      <c r="AH393" s="438"/>
      <c r="AI393" s="439">
        <f t="shared" si="42"/>
        <v>0</v>
      </c>
      <c r="AJ393" s="263"/>
      <c r="AK393" s="263"/>
      <c r="AL393" s="263"/>
      <c r="AM393" s="263"/>
      <c r="AN393" s="263"/>
      <c r="AO393" s="263"/>
      <c r="AP393" s="263"/>
      <c r="AQ393" s="436"/>
      <c r="AR393" s="275"/>
      <c r="AS393" s="275"/>
      <c r="AT393" s="275"/>
      <c r="AU393" s="275"/>
      <c r="AV393" s="275"/>
      <c r="AW393" s="275"/>
      <c r="AX393" s="275"/>
      <c r="AY393" s="437"/>
      <c r="AZ393" s="440">
        <f t="shared" si="43"/>
        <v>0</v>
      </c>
      <c r="BA393" s="275"/>
      <c r="BB393" s="275"/>
      <c r="BC393" s="275"/>
      <c r="BD393" s="275"/>
      <c r="BE393" s="275"/>
      <c r="BF393" s="275"/>
      <c r="BG393" s="275"/>
      <c r="BH393" s="436"/>
      <c r="BI393" s="275"/>
      <c r="BJ393" s="275"/>
      <c r="BK393" s="291"/>
      <c r="BL393" s="291"/>
      <c r="BM393" s="275"/>
      <c r="BN393" s="275"/>
      <c r="BO393" s="438"/>
      <c r="BP393" s="436"/>
      <c r="BQ393" s="275"/>
      <c r="BR393" s="275"/>
      <c r="BS393" s="275"/>
      <c r="BT393" s="275"/>
      <c r="BU393" s="275"/>
      <c r="BV393" s="275"/>
      <c r="BW393" s="275"/>
      <c r="BX393" s="438"/>
      <c r="BY393" s="436"/>
      <c r="BZ393" s="275"/>
      <c r="CA393" s="275"/>
      <c r="CB393" s="275"/>
      <c r="CC393" s="275"/>
      <c r="CD393" s="275"/>
      <c r="CE393" s="275"/>
      <c r="CF393" s="275"/>
      <c r="CG393" s="438"/>
      <c r="CH393" s="436"/>
      <c r="CI393" s="275"/>
      <c r="CJ393" s="275"/>
      <c r="CK393" s="275"/>
      <c r="CL393" s="275"/>
      <c r="CM393" s="275"/>
      <c r="CN393" s="275"/>
      <c r="CO393" s="442"/>
      <c r="CP393" s="443"/>
      <c r="CQ393" s="429">
        <f t="shared" si="44"/>
        <v>0</v>
      </c>
      <c r="CR393" s="430"/>
    </row>
    <row r="394" spans="1:96" ht="25.5" customHeight="1" x14ac:dyDescent="0.2">
      <c r="A394" s="410">
        <f t="shared" si="45"/>
        <v>379</v>
      </c>
      <c r="B394" s="280"/>
      <c r="C394" s="453"/>
      <c r="D394" s="411"/>
      <c r="E394" s="254"/>
      <c r="F394" s="277"/>
      <c r="G394" s="450"/>
      <c r="H394" s="451"/>
      <c r="I394" s="433" t="str">
        <f t="shared" si="39"/>
        <v/>
      </c>
      <c r="J394" s="434">
        <f t="shared" si="40"/>
        <v>0</v>
      </c>
      <c r="K394" s="452"/>
      <c r="L394" s="276"/>
      <c r="M394" s="435"/>
      <c r="N394" s="417" t="str">
        <f t="shared" si="41"/>
        <v/>
      </c>
      <c r="O394" s="418" t="str">
        <f>IF('Data Set up'!$G$40="JUNE",IF(OR($N394=7,$N394=8,$N394=9),1,IF(OR($N394=10,$N394=11,$N394=12),2,IF(OR($N394=1,$N394=2,$N394=3),3,IF(OR($N394=4,$N394=5,$N394=6),4,"")))),IF(OR($N394=9,$N394=10,$N394=11),1,IF(OR($N394=12,$N394=1,$N394=2),2,IF(OR($N394=3,$N394=4,$N394=5),3,IF(OR($N394=6,$N394=7,$N394=8),4,"")))))</f>
        <v/>
      </c>
      <c r="P394" s="445"/>
      <c r="Q394" s="291"/>
      <c r="R394" s="291"/>
      <c r="S394" s="275"/>
      <c r="T394" s="275"/>
      <c r="U394" s="275"/>
      <c r="V394" s="275"/>
      <c r="W394" s="275"/>
      <c r="X394" s="275"/>
      <c r="Y394" s="275"/>
      <c r="Z394" s="275"/>
      <c r="AA394" s="275"/>
      <c r="AB394" s="275"/>
      <c r="AC394" s="275"/>
      <c r="AD394" s="275"/>
      <c r="AE394" s="275"/>
      <c r="AF394" s="275"/>
      <c r="AG394" s="275"/>
      <c r="AH394" s="438"/>
      <c r="AI394" s="439">
        <f t="shared" si="42"/>
        <v>0</v>
      </c>
      <c r="AJ394" s="263"/>
      <c r="AK394" s="263"/>
      <c r="AL394" s="263"/>
      <c r="AM394" s="263"/>
      <c r="AN394" s="263"/>
      <c r="AO394" s="263"/>
      <c r="AP394" s="263"/>
      <c r="AQ394" s="436"/>
      <c r="AR394" s="275"/>
      <c r="AS394" s="275"/>
      <c r="AT394" s="275"/>
      <c r="AU394" s="275"/>
      <c r="AV394" s="275"/>
      <c r="AW394" s="275"/>
      <c r="AX394" s="275"/>
      <c r="AY394" s="437"/>
      <c r="AZ394" s="440">
        <f t="shared" si="43"/>
        <v>0</v>
      </c>
      <c r="BA394" s="275"/>
      <c r="BB394" s="275"/>
      <c r="BC394" s="275"/>
      <c r="BD394" s="275"/>
      <c r="BE394" s="275"/>
      <c r="BF394" s="275"/>
      <c r="BG394" s="275"/>
      <c r="BH394" s="436"/>
      <c r="BI394" s="275"/>
      <c r="BJ394" s="275"/>
      <c r="BK394" s="291"/>
      <c r="BL394" s="291"/>
      <c r="BM394" s="275"/>
      <c r="BN394" s="275"/>
      <c r="BO394" s="438"/>
      <c r="BP394" s="436"/>
      <c r="BQ394" s="275"/>
      <c r="BR394" s="275"/>
      <c r="BS394" s="275"/>
      <c r="BT394" s="275"/>
      <c r="BU394" s="275"/>
      <c r="BV394" s="275"/>
      <c r="BW394" s="275"/>
      <c r="BX394" s="438"/>
      <c r="BY394" s="436"/>
      <c r="BZ394" s="275"/>
      <c r="CA394" s="275"/>
      <c r="CB394" s="275"/>
      <c r="CC394" s="275"/>
      <c r="CD394" s="275"/>
      <c r="CE394" s="275"/>
      <c r="CF394" s="275"/>
      <c r="CG394" s="438"/>
      <c r="CH394" s="436"/>
      <c r="CI394" s="275"/>
      <c r="CJ394" s="275"/>
      <c r="CK394" s="275"/>
      <c r="CL394" s="275"/>
      <c r="CM394" s="275"/>
      <c r="CN394" s="275"/>
      <c r="CO394" s="442"/>
      <c r="CP394" s="443"/>
      <c r="CQ394" s="429">
        <f t="shared" si="44"/>
        <v>0</v>
      </c>
      <c r="CR394" s="430"/>
    </row>
    <row r="395" spans="1:96" ht="25.5" customHeight="1" x14ac:dyDescent="0.2">
      <c r="A395" s="410">
        <f t="shared" si="45"/>
        <v>380</v>
      </c>
      <c r="B395" s="280"/>
      <c r="C395" s="453"/>
      <c r="D395" s="411"/>
      <c r="E395" s="254"/>
      <c r="F395" s="277"/>
      <c r="G395" s="450"/>
      <c r="H395" s="451"/>
      <c r="I395" s="433" t="str">
        <f t="shared" si="39"/>
        <v/>
      </c>
      <c r="J395" s="434">
        <f t="shared" si="40"/>
        <v>0</v>
      </c>
      <c r="K395" s="452"/>
      <c r="L395" s="276"/>
      <c r="M395" s="435"/>
      <c r="N395" s="417" t="str">
        <f t="shared" si="41"/>
        <v/>
      </c>
      <c r="O395" s="418" t="str">
        <f>IF('Data Set up'!$G$40="JUNE",IF(OR($N395=7,$N395=8,$N395=9),1,IF(OR($N395=10,$N395=11,$N395=12),2,IF(OR($N395=1,$N395=2,$N395=3),3,IF(OR($N395=4,$N395=5,$N395=6),4,"")))),IF(OR($N395=9,$N395=10,$N395=11),1,IF(OR($N395=12,$N395=1,$N395=2),2,IF(OR($N395=3,$N395=4,$N395=5),3,IF(OR($N395=6,$N395=7,$N395=8),4,"")))))</f>
        <v/>
      </c>
      <c r="P395" s="445"/>
      <c r="Q395" s="291"/>
      <c r="R395" s="291"/>
      <c r="S395" s="275"/>
      <c r="T395" s="275"/>
      <c r="U395" s="275"/>
      <c r="V395" s="275"/>
      <c r="W395" s="275"/>
      <c r="X395" s="275"/>
      <c r="Y395" s="275"/>
      <c r="Z395" s="275"/>
      <c r="AA395" s="275"/>
      <c r="AB395" s="275"/>
      <c r="AC395" s="275"/>
      <c r="AD395" s="275"/>
      <c r="AE395" s="275"/>
      <c r="AF395" s="275"/>
      <c r="AG395" s="275"/>
      <c r="AH395" s="438"/>
      <c r="AI395" s="439">
        <f t="shared" si="42"/>
        <v>0</v>
      </c>
      <c r="AJ395" s="263"/>
      <c r="AK395" s="263"/>
      <c r="AL395" s="263"/>
      <c r="AM395" s="263"/>
      <c r="AN395" s="263"/>
      <c r="AO395" s="263"/>
      <c r="AP395" s="263"/>
      <c r="AQ395" s="436"/>
      <c r="AR395" s="275"/>
      <c r="AS395" s="275"/>
      <c r="AT395" s="275"/>
      <c r="AU395" s="275"/>
      <c r="AV395" s="275"/>
      <c r="AW395" s="275"/>
      <c r="AX395" s="275"/>
      <c r="AY395" s="437"/>
      <c r="AZ395" s="440">
        <f t="shared" si="43"/>
        <v>0</v>
      </c>
      <c r="BA395" s="275"/>
      <c r="BB395" s="275"/>
      <c r="BC395" s="275"/>
      <c r="BD395" s="275"/>
      <c r="BE395" s="275"/>
      <c r="BF395" s="275"/>
      <c r="BG395" s="275"/>
      <c r="BH395" s="436"/>
      <c r="BI395" s="275"/>
      <c r="BJ395" s="275"/>
      <c r="BK395" s="291"/>
      <c r="BL395" s="291"/>
      <c r="BM395" s="275"/>
      <c r="BN395" s="275"/>
      <c r="BO395" s="438"/>
      <c r="BP395" s="436"/>
      <c r="BQ395" s="275"/>
      <c r="BR395" s="275"/>
      <c r="BS395" s="275"/>
      <c r="BT395" s="275"/>
      <c r="BU395" s="275"/>
      <c r="BV395" s="275"/>
      <c r="BW395" s="275"/>
      <c r="BX395" s="438"/>
      <c r="BY395" s="436"/>
      <c r="BZ395" s="275"/>
      <c r="CA395" s="275"/>
      <c r="CB395" s="275"/>
      <c r="CC395" s="275"/>
      <c r="CD395" s="275"/>
      <c r="CE395" s="275"/>
      <c r="CF395" s="275"/>
      <c r="CG395" s="438"/>
      <c r="CH395" s="436"/>
      <c r="CI395" s="275"/>
      <c r="CJ395" s="275"/>
      <c r="CK395" s="275"/>
      <c r="CL395" s="275"/>
      <c r="CM395" s="275"/>
      <c r="CN395" s="275"/>
      <c r="CO395" s="442"/>
      <c r="CP395" s="443"/>
      <c r="CQ395" s="429">
        <f t="shared" si="44"/>
        <v>0</v>
      </c>
      <c r="CR395" s="430"/>
    </row>
    <row r="396" spans="1:96" ht="25.5" customHeight="1" x14ac:dyDescent="0.2">
      <c r="A396" s="410">
        <f t="shared" si="45"/>
        <v>381</v>
      </c>
      <c r="B396" s="280"/>
      <c r="C396" s="453"/>
      <c r="D396" s="411"/>
      <c r="E396" s="254"/>
      <c r="F396" s="277"/>
      <c r="G396" s="450"/>
      <c r="H396" s="451"/>
      <c r="I396" s="433" t="str">
        <f t="shared" si="39"/>
        <v/>
      </c>
      <c r="J396" s="434">
        <f t="shared" si="40"/>
        <v>0</v>
      </c>
      <c r="K396" s="452"/>
      <c r="L396" s="276"/>
      <c r="M396" s="435"/>
      <c r="N396" s="417" t="str">
        <f t="shared" si="41"/>
        <v/>
      </c>
      <c r="O396" s="418" t="str">
        <f>IF('Data Set up'!$G$40="JUNE",IF(OR($N396=7,$N396=8,$N396=9),1,IF(OR($N396=10,$N396=11,$N396=12),2,IF(OR($N396=1,$N396=2,$N396=3),3,IF(OR($N396=4,$N396=5,$N396=6),4,"")))),IF(OR($N396=9,$N396=10,$N396=11),1,IF(OR($N396=12,$N396=1,$N396=2),2,IF(OR($N396=3,$N396=4,$N396=5),3,IF(OR($N396=6,$N396=7,$N396=8),4,"")))))</f>
        <v/>
      </c>
      <c r="P396" s="445"/>
      <c r="Q396" s="291"/>
      <c r="R396" s="291"/>
      <c r="S396" s="275"/>
      <c r="T396" s="275"/>
      <c r="U396" s="275"/>
      <c r="V396" s="275"/>
      <c r="W396" s="275"/>
      <c r="X396" s="275"/>
      <c r="Y396" s="275"/>
      <c r="Z396" s="275"/>
      <c r="AA396" s="275"/>
      <c r="AB396" s="275"/>
      <c r="AC396" s="275"/>
      <c r="AD396" s="275"/>
      <c r="AE396" s="275"/>
      <c r="AF396" s="275"/>
      <c r="AG396" s="275"/>
      <c r="AH396" s="438"/>
      <c r="AI396" s="439">
        <f t="shared" si="42"/>
        <v>0</v>
      </c>
      <c r="AJ396" s="263"/>
      <c r="AK396" s="263"/>
      <c r="AL396" s="263"/>
      <c r="AM396" s="263"/>
      <c r="AN396" s="263"/>
      <c r="AO396" s="263"/>
      <c r="AP396" s="263"/>
      <c r="AQ396" s="436"/>
      <c r="AR396" s="275"/>
      <c r="AS396" s="275"/>
      <c r="AT396" s="275"/>
      <c r="AU396" s="275"/>
      <c r="AV396" s="275"/>
      <c r="AW396" s="275"/>
      <c r="AX396" s="275"/>
      <c r="AY396" s="437"/>
      <c r="AZ396" s="440">
        <f t="shared" si="43"/>
        <v>0</v>
      </c>
      <c r="BA396" s="275"/>
      <c r="BB396" s="275"/>
      <c r="BC396" s="275"/>
      <c r="BD396" s="275"/>
      <c r="BE396" s="275"/>
      <c r="BF396" s="275"/>
      <c r="BG396" s="275"/>
      <c r="BH396" s="436"/>
      <c r="BI396" s="275"/>
      <c r="BJ396" s="275"/>
      <c r="BK396" s="291"/>
      <c r="BL396" s="291"/>
      <c r="BM396" s="275"/>
      <c r="BN396" s="275"/>
      <c r="BO396" s="438"/>
      <c r="BP396" s="436"/>
      <c r="BQ396" s="275"/>
      <c r="BR396" s="275"/>
      <c r="BS396" s="275"/>
      <c r="BT396" s="275"/>
      <c r="BU396" s="275"/>
      <c r="BV396" s="275"/>
      <c r="BW396" s="275"/>
      <c r="BX396" s="438"/>
      <c r="BY396" s="436"/>
      <c r="BZ396" s="275"/>
      <c r="CA396" s="275"/>
      <c r="CB396" s="275"/>
      <c r="CC396" s="275"/>
      <c r="CD396" s="275"/>
      <c r="CE396" s="275"/>
      <c r="CF396" s="275"/>
      <c r="CG396" s="438"/>
      <c r="CH396" s="436"/>
      <c r="CI396" s="275"/>
      <c r="CJ396" s="275"/>
      <c r="CK396" s="275"/>
      <c r="CL396" s="275"/>
      <c r="CM396" s="275"/>
      <c r="CN396" s="275"/>
      <c r="CO396" s="442"/>
      <c r="CP396" s="443"/>
      <c r="CQ396" s="429">
        <f t="shared" si="44"/>
        <v>0</v>
      </c>
      <c r="CR396" s="430"/>
    </row>
    <row r="397" spans="1:96" ht="25.5" customHeight="1" x14ac:dyDescent="0.2">
      <c r="A397" s="410">
        <f t="shared" si="45"/>
        <v>382</v>
      </c>
      <c r="B397" s="280"/>
      <c r="C397" s="453"/>
      <c r="D397" s="411"/>
      <c r="E397" s="254"/>
      <c r="F397" s="277"/>
      <c r="G397" s="450"/>
      <c r="H397" s="451"/>
      <c r="I397" s="433" t="str">
        <f t="shared" si="39"/>
        <v/>
      </c>
      <c r="J397" s="434">
        <f t="shared" si="40"/>
        <v>0</v>
      </c>
      <c r="K397" s="452"/>
      <c r="L397" s="276"/>
      <c r="M397" s="435"/>
      <c r="N397" s="417" t="str">
        <f t="shared" si="41"/>
        <v/>
      </c>
      <c r="O397" s="418" t="str">
        <f>IF('Data Set up'!$G$40="JUNE",IF(OR($N397=7,$N397=8,$N397=9),1,IF(OR($N397=10,$N397=11,$N397=12),2,IF(OR($N397=1,$N397=2,$N397=3),3,IF(OR($N397=4,$N397=5,$N397=6),4,"")))),IF(OR($N397=9,$N397=10,$N397=11),1,IF(OR($N397=12,$N397=1,$N397=2),2,IF(OR($N397=3,$N397=4,$N397=5),3,IF(OR($N397=6,$N397=7,$N397=8),4,"")))))</f>
        <v/>
      </c>
      <c r="P397" s="445"/>
      <c r="Q397" s="291"/>
      <c r="R397" s="291"/>
      <c r="S397" s="275"/>
      <c r="T397" s="275"/>
      <c r="U397" s="275"/>
      <c r="V397" s="275"/>
      <c r="W397" s="275"/>
      <c r="X397" s="275"/>
      <c r="Y397" s="275"/>
      <c r="Z397" s="275"/>
      <c r="AA397" s="275"/>
      <c r="AB397" s="275"/>
      <c r="AC397" s="275"/>
      <c r="AD397" s="275"/>
      <c r="AE397" s="275"/>
      <c r="AF397" s="275"/>
      <c r="AG397" s="275"/>
      <c r="AH397" s="438"/>
      <c r="AI397" s="439">
        <f t="shared" si="42"/>
        <v>0</v>
      </c>
      <c r="AJ397" s="263"/>
      <c r="AK397" s="263"/>
      <c r="AL397" s="263"/>
      <c r="AM397" s="263"/>
      <c r="AN397" s="263"/>
      <c r="AO397" s="263"/>
      <c r="AP397" s="263"/>
      <c r="AQ397" s="436"/>
      <c r="AR397" s="275"/>
      <c r="AS397" s="275"/>
      <c r="AT397" s="275"/>
      <c r="AU397" s="275"/>
      <c r="AV397" s="275"/>
      <c r="AW397" s="275"/>
      <c r="AX397" s="275"/>
      <c r="AY397" s="437"/>
      <c r="AZ397" s="440">
        <f t="shared" si="43"/>
        <v>0</v>
      </c>
      <c r="BA397" s="275"/>
      <c r="BB397" s="275"/>
      <c r="BC397" s="275"/>
      <c r="BD397" s="275"/>
      <c r="BE397" s="275"/>
      <c r="BF397" s="275"/>
      <c r="BG397" s="275"/>
      <c r="BH397" s="436"/>
      <c r="BI397" s="275"/>
      <c r="BJ397" s="275"/>
      <c r="BK397" s="291"/>
      <c r="BL397" s="291"/>
      <c r="BM397" s="275"/>
      <c r="BN397" s="275"/>
      <c r="BO397" s="438"/>
      <c r="BP397" s="436"/>
      <c r="BQ397" s="275"/>
      <c r="BR397" s="275"/>
      <c r="BS397" s="275"/>
      <c r="BT397" s="275"/>
      <c r="BU397" s="275"/>
      <c r="BV397" s="275"/>
      <c r="BW397" s="275"/>
      <c r="BX397" s="438"/>
      <c r="BY397" s="436"/>
      <c r="BZ397" s="275"/>
      <c r="CA397" s="275"/>
      <c r="CB397" s="275"/>
      <c r="CC397" s="275"/>
      <c r="CD397" s="275"/>
      <c r="CE397" s="275"/>
      <c r="CF397" s="275"/>
      <c r="CG397" s="438"/>
      <c r="CH397" s="436"/>
      <c r="CI397" s="275"/>
      <c r="CJ397" s="275"/>
      <c r="CK397" s="275"/>
      <c r="CL397" s="275"/>
      <c r="CM397" s="275"/>
      <c r="CN397" s="275"/>
      <c r="CO397" s="442"/>
      <c r="CP397" s="443"/>
      <c r="CQ397" s="429">
        <f t="shared" si="44"/>
        <v>0</v>
      </c>
      <c r="CR397" s="430"/>
    </row>
    <row r="398" spans="1:96" ht="25.5" customHeight="1" x14ac:dyDescent="0.2">
      <c r="A398" s="410">
        <f t="shared" si="45"/>
        <v>383</v>
      </c>
      <c r="B398" s="280"/>
      <c r="C398" s="453"/>
      <c r="D398" s="411"/>
      <c r="E398" s="254"/>
      <c r="F398" s="277"/>
      <c r="G398" s="450"/>
      <c r="H398" s="451"/>
      <c r="I398" s="433" t="str">
        <f t="shared" si="39"/>
        <v/>
      </c>
      <c r="J398" s="434">
        <f t="shared" si="40"/>
        <v>0</v>
      </c>
      <c r="K398" s="452"/>
      <c r="L398" s="276"/>
      <c r="M398" s="435"/>
      <c r="N398" s="417" t="str">
        <f t="shared" si="41"/>
        <v/>
      </c>
      <c r="O398" s="418" t="str">
        <f>IF('Data Set up'!$G$40="JUNE",IF(OR($N398=7,$N398=8,$N398=9),1,IF(OR($N398=10,$N398=11,$N398=12),2,IF(OR($N398=1,$N398=2,$N398=3),3,IF(OR($N398=4,$N398=5,$N398=6),4,"")))),IF(OR($N398=9,$N398=10,$N398=11),1,IF(OR($N398=12,$N398=1,$N398=2),2,IF(OR($N398=3,$N398=4,$N398=5),3,IF(OR($N398=6,$N398=7,$N398=8),4,"")))))</f>
        <v/>
      </c>
      <c r="P398" s="445"/>
      <c r="Q398" s="291"/>
      <c r="R398" s="291"/>
      <c r="S398" s="275"/>
      <c r="T398" s="275"/>
      <c r="U398" s="275"/>
      <c r="V398" s="275"/>
      <c r="W398" s="275"/>
      <c r="X398" s="275"/>
      <c r="Y398" s="275"/>
      <c r="Z398" s="275"/>
      <c r="AA398" s="275"/>
      <c r="AB398" s="275"/>
      <c r="AC398" s="275"/>
      <c r="AD398" s="275"/>
      <c r="AE398" s="275"/>
      <c r="AF398" s="275"/>
      <c r="AG398" s="275"/>
      <c r="AH398" s="438"/>
      <c r="AI398" s="439">
        <f t="shared" si="42"/>
        <v>0</v>
      </c>
      <c r="AJ398" s="263"/>
      <c r="AK398" s="263"/>
      <c r="AL398" s="263"/>
      <c r="AM398" s="263"/>
      <c r="AN398" s="263"/>
      <c r="AO398" s="263"/>
      <c r="AP398" s="263"/>
      <c r="AQ398" s="436"/>
      <c r="AR398" s="275"/>
      <c r="AS398" s="275"/>
      <c r="AT398" s="275"/>
      <c r="AU398" s="275"/>
      <c r="AV398" s="275"/>
      <c r="AW398" s="275"/>
      <c r="AX398" s="275"/>
      <c r="AY398" s="437"/>
      <c r="AZ398" s="440">
        <f t="shared" si="43"/>
        <v>0</v>
      </c>
      <c r="BA398" s="275"/>
      <c r="BB398" s="275"/>
      <c r="BC398" s="275"/>
      <c r="BD398" s="275"/>
      <c r="BE398" s="275"/>
      <c r="BF398" s="275"/>
      <c r="BG398" s="275"/>
      <c r="BH398" s="436"/>
      <c r="BI398" s="275"/>
      <c r="BJ398" s="275"/>
      <c r="BK398" s="291"/>
      <c r="BL398" s="291"/>
      <c r="BM398" s="275"/>
      <c r="BN398" s="275"/>
      <c r="BO398" s="438"/>
      <c r="BP398" s="436"/>
      <c r="BQ398" s="275"/>
      <c r="BR398" s="275"/>
      <c r="BS398" s="275"/>
      <c r="BT398" s="275"/>
      <c r="BU398" s="275"/>
      <c r="BV398" s="275"/>
      <c r="BW398" s="275"/>
      <c r="BX398" s="438"/>
      <c r="BY398" s="436"/>
      <c r="BZ398" s="275"/>
      <c r="CA398" s="275"/>
      <c r="CB398" s="275"/>
      <c r="CC398" s="275"/>
      <c r="CD398" s="275"/>
      <c r="CE398" s="275"/>
      <c r="CF398" s="275"/>
      <c r="CG398" s="438"/>
      <c r="CH398" s="436"/>
      <c r="CI398" s="275"/>
      <c r="CJ398" s="275"/>
      <c r="CK398" s="275"/>
      <c r="CL398" s="275"/>
      <c r="CM398" s="275"/>
      <c r="CN398" s="275"/>
      <c r="CO398" s="442"/>
      <c r="CP398" s="443"/>
      <c r="CQ398" s="429">
        <f t="shared" si="44"/>
        <v>0</v>
      </c>
      <c r="CR398" s="430"/>
    </row>
    <row r="399" spans="1:96" ht="25.5" customHeight="1" x14ac:dyDescent="0.2">
      <c r="A399" s="410">
        <f t="shared" si="45"/>
        <v>384</v>
      </c>
      <c r="B399" s="280"/>
      <c r="C399" s="453"/>
      <c r="D399" s="411"/>
      <c r="E399" s="254"/>
      <c r="F399" s="277"/>
      <c r="G399" s="450"/>
      <c r="H399" s="451"/>
      <c r="I399" s="433" t="str">
        <f t="shared" si="39"/>
        <v/>
      </c>
      <c r="J399" s="434">
        <f t="shared" si="40"/>
        <v>0</v>
      </c>
      <c r="K399" s="452"/>
      <c r="L399" s="276"/>
      <c r="M399" s="435"/>
      <c r="N399" s="417" t="str">
        <f t="shared" si="41"/>
        <v/>
      </c>
      <c r="O399" s="418" t="str">
        <f>IF('Data Set up'!$G$40="JUNE",IF(OR($N399=7,$N399=8,$N399=9),1,IF(OR($N399=10,$N399=11,$N399=12),2,IF(OR($N399=1,$N399=2,$N399=3),3,IF(OR($N399=4,$N399=5,$N399=6),4,"")))),IF(OR($N399=9,$N399=10,$N399=11),1,IF(OR($N399=12,$N399=1,$N399=2),2,IF(OR($N399=3,$N399=4,$N399=5),3,IF(OR($N399=6,$N399=7,$N399=8),4,"")))))</f>
        <v/>
      </c>
      <c r="P399" s="445"/>
      <c r="Q399" s="291"/>
      <c r="R399" s="291"/>
      <c r="S399" s="275"/>
      <c r="T399" s="275"/>
      <c r="U399" s="275"/>
      <c r="V399" s="275"/>
      <c r="W399" s="275"/>
      <c r="X399" s="275"/>
      <c r="Y399" s="275"/>
      <c r="Z399" s="275"/>
      <c r="AA399" s="275"/>
      <c r="AB399" s="275"/>
      <c r="AC399" s="275"/>
      <c r="AD399" s="275"/>
      <c r="AE399" s="275"/>
      <c r="AF399" s="275"/>
      <c r="AG399" s="275"/>
      <c r="AH399" s="438"/>
      <c r="AI399" s="439">
        <f t="shared" si="42"/>
        <v>0</v>
      </c>
      <c r="AJ399" s="263"/>
      <c r="AK399" s="263"/>
      <c r="AL399" s="263"/>
      <c r="AM399" s="263"/>
      <c r="AN399" s="263"/>
      <c r="AO399" s="263"/>
      <c r="AP399" s="263"/>
      <c r="AQ399" s="436"/>
      <c r="AR399" s="275"/>
      <c r="AS399" s="275"/>
      <c r="AT399" s="275"/>
      <c r="AU399" s="275"/>
      <c r="AV399" s="275"/>
      <c r="AW399" s="275"/>
      <c r="AX399" s="275"/>
      <c r="AY399" s="437"/>
      <c r="AZ399" s="440">
        <f t="shared" si="43"/>
        <v>0</v>
      </c>
      <c r="BA399" s="275"/>
      <c r="BB399" s="275"/>
      <c r="BC399" s="275"/>
      <c r="BD399" s="275"/>
      <c r="BE399" s="275"/>
      <c r="BF399" s="275"/>
      <c r="BG399" s="275"/>
      <c r="BH399" s="436"/>
      <c r="BI399" s="275"/>
      <c r="BJ399" s="275"/>
      <c r="BK399" s="291"/>
      <c r="BL399" s="291"/>
      <c r="BM399" s="275"/>
      <c r="BN399" s="275"/>
      <c r="BO399" s="438"/>
      <c r="BP399" s="436"/>
      <c r="BQ399" s="275"/>
      <c r="BR399" s="275"/>
      <c r="BS399" s="275"/>
      <c r="BT399" s="275"/>
      <c r="BU399" s="275"/>
      <c r="BV399" s="275"/>
      <c r="BW399" s="275"/>
      <c r="BX399" s="438"/>
      <c r="BY399" s="436"/>
      <c r="BZ399" s="275"/>
      <c r="CA399" s="275"/>
      <c r="CB399" s="275"/>
      <c r="CC399" s="275"/>
      <c r="CD399" s="275"/>
      <c r="CE399" s="275"/>
      <c r="CF399" s="275"/>
      <c r="CG399" s="438"/>
      <c r="CH399" s="436"/>
      <c r="CI399" s="275"/>
      <c r="CJ399" s="275"/>
      <c r="CK399" s="275"/>
      <c r="CL399" s="275"/>
      <c r="CM399" s="275"/>
      <c r="CN399" s="275"/>
      <c r="CO399" s="442"/>
      <c r="CP399" s="443"/>
      <c r="CQ399" s="429">
        <f t="shared" si="44"/>
        <v>0</v>
      </c>
      <c r="CR399" s="430"/>
    </row>
    <row r="400" spans="1:96" ht="25.5" customHeight="1" x14ac:dyDescent="0.2">
      <c r="A400" s="410">
        <f t="shared" si="45"/>
        <v>385</v>
      </c>
      <c r="B400" s="280"/>
      <c r="C400" s="453"/>
      <c r="D400" s="411"/>
      <c r="E400" s="254"/>
      <c r="F400" s="277"/>
      <c r="G400" s="450"/>
      <c r="H400" s="451"/>
      <c r="I400" s="433" t="str">
        <f t="shared" ref="I400:I463" si="46">LEFT(H400,4)</f>
        <v/>
      </c>
      <c r="J400" s="434">
        <f t="shared" ref="J400:J463" si="47">G400-CQ400</f>
        <v>0</v>
      </c>
      <c r="K400" s="452"/>
      <c r="L400" s="276"/>
      <c r="M400" s="435"/>
      <c r="N400" s="417" t="str">
        <f t="shared" ref="N400:N463" si="48">IF($E400="","",MONTH($E400))</f>
        <v/>
      </c>
      <c r="O400" s="418" t="str">
        <f>IF('Data Set up'!$G$40="JUNE",IF(OR($N400=7,$N400=8,$N400=9),1,IF(OR($N400=10,$N400=11,$N400=12),2,IF(OR($N400=1,$N400=2,$N400=3),3,IF(OR($N400=4,$N400=5,$N400=6),4,"")))),IF(OR($N400=9,$N400=10,$N400=11),1,IF(OR($N400=12,$N400=1,$N400=2),2,IF(OR($N400=3,$N400=4,$N400=5),3,IF(OR($N400=6,$N400=7,$N400=8),4,"")))))</f>
        <v/>
      </c>
      <c r="P400" s="445"/>
      <c r="Q400" s="291"/>
      <c r="R400" s="291"/>
      <c r="S400" s="275"/>
      <c r="T400" s="275"/>
      <c r="U400" s="275"/>
      <c r="V400" s="275"/>
      <c r="W400" s="275"/>
      <c r="X400" s="275"/>
      <c r="Y400" s="275"/>
      <c r="Z400" s="275"/>
      <c r="AA400" s="275"/>
      <c r="AB400" s="275"/>
      <c r="AC400" s="275"/>
      <c r="AD400" s="275"/>
      <c r="AE400" s="275"/>
      <c r="AF400" s="275"/>
      <c r="AG400" s="275"/>
      <c r="AH400" s="438"/>
      <c r="AI400" s="439">
        <f t="shared" ref="AI400:AI463" si="49">SUM(AJ400:AP400)</f>
        <v>0</v>
      </c>
      <c r="AJ400" s="263"/>
      <c r="AK400" s="263"/>
      <c r="AL400" s="263"/>
      <c r="AM400" s="263"/>
      <c r="AN400" s="263"/>
      <c r="AO400" s="263"/>
      <c r="AP400" s="263"/>
      <c r="AQ400" s="436"/>
      <c r="AR400" s="275"/>
      <c r="AS400" s="275"/>
      <c r="AT400" s="275"/>
      <c r="AU400" s="275"/>
      <c r="AV400" s="275"/>
      <c r="AW400" s="275"/>
      <c r="AX400" s="275"/>
      <c r="AY400" s="437"/>
      <c r="AZ400" s="440">
        <f t="shared" ref="AZ400:AZ463" si="50">SUM(BA400:BG400)</f>
        <v>0</v>
      </c>
      <c r="BA400" s="275"/>
      <c r="BB400" s="275"/>
      <c r="BC400" s="275"/>
      <c r="BD400" s="275"/>
      <c r="BE400" s="275"/>
      <c r="BF400" s="275"/>
      <c r="BG400" s="275"/>
      <c r="BH400" s="436"/>
      <c r="BI400" s="275"/>
      <c r="BJ400" s="275"/>
      <c r="BK400" s="291"/>
      <c r="BL400" s="291"/>
      <c r="BM400" s="275"/>
      <c r="BN400" s="275"/>
      <c r="BO400" s="438"/>
      <c r="BP400" s="436"/>
      <c r="BQ400" s="275"/>
      <c r="BR400" s="275"/>
      <c r="BS400" s="275"/>
      <c r="BT400" s="275"/>
      <c r="BU400" s="275"/>
      <c r="BV400" s="275"/>
      <c r="BW400" s="275"/>
      <c r="BX400" s="438"/>
      <c r="BY400" s="436"/>
      <c r="BZ400" s="275"/>
      <c r="CA400" s="275"/>
      <c r="CB400" s="275"/>
      <c r="CC400" s="275"/>
      <c r="CD400" s="275"/>
      <c r="CE400" s="275"/>
      <c r="CF400" s="275"/>
      <c r="CG400" s="438"/>
      <c r="CH400" s="436"/>
      <c r="CI400" s="275"/>
      <c r="CJ400" s="275"/>
      <c r="CK400" s="275"/>
      <c r="CL400" s="275"/>
      <c r="CM400" s="275"/>
      <c r="CN400" s="275"/>
      <c r="CO400" s="442"/>
      <c r="CP400" s="443"/>
      <c r="CQ400" s="429">
        <f t="shared" ref="CQ400:CQ463" si="51">SUM(P400:AI400,AQ400:AZ400,BH400:CP400)</f>
        <v>0</v>
      </c>
      <c r="CR400" s="430"/>
    </row>
    <row r="401" spans="1:96" ht="25.5" customHeight="1" x14ac:dyDescent="0.2">
      <c r="A401" s="410">
        <f t="shared" ref="A401:A464" si="52">$A400+1</f>
        <v>386</v>
      </c>
      <c r="B401" s="280"/>
      <c r="C401" s="453"/>
      <c r="D401" s="411"/>
      <c r="E401" s="254"/>
      <c r="F401" s="277"/>
      <c r="G401" s="450"/>
      <c r="H401" s="451"/>
      <c r="I401" s="433" t="str">
        <f t="shared" si="46"/>
        <v/>
      </c>
      <c r="J401" s="434">
        <f t="shared" si="47"/>
        <v>0</v>
      </c>
      <c r="K401" s="452"/>
      <c r="L401" s="276"/>
      <c r="M401" s="435"/>
      <c r="N401" s="417" t="str">
        <f t="shared" si="48"/>
        <v/>
      </c>
      <c r="O401" s="418" t="str">
        <f>IF('Data Set up'!$G$40="JUNE",IF(OR($N401=7,$N401=8,$N401=9),1,IF(OR($N401=10,$N401=11,$N401=12),2,IF(OR($N401=1,$N401=2,$N401=3),3,IF(OR($N401=4,$N401=5,$N401=6),4,"")))),IF(OR($N401=9,$N401=10,$N401=11),1,IF(OR($N401=12,$N401=1,$N401=2),2,IF(OR($N401=3,$N401=4,$N401=5),3,IF(OR($N401=6,$N401=7,$N401=8),4,"")))))</f>
        <v/>
      </c>
      <c r="P401" s="445"/>
      <c r="Q401" s="291"/>
      <c r="R401" s="291"/>
      <c r="S401" s="275"/>
      <c r="T401" s="275"/>
      <c r="U401" s="275"/>
      <c r="V401" s="275"/>
      <c r="W401" s="275"/>
      <c r="X401" s="275"/>
      <c r="Y401" s="275"/>
      <c r="Z401" s="275"/>
      <c r="AA401" s="275"/>
      <c r="AB401" s="275"/>
      <c r="AC401" s="275"/>
      <c r="AD401" s="275"/>
      <c r="AE401" s="275"/>
      <c r="AF401" s="275"/>
      <c r="AG401" s="275"/>
      <c r="AH401" s="438"/>
      <c r="AI401" s="439">
        <f t="shared" si="49"/>
        <v>0</v>
      </c>
      <c r="AJ401" s="263"/>
      <c r="AK401" s="263"/>
      <c r="AL401" s="263"/>
      <c r="AM401" s="263"/>
      <c r="AN401" s="263"/>
      <c r="AO401" s="263"/>
      <c r="AP401" s="263"/>
      <c r="AQ401" s="436"/>
      <c r="AR401" s="275"/>
      <c r="AS401" s="275"/>
      <c r="AT401" s="275"/>
      <c r="AU401" s="275"/>
      <c r="AV401" s="275"/>
      <c r="AW401" s="275"/>
      <c r="AX401" s="275"/>
      <c r="AY401" s="437"/>
      <c r="AZ401" s="440">
        <f t="shared" si="50"/>
        <v>0</v>
      </c>
      <c r="BA401" s="275"/>
      <c r="BB401" s="275"/>
      <c r="BC401" s="275"/>
      <c r="BD401" s="275"/>
      <c r="BE401" s="275"/>
      <c r="BF401" s="275"/>
      <c r="BG401" s="275"/>
      <c r="BH401" s="436"/>
      <c r="BI401" s="275"/>
      <c r="BJ401" s="275"/>
      <c r="BK401" s="291"/>
      <c r="BL401" s="291"/>
      <c r="BM401" s="275"/>
      <c r="BN401" s="275"/>
      <c r="BO401" s="438"/>
      <c r="BP401" s="436"/>
      <c r="BQ401" s="275"/>
      <c r="BR401" s="275"/>
      <c r="BS401" s="275"/>
      <c r="BT401" s="275"/>
      <c r="BU401" s="275"/>
      <c r="BV401" s="275"/>
      <c r="BW401" s="275"/>
      <c r="BX401" s="438"/>
      <c r="BY401" s="436"/>
      <c r="BZ401" s="275"/>
      <c r="CA401" s="275"/>
      <c r="CB401" s="275"/>
      <c r="CC401" s="275"/>
      <c r="CD401" s="275"/>
      <c r="CE401" s="275"/>
      <c r="CF401" s="275"/>
      <c r="CG401" s="438"/>
      <c r="CH401" s="436"/>
      <c r="CI401" s="275"/>
      <c r="CJ401" s="275"/>
      <c r="CK401" s="275"/>
      <c r="CL401" s="275"/>
      <c r="CM401" s="275"/>
      <c r="CN401" s="275"/>
      <c r="CO401" s="442"/>
      <c r="CP401" s="443"/>
      <c r="CQ401" s="429">
        <f t="shared" si="51"/>
        <v>0</v>
      </c>
      <c r="CR401" s="430"/>
    </row>
    <row r="402" spans="1:96" ht="25.5" customHeight="1" x14ac:dyDescent="0.2">
      <c r="A402" s="410">
        <f t="shared" si="52"/>
        <v>387</v>
      </c>
      <c r="B402" s="280"/>
      <c r="C402" s="453"/>
      <c r="D402" s="411"/>
      <c r="E402" s="254"/>
      <c r="F402" s="277"/>
      <c r="G402" s="450"/>
      <c r="H402" s="451"/>
      <c r="I402" s="433" t="str">
        <f t="shared" si="46"/>
        <v/>
      </c>
      <c r="J402" s="434">
        <f t="shared" si="47"/>
        <v>0</v>
      </c>
      <c r="K402" s="452"/>
      <c r="L402" s="276"/>
      <c r="M402" s="435"/>
      <c r="N402" s="417" t="str">
        <f t="shared" si="48"/>
        <v/>
      </c>
      <c r="O402" s="418" t="str">
        <f>IF('Data Set up'!$G$40="JUNE",IF(OR($N402=7,$N402=8,$N402=9),1,IF(OR($N402=10,$N402=11,$N402=12),2,IF(OR($N402=1,$N402=2,$N402=3),3,IF(OR($N402=4,$N402=5,$N402=6),4,"")))),IF(OR($N402=9,$N402=10,$N402=11),1,IF(OR($N402=12,$N402=1,$N402=2),2,IF(OR($N402=3,$N402=4,$N402=5),3,IF(OR($N402=6,$N402=7,$N402=8),4,"")))))</f>
        <v/>
      </c>
      <c r="P402" s="445"/>
      <c r="Q402" s="291"/>
      <c r="R402" s="291"/>
      <c r="S402" s="275"/>
      <c r="T402" s="275"/>
      <c r="U402" s="275"/>
      <c r="V402" s="275"/>
      <c r="W402" s="275"/>
      <c r="X402" s="275"/>
      <c r="Y402" s="275"/>
      <c r="Z402" s="275"/>
      <c r="AA402" s="275"/>
      <c r="AB402" s="275"/>
      <c r="AC402" s="275"/>
      <c r="AD402" s="275"/>
      <c r="AE402" s="275"/>
      <c r="AF402" s="275"/>
      <c r="AG402" s="275"/>
      <c r="AH402" s="438"/>
      <c r="AI402" s="439">
        <f t="shared" si="49"/>
        <v>0</v>
      </c>
      <c r="AJ402" s="263"/>
      <c r="AK402" s="263"/>
      <c r="AL402" s="263"/>
      <c r="AM402" s="263"/>
      <c r="AN402" s="263"/>
      <c r="AO402" s="263"/>
      <c r="AP402" s="263"/>
      <c r="AQ402" s="436"/>
      <c r="AR402" s="275"/>
      <c r="AS402" s="275"/>
      <c r="AT402" s="275"/>
      <c r="AU402" s="275"/>
      <c r="AV402" s="275"/>
      <c r="AW402" s="275"/>
      <c r="AX402" s="275"/>
      <c r="AY402" s="437"/>
      <c r="AZ402" s="440">
        <f t="shared" si="50"/>
        <v>0</v>
      </c>
      <c r="BA402" s="275"/>
      <c r="BB402" s="275"/>
      <c r="BC402" s="275"/>
      <c r="BD402" s="275"/>
      <c r="BE402" s="275"/>
      <c r="BF402" s="275"/>
      <c r="BG402" s="275"/>
      <c r="BH402" s="436"/>
      <c r="BI402" s="275"/>
      <c r="BJ402" s="275"/>
      <c r="BK402" s="291"/>
      <c r="BL402" s="291"/>
      <c r="BM402" s="275"/>
      <c r="BN402" s="275"/>
      <c r="BO402" s="438"/>
      <c r="BP402" s="436"/>
      <c r="BQ402" s="275"/>
      <c r="BR402" s="275"/>
      <c r="BS402" s="275"/>
      <c r="BT402" s="275"/>
      <c r="BU402" s="275"/>
      <c r="BV402" s="275"/>
      <c r="BW402" s="275"/>
      <c r="BX402" s="438"/>
      <c r="BY402" s="436"/>
      <c r="BZ402" s="275"/>
      <c r="CA402" s="275"/>
      <c r="CB402" s="275"/>
      <c r="CC402" s="275"/>
      <c r="CD402" s="275"/>
      <c r="CE402" s="275"/>
      <c r="CF402" s="275"/>
      <c r="CG402" s="438"/>
      <c r="CH402" s="436"/>
      <c r="CI402" s="275"/>
      <c r="CJ402" s="275"/>
      <c r="CK402" s="275"/>
      <c r="CL402" s="275"/>
      <c r="CM402" s="275"/>
      <c r="CN402" s="275"/>
      <c r="CO402" s="442"/>
      <c r="CP402" s="443"/>
      <c r="CQ402" s="429">
        <f t="shared" si="51"/>
        <v>0</v>
      </c>
      <c r="CR402" s="430"/>
    </row>
    <row r="403" spans="1:96" ht="25.5" customHeight="1" x14ac:dyDescent="0.2">
      <c r="A403" s="410">
        <f t="shared" si="52"/>
        <v>388</v>
      </c>
      <c r="B403" s="280"/>
      <c r="C403" s="453"/>
      <c r="D403" s="411"/>
      <c r="E403" s="254"/>
      <c r="F403" s="277"/>
      <c r="G403" s="450"/>
      <c r="H403" s="451"/>
      <c r="I403" s="433" t="str">
        <f t="shared" si="46"/>
        <v/>
      </c>
      <c r="J403" s="434">
        <f t="shared" si="47"/>
        <v>0</v>
      </c>
      <c r="K403" s="452"/>
      <c r="L403" s="276"/>
      <c r="M403" s="435"/>
      <c r="N403" s="417" t="str">
        <f t="shared" si="48"/>
        <v/>
      </c>
      <c r="O403" s="418" t="str">
        <f>IF('Data Set up'!$G$40="JUNE",IF(OR($N403=7,$N403=8,$N403=9),1,IF(OR($N403=10,$N403=11,$N403=12),2,IF(OR($N403=1,$N403=2,$N403=3),3,IF(OR($N403=4,$N403=5,$N403=6),4,"")))),IF(OR($N403=9,$N403=10,$N403=11),1,IF(OR($N403=12,$N403=1,$N403=2),2,IF(OR($N403=3,$N403=4,$N403=5),3,IF(OR($N403=6,$N403=7,$N403=8),4,"")))))</f>
        <v/>
      </c>
      <c r="P403" s="445"/>
      <c r="Q403" s="291"/>
      <c r="R403" s="291"/>
      <c r="S403" s="275"/>
      <c r="T403" s="275"/>
      <c r="U403" s="275"/>
      <c r="V403" s="275"/>
      <c r="W403" s="275"/>
      <c r="X403" s="275"/>
      <c r="Y403" s="275"/>
      <c r="Z403" s="275"/>
      <c r="AA403" s="275"/>
      <c r="AB403" s="275"/>
      <c r="AC403" s="275"/>
      <c r="AD403" s="275"/>
      <c r="AE403" s="275"/>
      <c r="AF403" s="275"/>
      <c r="AG403" s="275"/>
      <c r="AH403" s="438"/>
      <c r="AI403" s="439">
        <f t="shared" si="49"/>
        <v>0</v>
      </c>
      <c r="AJ403" s="263"/>
      <c r="AK403" s="263"/>
      <c r="AL403" s="263"/>
      <c r="AM403" s="263"/>
      <c r="AN403" s="263"/>
      <c r="AO403" s="263"/>
      <c r="AP403" s="263"/>
      <c r="AQ403" s="436"/>
      <c r="AR403" s="275"/>
      <c r="AS403" s="275"/>
      <c r="AT403" s="275"/>
      <c r="AU403" s="275"/>
      <c r="AV403" s="275"/>
      <c r="AW403" s="275"/>
      <c r="AX403" s="275"/>
      <c r="AY403" s="437"/>
      <c r="AZ403" s="440">
        <f t="shared" si="50"/>
        <v>0</v>
      </c>
      <c r="BA403" s="275"/>
      <c r="BB403" s="275"/>
      <c r="BC403" s="275"/>
      <c r="BD403" s="275"/>
      <c r="BE403" s="275"/>
      <c r="BF403" s="275"/>
      <c r="BG403" s="275"/>
      <c r="BH403" s="436"/>
      <c r="BI403" s="275"/>
      <c r="BJ403" s="275"/>
      <c r="BK403" s="291"/>
      <c r="BL403" s="291"/>
      <c r="BM403" s="275"/>
      <c r="BN403" s="275"/>
      <c r="BO403" s="438"/>
      <c r="BP403" s="436"/>
      <c r="BQ403" s="275"/>
      <c r="BR403" s="275"/>
      <c r="BS403" s="275"/>
      <c r="BT403" s="275"/>
      <c r="BU403" s="275"/>
      <c r="BV403" s="275"/>
      <c r="BW403" s="275"/>
      <c r="BX403" s="438"/>
      <c r="BY403" s="436"/>
      <c r="BZ403" s="275"/>
      <c r="CA403" s="275"/>
      <c r="CB403" s="275"/>
      <c r="CC403" s="275"/>
      <c r="CD403" s="275"/>
      <c r="CE403" s="275"/>
      <c r="CF403" s="275"/>
      <c r="CG403" s="438"/>
      <c r="CH403" s="436"/>
      <c r="CI403" s="275"/>
      <c r="CJ403" s="275"/>
      <c r="CK403" s="275"/>
      <c r="CL403" s="275"/>
      <c r="CM403" s="275"/>
      <c r="CN403" s="275"/>
      <c r="CO403" s="442"/>
      <c r="CP403" s="443"/>
      <c r="CQ403" s="429">
        <f t="shared" si="51"/>
        <v>0</v>
      </c>
      <c r="CR403" s="430"/>
    </row>
    <row r="404" spans="1:96" ht="25.5" customHeight="1" x14ac:dyDescent="0.2">
      <c r="A404" s="410">
        <f t="shared" si="52"/>
        <v>389</v>
      </c>
      <c r="B404" s="280"/>
      <c r="C404" s="453"/>
      <c r="D404" s="411"/>
      <c r="E404" s="254"/>
      <c r="F404" s="277"/>
      <c r="G404" s="450"/>
      <c r="H404" s="451"/>
      <c r="I404" s="433" t="str">
        <f t="shared" si="46"/>
        <v/>
      </c>
      <c r="J404" s="434">
        <f t="shared" si="47"/>
        <v>0</v>
      </c>
      <c r="K404" s="452"/>
      <c r="L404" s="276"/>
      <c r="M404" s="435"/>
      <c r="N404" s="417" t="str">
        <f t="shared" si="48"/>
        <v/>
      </c>
      <c r="O404" s="418" t="str">
        <f>IF('Data Set up'!$G$40="JUNE",IF(OR($N404=7,$N404=8,$N404=9),1,IF(OR($N404=10,$N404=11,$N404=12),2,IF(OR($N404=1,$N404=2,$N404=3),3,IF(OR($N404=4,$N404=5,$N404=6),4,"")))),IF(OR($N404=9,$N404=10,$N404=11),1,IF(OR($N404=12,$N404=1,$N404=2),2,IF(OR($N404=3,$N404=4,$N404=5),3,IF(OR($N404=6,$N404=7,$N404=8),4,"")))))</f>
        <v/>
      </c>
      <c r="P404" s="445"/>
      <c r="Q404" s="291"/>
      <c r="R404" s="291"/>
      <c r="S404" s="275"/>
      <c r="T404" s="275"/>
      <c r="U404" s="275"/>
      <c r="V404" s="275"/>
      <c r="W404" s="275"/>
      <c r="X404" s="275"/>
      <c r="Y404" s="275"/>
      <c r="Z404" s="275"/>
      <c r="AA404" s="275"/>
      <c r="AB404" s="275"/>
      <c r="AC404" s="275"/>
      <c r="AD404" s="275"/>
      <c r="AE404" s="275"/>
      <c r="AF404" s="275"/>
      <c r="AG404" s="275"/>
      <c r="AH404" s="438"/>
      <c r="AI404" s="439">
        <f t="shared" si="49"/>
        <v>0</v>
      </c>
      <c r="AJ404" s="263"/>
      <c r="AK404" s="263"/>
      <c r="AL404" s="263"/>
      <c r="AM404" s="263"/>
      <c r="AN404" s="263"/>
      <c r="AO404" s="263"/>
      <c r="AP404" s="263"/>
      <c r="AQ404" s="436"/>
      <c r="AR404" s="275"/>
      <c r="AS404" s="275"/>
      <c r="AT404" s="275"/>
      <c r="AU404" s="275"/>
      <c r="AV404" s="275"/>
      <c r="AW404" s="275"/>
      <c r="AX404" s="275"/>
      <c r="AY404" s="437"/>
      <c r="AZ404" s="440">
        <f t="shared" si="50"/>
        <v>0</v>
      </c>
      <c r="BA404" s="275"/>
      <c r="BB404" s="275"/>
      <c r="BC404" s="275"/>
      <c r="BD404" s="275"/>
      <c r="BE404" s="275"/>
      <c r="BF404" s="275"/>
      <c r="BG404" s="275"/>
      <c r="BH404" s="436"/>
      <c r="BI404" s="275"/>
      <c r="BJ404" s="275"/>
      <c r="BK404" s="291"/>
      <c r="BL404" s="291"/>
      <c r="BM404" s="275"/>
      <c r="BN404" s="275"/>
      <c r="BO404" s="438"/>
      <c r="BP404" s="436"/>
      <c r="BQ404" s="275"/>
      <c r="BR404" s="275"/>
      <c r="BS404" s="275"/>
      <c r="BT404" s="275"/>
      <c r="BU404" s="275"/>
      <c r="BV404" s="275"/>
      <c r="BW404" s="275"/>
      <c r="BX404" s="438"/>
      <c r="BY404" s="436"/>
      <c r="BZ404" s="275"/>
      <c r="CA404" s="275"/>
      <c r="CB404" s="275"/>
      <c r="CC404" s="275"/>
      <c r="CD404" s="275"/>
      <c r="CE404" s="275"/>
      <c r="CF404" s="275"/>
      <c r="CG404" s="438"/>
      <c r="CH404" s="436"/>
      <c r="CI404" s="275"/>
      <c r="CJ404" s="275"/>
      <c r="CK404" s="275"/>
      <c r="CL404" s="275"/>
      <c r="CM404" s="275"/>
      <c r="CN404" s="275"/>
      <c r="CO404" s="442"/>
      <c r="CP404" s="443"/>
      <c r="CQ404" s="429">
        <f t="shared" si="51"/>
        <v>0</v>
      </c>
      <c r="CR404" s="430"/>
    </row>
    <row r="405" spans="1:96" ht="25.5" customHeight="1" x14ac:dyDescent="0.2">
      <c r="A405" s="410">
        <f t="shared" si="52"/>
        <v>390</v>
      </c>
      <c r="B405" s="280"/>
      <c r="C405" s="453"/>
      <c r="D405" s="411"/>
      <c r="E405" s="254"/>
      <c r="F405" s="277"/>
      <c r="G405" s="450"/>
      <c r="H405" s="451"/>
      <c r="I405" s="433" t="str">
        <f t="shared" si="46"/>
        <v/>
      </c>
      <c r="J405" s="434">
        <f t="shared" si="47"/>
        <v>0</v>
      </c>
      <c r="K405" s="452"/>
      <c r="L405" s="276"/>
      <c r="M405" s="435"/>
      <c r="N405" s="417" t="str">
        <f t="shared" si="48"/>
        <v/>
      </c>
      <c r="O405" s="418" t="str">
        <f>IF('Data Set up'!$G$40="JUNE",IF(OR($N405=7,$N405=8,$N405=9),1,IF(OR($N405=10,$N405=11,$N405=12),2,IF(OR($N405=1,$N405=2,$N405=3),3,IF(OR($N405=4,$N405=5,$N405=6),4,"")))),IF(OR($N405=9,$N405=10,$N405=11),1,IF(OR($N405=12,$N405=1,$N405=2),2,IF(OR($N405=3,$N405=4,$N405=5),3,IF(OR($N405=6,$N405=7,$N405=8),4,"")))))</f>
        <v/>
      </c>
      <c r="P405" s="445"/>
      <c r="Q405" s="291"/>
      <c r="R405" s="291"/>
      <c r="S405" s="275"/>
      <c r="T405" s="275"/>
      <c r="U405" s="275"/>
      <c r="V405" s="275"/>
      <c r="W405" s="275"/>
      <c r="X405" s="275"/>
      <c r="Y405" s="275"/>
      <c r="Z405" s="275"/>
      <c r="AA405" s="275"/>
      <c r="AB405" s="275"/>
      <c r="AC405" s="275"/>
      <c r="AD405" s="275"/>
      <c r="AE405" s="275"/>
      <c r="AF405" s="275"/>
      <c r="AG405" s="275"/>
      <c r="AH405" s="438"/>
      <c r="AI405" s="439">
        <f t="shared" si="49"/>
        <v>0</v>
      </c>
      <c r="AJ405" s="263"/>
      <c r="AK405" s="263"/>
      <c r="AL405" s="263"/>
      <c r="AM405" s="263"/>
      <c r="AN405" s="263"/>
      <c r="AO405" s="263"/>
      <c r="AP405" s="263"/>
      <c r="AQ405" s="436"/>
      <c r="AR405" s="275"/>
      <c r="AS405" s="275"/>
      <c r="AT405" s="275"/>
      <c r="AU405" s="275"/>
      <c r="AV405" s="275"/>
      <c r="AW405" s="275"/>
      <c r="AX405" s="275"/>
      <c r="AY405" s="437"/>
      <c r="AZ405" s="440">
        <f t="shared" si="50"/>
        <v>0</v>
      </c>
      <c r="BA405" s="275"/>
      <c r="BB405" s="275"/>
      <c r="BC405" s="275"/>
      <c r="BD405" s="275"/>
      <c r="BE405" s="275"/>
      <c r="BF405" s="275"/>
      <c r="BG405" s="275"/>
      <c r="BH405" s="436"/>
      <c r="BI405" s="275"/>
      <c r="BJ405" s="275"/>
      <c r="BK405" s="291"/>
      <c r="BL405" s="291"/>
      <c r="BM405" s="275"/>
      <c r="BN405" s="275"/>
      <c r="BO405" s="438"/>
      <c r="BP405" s="436"/>
      <c r="BQ405" s="275"/>
      <c r="BR405" s="275"/>
      <c r="BS405" s="275"/>
      <c r="BT405" s="275"/>
      <c r="BU405" s="275"/>
      <c r="BV405" s="275"/>
      <c r="BW405" s="275"/>
      <c r="BX405" s="438"/>
      <c r="BY405" s="436"/>
      <c r="BZ405" s="275"/>
      <c r="CA405" s="275"/>
      <c r="CB405" s="275"/>
      <c r="CC405" s="275"/>
      <c r="CD405" s="275"/>
      <c r="CE405" s="275"/>
      <c r="CF405" s="275"/>
      <c r="CG405" s="438"/>
      <c r="CH405" s="436"/>
      <c r="CI405" s="275"/>
      <c r="CJ405" s="275"/>
      <c r="CK405" s="275"/>
      <c r="CL405" s="275"/>
      <c r="CM405" s="275"/>
      <c r="CN405" s="275"/>
      <c r="CO405" s="442"/>
      <c r="CP405" s="443"/>
      <c r="CQ405" s="429">
        <f t="shared" si="51"/>
        <v>0</v>
      </c>
      <c r="CR405" s="430"/>
    </row>
    <row r="406" spans="1:96" ht="25.5" customHeight="1" x14ac:dyDescent="0.2">
      <c r="A406" s="410">
        <f t="shared" si="52"/>
        <v>391</v>
      </c>
      <c r="B406" s="280"/>
      <c r="C406" s="453"/>
      <c r="D406" s="411"/>
      <c r="E406" s="254"/>
      <c r="F406" s="277"/>
      <c r="G406" s="450"/>
      <c r="H406" s="451"/>
      <c r="I406" s="433" t="str">
        <f t="shared" si="46"/>
        <v/>
      </c>
      <c r="J406" s="434">
        <f t="shared" si="47"/>
        <v>0</v>
      </c>
      <c r="K406" s="452"/>
      <c r="L406" s="276"/>
      <c r="M406" s="435"/>
      <c r="N406" s="417" t="str">
        <f t="shared" si="48"/>
        <v/>
      </c>
      <c r="O406" s="418" t="str">
        <f>IF('Data Set up'!$G$40="JUNE",IF(OR($N406=7,$N406=8,$N406=9),1,IF(OR($N406=10,$N406=11,$N406=12),2,IF(OR($N406=1,$N406=2,$N406=3),3,IF(OR($N406=4,$N406=5,$N406=6),4,"")))),IF(OR($N406=9,$N406=10,$N406=11),1,IF(OR($N406=12,$N406=1,$N406=2),2,IF(OR($N406=3,$N406=4,$N406=5),3,IF(OR($N406=6,$N406=7,$N406=8),4,"")))))</f>
        <v/>
      </c>
      <c r="P406" s="445"/>
      <c r="Q406" s="291"/>
      <c r="R406" s="291"/>
      <c r="S406" s="275"/>
      <c r="T406" s="275"/>
      <c r="U406" s="275"/>
      <c r="V406" s="275"/>
      <c r="W406" s="275"/>
      <c r="X406" s="275"/>
      <c r="Y406" s="275"/>
      <c r="Z406" s="275"/>
      <c r="AA406" s="275"/>
      <c r="AB406" s="275"/>
      <c r="AC406" s="275"/>
      <c r="AD406" s="275"/>
      <c r="AE406" s="275"/>
      <c r="AF406" s="275"/>
      <c r="AG406" s="275"/>
      <c r="AH406" s="438"/>
      <c r="AI406" s="439">
        <f t="shared" si="49"/>
        <v>0</v>
      </c>
      <c r="AJ406" s="263"/>
      <c r="AK406" s="263"/>
      <c r="AL406" s="263"/>
      <c r="AM406" s="263"/>
      <c r="AN406" s="263"/>
      <c r="AO406" s="263"/>
      <c r="AP406" s="263"/>
      <c r="AQ406" s="436"/>
      <c r="AR406" s="275"/>
      <c r="AS406" s="275"/>
      <c r="AT406" s="275"/>
      <c r="AU406" s="275"/>
      <c r="AV406" s="275"/>
      <c r="AW406" s="275"/>
      <c r="AX406" s="275"/>
      <c r="AY406" s="437"/>
      <c r="AZ406" s="440">
        <f t="shared" si="50"/>
        <v>0</v>
      </c>
      <c r="BA406" s="275"/>
      <c r="BB406" s="275"/>
      <c r="BC406" s="275"/>
      <c r="BD406" s="275"/>
      <c r="BE406" s="275"/>
      <c r="BF406" s="275"/>
      <c r="BG406" s="275"/>
      <c r="BH406" s="436"/>
      <c r="BI406" s="275"/>
      <c r="BJ406" s="275"/>
      <c r="BK406" s="291"/>
      <c r="BL406" s="291"/>
      <c r="BM406" s="275"/>
      <c r="BN406" s="275"/>
      <c r="BO406" s="438"/>
      <c r="BP406" s="436"/>
      <c r="BQ406" s="275"/>
      <c r="BR406" s="275"/>
      <c r="BS406" s="275"/>
      <c r="BT406" s="275"/>
      <c r="BU406" s="275"/>
      <c r="BV406" s="275"/>
      <c r="BW406" s="275"/>
      <c r="BX406" s="438"/>
      <c r="BY406" s="436"/>
      <c r="BZ406" s="275"/>
      <c r="CA406" s="275"/>
      <c r="CB406" s="275"/>
      <c r="CC406" s="275"/>
      <c r="CD406" s="275"/>
      <c r="CE406" s="275"/>
      <c r="CF406" s="275"/>
      <c r="CG406" s="438"/>
      <c r="CH406" s="436"/>
      <c r="CI406" s="275"/>
      <c r="CJ406" s="275"/>
      <c r="CK406" s="275"/>
      <c r="CL406" s="275"/>
      <c r="CM406" s="275"/>
      <c r="CN406" s="275"/>
      <c r="CO406" s="442"/>
      <c r="CP406" s="443"/>
      <c r="CQ406" s="429">
        <f t="shared" si="51"/>
        <v>0</v>
      </c>
      <c r="CR406" s="430"/>
    </row>
    <row r="407" spans="1:96" ht="25.5" customHeight="1" x14ac:dyDescent="0.2">
      <c r="A407" s="410">
        <f t="shared" si="52"/>
        <v>392</v>
      </c>
      <c r="B407" s="280"/>
      <c r="C407" s="453"/>
      <c r="D407" s="411"/>
      <c r="E407" s="254"/>
      <c r="F407" s="277"/>
      <c r="G407" s="450"/>
      <c r="H407" s="451"/>
      <c r="I407" s="433" t="str">
        <f t="shared" si="46"/>
        <v/>
      </c>
      <c r="J407" s="434">
        <f t="shared" si="47"/>
        <v>0</v>
      </c>
      <c r="K407" s="452"/>
      <c r="L407" s="276"/>
      <c r="M407" s="435"/>
      <c r="N407" s="417" t="str">
        <f t="shared" si="48"/>
        <v/>
      </c>
      <c r="O407" s="418" t="str">
        <f>IF('Data Set up'!$G$40="JUNE",IF(OR($N407=7,$N407=8,$N407=9),1,IF(OR($N407=10,$N407=11,$N407=12),2,IF(OR($N407=1,$N407=2,$N407=3),3,IF(OR($N407=4,$N407=5,$N407=6),4,"")))),IF(OR($N407=9,$N407=10,$N407=11),1,IF(OR($N407=12,$N407=1,$N407=2),2,IF(OR($N407=3,$N407=4,$N407=5),3,IF(OR($N407=6,$N407=7,$N407=8),4,"")))))</f>
        <v/>
      </c>
      <c r="P407" s="445"/>
      <c r="Q407" s="291"/>
      <c r="R407" s="291"/>
      <c r="S407" s="275"/>
      <c r="T407" s="275"/>
      <c r="U407" s="275"/>
      <c r="V407" s="275"/>
      <c r="W407" s="275"/>
      <c r="X407" s="275"/>
      <c r="Y407" s="275"/>
      <c r="Z407" s="275"/>
      <c r="AA407" s="275"/>
      <c r="AB407" s="275"/>
      <c r="AC407" s="275"/>
      <c r="AD407" s="275"/>
      <c r="AE407" s="275"/>
      <c r="AF407" s="275"/>
      <c r="AG407" s="275"/>
      <c r="AH407" s="438"/>
      <c r="AI407" s="439">
        <f t="shared" si="49"/>
        <v>0</v>
      </c>
      <c r="AJ407" s="263"/>
      <c r="AK407" s="263"/>
      <c r="AL407" s="263"/>
      <c r="AM407" s="263"/>
      <c r="AN407" s="263"/>
      <c r="AO407" s="263"/>
      <c r="AP407" s="263"/>
      <c r="AQ407" s="436"/>
      <c r="AR407" s="275"/>
      <c r="AS407" s="275"/>
      <c r="AT407" s="275"/>
      <c r="AU407" s="275"/>
      <c r="AV407" s="275"/>
      <c r="AW407" s="275"/>
      <c r="AX407" s="275"/>
      <c r="AY407" s="437"/>
      <c r="AZ407" s="440">
        <f t="shared" si="50"/>
        <v>0</v>
      </c>
      <c r="BA407" s="275"/>
      <c r="BB407" s="275"/>
      <c r="BC407" s="275"/>
      <c r="BD407" s="275"/>
      <c r="BE407" s="275"/>
      <c r="BF407" s="275"/>
      <c r="BG407" s="275"/>
      <c r="BH407" s="436"/>
      <c r="BI407" s="275"/>
      <c r="BJ407" s="275"/>
      <c r="BK407" s="291"/>
      <c r="BL407" s="291"/>
      <c r="BM407" s="275"/>
      <c r="BN407" s="275"/>
      <c r="BO407" s="438"/>
      <c r="BP407" s="436"/>
      <c r="BQ407" s="275"/>
      <c r="BR407" s="275"/>
      <c r="BS407" s="275"/>
      <c r="BT407" s="275"/>
      <c r="BU407" s="275"/>
      <c r="BV407" s="275"/>
      <c r="BW407" s="275"/>
      <c r="BX407" s="438"/>
      <c r="BY407" s="436"/>
      <c r="BZ407" s="275"/>
      <c r="CA407" s="275"/>
      <c r="CB407" s="275"/>
      <c r="CC407" s="275"/>
      <c r="CD407" s="275"/>
      <c r="CE407" s="275"/>
      <c r="CF407" s="275"/>
      <c r="CG407" s="438"/>
      <c r="CH407" s="436"/>
      <c r="CI407" s="275"/>
      <c r="CJ407" s="275"/>
      <c r="CK407" s="275"/>
      <c r="CL407" s="275"/>
      <c r="CM407" s="275"/>
      <c r="CN407" s="275"/>
      <c r="CO407" s="442"/>
      <c r="CP407" s="443"/>
      <c r="CQ407" s="429">
        <f t="shared" si="51"/>
        <v>0</v>
      </c>
      <c r="CR407" s="430"/>
    </row>
    <row r="408" spans="1:96" ht="25.5" customHeight="1" x14ac:dyDescent="0.2">
      <c r="A408" s="410">
        <f t="shared" si="52"/>
        <v>393</v>
      </c>
      <c r="B408" s="280"/>
      <c r="C408" s="453"/>
      <c r="D408" s="411"/>
      <c r="E408" s="254"/>
      <c r="F408" s="277"/>
      <c r="G408" s="450"/>
      <c r="H408" s="451"/>
      <c r="I408" s="433" t="str">
        <f t="shared" si="46"/>
        <v/>
      </c>
      <c r="J408" s="434">
        <f t="shared" si="47"/>
        <v>0</v>
      </c>
      <c r="K408" s="452"/>
      <c r="L408" s="276"/>
      <c r="M408" s="435"/>
      <c r="N408" s="417" t="str">
        <f t="shared" si="48"/>
        <v/>
      </c>
      <c r="O408" s="418" t="str">
        <f>IF('Data Set up'!$G$40="JUNE",IF(OR($N408=7,$N408=8,$N408=9),1,IF(OR($N408=10,$N408=11,$N408=12),2,IF(OR($N408=1,$N408=2,$N408=3),3,IF(OR($N408=4,$N408=5,$N408=6),4,"")))),IF(OR($N408=9,$N408=10,$N408=11),1,IF(OR($N408=12,$N408=1,$N408=2),2,IF(OR($N408=3,$N408=4,$N408=5),3,IF(OR($N408=6,$N408=7,$N408=8),4,"")))))</f>
        <v/>
      </c>
      <c r="P408" s="445"/>
      <c r="Q408" s="291"/>
      <c r="R408" s="291"/>
      <c r="S408" s="275"/>
      <c r="T408" s="275"/>
      <c r="U408" s="275"/>
      <c r="V408" s="275"/>
      <c r="W408" s="275"/>
      <c r="X408" s="275"/>
      <c r="Y408" s="275"/>
      <c r="Z408" s="275"/>
      <c r="AA408" s="275"/>
      <c r="AB408" s="275"/>
      <c r="AC408" s="275"/>
      <c r="AD408" s="275"/>
      <c r="AE408" s="275"/>
      <c r="AF408" s="275"/>
      <c r="AG408" s="275"/>
      <c r="AH408" s="438"/>
      <c r="AI408" s="439">
        <f t="shared" si="49"/>
        <v>0</v>
      </c>
      <c r="AJ408" s="263"/>
      <c r="AK408" s="263"/>
      <c r="AL408" s="263"/>
      <c r="AM408" s="263"/>
      <c r="AN408" s="263"/>
      <c r="AO408" s="263"/>
      <c r="AP408" s="263"/>
      <c r="AQ408" s="436"/>
      <c r="AR408" s="275"/>
      <c r="AS408" s="275"/>
      <c r="AT408" s="275"/>
      <c r="AU408" s="275"/>
      <c r="AV408" s="275"/>
      <c r="AW408" s="275"/>
      <c r="AX408" s="275"/>
      <c r="AY408" s="437"/>
      <c r="AZ408" s="440">
        <f t="shared" si="50"/>
        <v>0</v>
      </c>
      <c r="BA408" s="275"/>
      <c r="BB408" s="275"/>
      <c r="BC408" s="275"/>
      <c r="BD408" s="275"/>
      <c r="BE408" s="275"/>
      <c r="BF408" s="275"/>
      <c r="BG408" s="275"/>
      <c r="BH408" s="436"/>
      <c r="BI408" s="275"/>
      <c r="BJ408" s="275"/>
      <c r="BK408" s="291"/>
      <c r="BL408" s="291"/>
      <c r="BM408" s="275"/>
      <c r="BN408" s="275"/>
      <c r="BO408" s="438"/>
      <c r="BP408" s="436"/>
      <c r="BQ408" s="275"/>
      <c r="BR408" s="275"/>
      <c r="BS408" s="275"/>
      <c r="BT408" s="275"/>
      <c r="BU408" s="275"/>
      <c r="BV408" s="275"/>
      <c r="BW408" s="275"/>
      <c r="BX408" s="438"/>
      <c r="BY408" s="436"/>
      <c r="BZ408" s="275"/>
      <c r="CA408" s="275"/>
      <c r="CB408" s="275"/>
      <c r="CC408" s="275"/>
      <c r="CD408" s="275"/>
      <c r="CE408" s="275"/>
      <c r="CF408" s="275"/>
      <c r="CG408" s="438"/>
      <c r="CH408" s="436"/>
      <c r="CI408" s="275"/>
      <c r="CJ408" s="275"/>
      <c r="CK408" s="275"/>
      <c r="CL408" s="275"/>
      <c r="CM408" s="275"/>
      <c r="CN408" s="275"/>
      <c r="CO408" s="442"/>
      <c r="CP408" s="443"/>
      <c r="CQ408" s="429">
        <f t="shared" si="51"/>
        <v>0</v>
      </c>
      <c r="CR408" s="430"/>
    </row>
    <row r="409" spans="1:96" ht="25.5" customHeight="1" x14ac:dyDescent="0.2">
      <c r="A409" s="410">
        <f t="shared" si="52"/>
        <v>394</v>
      </c>
      <c r="B409" s="280"/>
      <c r="C409" s="453"/>
      <c r="D409" s="411"/>
      <c r="E409" s="254"/>
      <c r="F409" s="277"/>
      <c r="G409" s="450"/>
      <c r="H409" s="451"/>
      <c r="I409" s="433" t="str">
        <f t="shared" si="46"/>
        <v/>
      </c>
      <c r="J409" s="434">
        <f t="shared" si="47"/>
        <v>0</v>
      </c>
      <c r="K409" s="452"/>
      <c r="L409" s="276"/>
      <c r="M409" s="435"/>
      <c r="N409" s="417" t="str">
        <f t="shared" si="48"/>
        <v/>
      </c>
      <c r="O409" s="418" t="str">
        <f>IF('Data Set up'!$G$40="JUNE",IF(OR($N409=7,$N409=8,$N409=9),1,IF(OR($N409=10,$N409=11,$N409=12),2,IF(OR($N409=1,$N409=2,$N409=3),3,IF(OR($N409=4,$N409=5,$N409=6),4,"")))),IF(OR($N409=9,$N409=10,$N409=11),1,IF(OR($N409=12,$N409=1,$N409=2),2,IF(OR($N409=3,$N409=4,$N409=5),3,IF(OR($N409=6,$N409=7,$N409=8),4,"")))))</f>
        <v/>
      </c>
      <c r="P409" s="445"/>
      <c r="Q409" s="291"/>
      <c r="R409" s="291"/>
      <c r="S409" s="275"/>
      <c r="T409" s="275"/>
      <c r="U409" s="275"/>
      <c r="V409" s="275"/>
      <c r="W409" s="275"/>
      <c r="X409" s="275"/>
      <c r="Y409" s="275"/>
      <c r="Z409" s="275"/>
      <c r="AA409" s="275"/>
      <c r="AB409" s="275"/>
      <c r="AC409" s="275"/>
      <c r="AD409" s="275"/>
      <c r="AE409" s="275"/>
      <c r="AF409" s="275"/>
      <c r="AG409" s="275"/>
      <c r="AH409" s="438"/>
      <c r="AI409" s="439">
        <f t="shared" si="49"/>
        <v>0</v>
      </c>
      <c r="AJ409" s="263"/>
      <c r="AK409" s="263"/>
      <c r="AL409" s="263"/>
      <c r="AM409" s="263"/>
      <c r="AN409" s="263"/>
      <c r="AO409" s="263"/>
      <c r="AP409" s="263"/>
      <c r="AQ409" s="436"/>
      <c r="AR409" s="275"/>
      <c r="AS409" s="275"/>
      <c r="AT409" s="275"/>
      <c r="AU409" s="275"/>
      <c r="AV409" s="275"/>
      <c r="AW409" s="275"/>
      <c r="AX409" s="275"/>
      <c r="AY409" s="437"/>
      <c r="AZ409" s="440">
        <f t="shared" si="50"/>
        <v>0</v>
      </c>
      <c r="BA409" s="275"/>
      <c r="BB409" s="275"/>
      <c r="BC409" s="275"/>
      <c r="BD409" s="275"/>
      <c r="BE409" s="275"/>
      <c r="BF409" s="275"/>
      <c r="BG409" s="275"/>
      <c r="BH409" s="436"/>
      <c r="BI409" s="275"/>
      <c r="BJ409" s="275"/>
      <c r="BK409" s="291"/>
      <c r="BL409" s="291"/>
      <c r="BM409" s="275"/>
      <c r="BN409" s="275"/>
      <c r="BO409" s="438"/>
      <c r="BP409" s="436"/>
      <c r="BQ409" s="275"/>
      <c r="BR409" s="275"/>
      <c r="BS409" s="275"/>
      <c r="BT409" s="275"/>
      <c r="BU409" s="275"/>
      <c r="BV409" s="275"/>
      <c r="BW409" s="275"/>
      <c r="BX409" s="438"/>
      <c r="BY409" s="436"/>
      <c r="BZ409" s="275"/>
      <c r="CA409" s="275"/>
      <c r="CB409" s="275"/>
      <c r="CC409" s="275"/>
      <c r="CD409" s="275"/>
      <c r="CE409" s="275"/>
      <c r="CF409" s="275"/>
      <c r="CG409" s="438"/>
      <c r="CH409" s="436"/>
      <c r="CI409" s="275"/>
      <c r="CJ409" s="275"/>
      <c r="CK409" s="275"/>
      <c r="CL409" s="275"/>
      <c r="CM409" s="275"/>
      <c r="CN409" s="275"/>
      <c r="CO409" s="442"/>
      <c r="CP409" s="443"/>
      <c r="CQ409" s="429">
        <f t="shared" si="51"/>
        <v>0</v>
      </c>
      <c r="CR409" s="430"/>
    </row>
    <row r="410" spans="1:96" ht="25.5" customHeight="1" x14ac:dyDescent="0.2">
      <c r="A410" s="410">
        <f t="shared" si="52"/>
        <v>395</v>
      </c>
      <c r="B410" s="280"/>
      <c r="C410" s="453"/>
      <c r="D410" s="411"/>
      <c r="E410" s="254"/>
      <c r="F410" s="277"/>
      <c r="G410" s="450"/>
      <c r="H410" s="451"/>
      <c r="I410" s="433" t="str">
        <f t="shared" si="46"/>
        <v/>
      </c>
      <c r="J410" s="434">
        <f t="shared" si="47"/>
        <v>0</v>
      </c>
      <c r="K410" s="452"/>
      <c r="L410" s="276"/>
      <c r="M410" s="435"/>
      <c r="N410" s="417" t="str">
        <f t="shared" si="48"/>
        <v/>
      </c>
      <c r="O410" s="418" t="str">
        <f>IF('Data Set up'!$G$40="JUNE",IF(OR($N410=7,$N410=8,$N410=9),1,IF(OR($N410=10,$N410=11,$N410=12),2,IF(OR($N410=1,$N410=2,$N410=3),3,IF(OR($N410=4,$N410=5,$N410=6),4,"")))),IF(OR($N410=9,$N410=10,$N410=11),1,IF(OR($N410=12,$N410=1,$N410=2),2,IF(OR($N410=3,$N410=4,$N410=5),3,IF(OR($N410=6,$N410=7,$N410=8),4,"")))))</f>
        <v/>
      </c>
      <c r="P410" s="445"/>
      <c r="Q410" s="291"/>
      <c r="R410" s="291"/>
      <c r="S410" s="275"/>
      <c r="T410" s="275"/>
      <c r="U410" s="275"/>
      <c r="V410" s="275"/>
      <c r="W410" s="275"/>
      <c r="X410" s="275"/>
      <c r="Y410" s="275"/>
      <c r="Z410" s="275"/>
      <c r="AA410" s="275"/>
      <c r="AB410" s="275"/>
      <c r="AC410" s="275"/>
      <c r="AD410" s="275"/>
      <c r="AE410" s="275"/>
      <c r="AF410" s="275"/>
      <c r="AG410" s="275"/>
      <c r="AH410" s="438"/>
      <c r="AI410" s="439">
        <f t="shared" si="49"/>
        <v>0</v>
      </c>
      <c r="AJ410" s="263"/>
      <c r="AK410" s="263"/>
      <c r="AL410" s="263"/>
      <c r="AM410" s="263"/>
      <c r="AN410" s="263"/>
      <c r="AO410" s="263"/>
      <c r="AP410" s="263"/>
      <c r="AQ410" s="436"/>
      <c r="AR410" s="275"/>
      <c r="AS410" s="275"/>
      <c r="AT410" s="275"/>
      <c r="AU410" s="275"/>
      <c r="AV410" s="275"/>
      <c r="AW410" s="275"/>
      <c r="AX410" s="275"/>
      <c r="AY410" s="437"/>
      <c r="AZ410" s="440">
        <f t="shared" si="50"/>
        <v>0</v>
      </c>
      <c r="BA410" s="275"/>
      <c r="BB410" s="275"/>
      <c r="BC410" s="275"/>
      <c r="BD410" s="275"/>
      <c r="BE410" s="275"/>
      <c r="BF410" s="275"/>
      <c r="BG410" s="275"/>
      <c r="BH410" s="436"/>
      <c r="BI410" s="275"/>
      <c r="BJ410" s="275"/>
      <c r="BK410" s="291"/>
      <c r="BL410" s="291"/>
      <c r="BM410" s="275"/>
      <c r="BN410" s="275"/>
      <c r="BO410" s="438"/>
      <c r="BP410" s="436"/>
      <c r="BQ410" s="275"/>
      <c r="BR410" s="275"/>
      <c r="BS410" s="275"/>
      <c r="BT410" s="275"/>
      <c r="BU410" s="275"/>
      <c r="BV410" s="275"/>
      <c r="BW410" s="275"/>
      <c r="BX410" s="438"/>
      <c r="BY410" s="436"/>
      <c r="BZ410" s="275"/>
      <c r="CA410" s="275"/>
      <c r="CB410" s="275"/>
      <c r="CC410" s="275"/>
      <c r="CD410" s="275"/>
      <c r="CE410" s="275"/>
      <c r="CF410" s="275"/>
      <c r="CG410" s="438"/>
      <c r="CH410" s="436"/>
      <c r="CI410" s="275"/>
      <c r="CJ410" s="275"/>
      <c r="CK410" s="275"/>
      <c r="CL410" s="275"/>
      <c r="CM410" s="275"/>
      <c r="CN410" s="275"/>
      <c r="CO410" s="442"/>
      <c r="CP410" s="443"/>
      <c r="CQ410" s="429">
        <f t="shared" si="51"/>
        <v>0</v>
      </c>
      <c r="CR410" s="430"/>
    </row>
    <row r="411" spans="1:96" ht="25.5" customHeight="1" x14ac:dyDescent="0.2">
      <c r="A411" s="410">
        <f t="shared" si="52"/>
        <v>396</v>
      </c>
      <c r="B411" s="280"/>
      <c r="C411" s="453"/>
      <c r="D411" s="411"/>
      <c r="E411" s="254"/>
      <c r="F411" s="277"/>
      <c r="G411" s="450"/>
      <c r="H411" s="451"/>
      <c r="I411" s="433" t="str">
        <f t="shared" si="46"/>
        <v/>
      </c>
      <c r="J411" s="434">
        <f t="shared" si="47"/>
        <v>0</v>
      </c>
      <c r="K411" s="452"/>
      <c r="L411" s="276"/>
      <c r="M411" s="435"/>
      <c r="N411" s="417" t="str">
        <f t="shared" si="48"/>
        <v/>
      </c>
      <c r="O411" s="418" t="str">
        <f>IF('Data Set up'!$G$40="JUNE",IF(OR($N411=7,$N411=8,$N411=9),1,IF(OR($N411=10,$N411=11,$N411=12),2,IF(OR($N411=1,$N411=2,$N411=3),3,IF(OR($N411=4,$N411=5,$N411=6),4,"")))),IF(OR($N411=9,$N411=10,$N411=11),1,IF(OR($N411=12,$N411=1,$N411=2),2,IF(OR($N411=3,$N411=4,$N411=5),3,IF(OR($N411=6,$N411=7,$N411=8),4,"")))))</f>
        <v/>
      </c>
      <c r="P411" s="445"/>
      <c r="Q411" s="291"/>
      <c r="R411" s="291"/>
      <c r="S411" s="275"/>
      <c r="T411" s="275"/>
      <c r="U411" s="275"/>
      <c r="V411" s="275"/>
      <c r="W411" s="275"/>
      <c r="X411" s="275"/>
      <c r="Y411" s="275"/>
      <c r="Z411" s="275"/>
      <c r="AA411" s="275"/>
      <c r="AB411" s="275"/>
      <c r="AC411" s="275"/>
      <c r="AD411" s="275"/>
      <c r="AE411" s="275"/>
      <c r="AF411" s="275"/>
      <c r="AG411" s="275"/>
      <c r="AH411" s="438"/>
      <c r="AI411" s="439">
        <f t="shared" si="49"/>
        <v>0</v>
      </c>
      <c r="AJ411" s="263"/>
      <c r="AK411" s="263"/>
      <c r="AL411" s="263"/>
      <c r="AM411" s="263"/>
      <c r="AN411" s="263"/>
      <c r="AO411" s="263"/>
      <c r="AP411" s="263"/>
      <c r="AQ411" s="436"/>
      <c r="AR411" s="275"/>
      <c r="AS411" s="275"/>
      <c r="AT411" s="275"/>
      <c r="AU411" s="275"/>
      <c r="AV411" s="275"/>
      <c r="AW411" s="275"/>
      <c r="AX411" s="275"/>
      <c r="AY411" s="437"/>
      <c r="AZ411" s="440">
        <f t="shared" si="50"/>
        <v>0</v>
      </c>
      <c r="BA411" s="275"/>
      <c r="BB411" s="275"/>
      <c r="BC411" s="275"/>
      <c r="BD411" s="275"/>
      <c r="BE411" s="275"/>
      <c r="BF411" s="275"/>
      <c r="BG411" s="275"/>
      <c r="BH411" s="436"/>
      <c r="BI411" s="275"/>
      <c r="BJ411" s="275"/>
      <c r="BK411" s="291"/>
      <c r="BL411" s="291"/>
      <c r="BM411" s="275"/>
      <c r="BN411" s="275"/>
      <c r="BO411" s="438"/>
      <c r="BP411" s="436"/>
      <c r="BQ411" s="275"/>
      <c r="BR411" s="275"/>
      <c r="BS411" s="275"/>
      <c r="BT411" s="275"/>
      <c r="BU411" s="275"/>
      <c r="BV411" s="275"/>
      <c r="BW411" s="275"/>
      <c r="BX411" s="438"/>
      <c r="BY411" s="436"/>
      <c r="BZ411" s="275"/>
      <c r="CA411" s="275"/>
      <c r="CB411" s="275"/>
      <c r="CC411" s="275"/>
      <c r="CD411" s="275"/>
      <c r="CE411" s="275"/>
      <c r="CF411" s="275"/>
      <c r="CG411" s="438"/>
      <c r="CH411" s="436"/>
      <c r="CI411" s="275"/>
      <c r="CJ411" s="275"/>
      <c r="CK411" s="275"/>
      <c r="CL411" s="275"/>
      <c r="CM411" s="275"/>
      <c r="CN411" s="275"/>
      <c r="CO411" s="442"/>
      <c r="CP411" s="443"/>
      <c r="CQ411" s="429">
        <f t="shared" si="51"/>
        <v>0</v>
      </c>
      <c r="CR411" s="430"/>
    </row>
    <row r="412" spans="1:96" ht="25.5" customHeight="1" x14ac:dyDescent="0.2">
      <c r="A412" s="410">
        <f t="shared" si="52"/>
        <v>397</v>
      </c>
      <c r="B412" s="280"/>
      <c r="C412" s="453"/>
      <c r="D412" s="411"/>
      <c r="E412" s="254"/>
      <c r="F412" s="277"/>
      <c r="G412" s="450"/>
      <c r="H412" s="451"/>
      <c r="I412" s="433" t="str">
        <f t="shared" si="46"/>
        <v/>
      </c>
      <c r="J412" s="434">
        <f t="shared" si="47"/>
        <v>0</v>
      </c>
      <c r="K412" s="452"/>
      <c r="L412" s="276"/>
      <c r="M412" s="435"/>
      <c r="N412" s="417" t="str">
        <f t="shared" si="48"/>
        <v/>
      </c>
      <c r="O412" s="418" t="str">
        <f>IF('Data Set up'!$G$40="JUNE",IF(OR($N412=7,$N412=8,$N412=9),1,IF(OR($N412=10,$N412=11,$N412=12),2,IF(OR($N412=1,$N412=2,$N412=3),3,IF(OR($N412=4,$N412=5,$N412=6),4,"")))),IF(OR($N412=9,$N412=10,$N412=11),1,IF(OR($N412=12,$N412=1,$N412=2),2,IF(OR($N412=3,$N412=4,$N412=5),3,IF(OR($N412=6,$N412=7,$N412=8),4,"")))))</f>
        <v/>
      </c>
      <c r="P412" s="445"/>
      <c r="Q412" s="291"/>
      <c r="R412" s="291"/>
      <c r="S412" s="275"/>
      <c r="T412" s="275"/>
      <c r="U412" s="275"/>
      <c r="V412" s="275"/>
      <c r="W412" s="275"/>
      <c r="X412" s="275"/>
      <c r="Y412" s="275"/>
      <c r="Z412" s="275"/>
      <c r="AA412" s="275"/>
      <c r="AB412" s="275"/>
      <c r="AC412" s="275"/>
      <c r="AD412" s="275"/>
      <c r="AE412" s="275"/>
      <c r="AF412" s="275"/>
      <c r="AG412" s="275"/>
      <c r="AH412" s="438"/>
      <c r="AI412" s="439">
        <f t="shared" si="49"/>
        <v>0</v>
      </c>
      <c r="AJ412" s="263"/>
      <c r="AK412" s="263"/>
      <c r="AL412" s="263"/>
      <c r="AM412" s="263"/>
      <c r="AN412" s="263"/>
      <c r="AO412" s="263"/>
      <c r="AP412" s="263"/>
      <c r="AQ412" s="436"/>
      <c r="AR412" s="275"/>
      <c r="AS412" s="275"/>
      <c r="AT412" s="275"/>
      <c r="AU412" s="275"/>
      <c r="AV412" s="275"/>
      <c r="AW412" s="275"/>
      <c r="AX412" s="275"/>
      <c r="AY412" s="437"/>
      <c r="AZ412" s="440">
        <f t="shared" si="50"/>
        <v>0</v>
      </c>
      <c r="BA412" s="275"/>
      <c r="BB412" s="275"/>
      <c r="BC412" s="275"/>
      <c r="BD412" s="275"/>
      <c r="BE412" s="275"/>
      <c r="BF412" s="275"/>
      <c r="BG412" s="275"/>
      <c r="BH412" s="436"/>
      <c r="BI412" s="275"/>
      <c r="BJ412" s="275"/>
      <c r="BK412" s="291"/>
      <c r="BL412" s="291"/>
      <c r="BM412" s="275"/>
      <c r="BN412" s="275"/>
      <c r="BO412" s="438"/>
      <c r="BP412" s="436"/>
      <c r="BQ412" s="275"/>
      <c r="BR412" s="275"/>
      <c r="BS412" s="275"/>
      <c r="BT412" s="275"/>
      <c r="BU412" s="275"/>
      <c r="BV412" s="275"/>
      <c r="BW412" s="275"/>
      <c r="BX412" s="438"/>
      <c r="BY412" s="436"/>
      <c r="BZ412" s="275"/>
      <c r="CA412" s="275"/>
      <c r="CB412" s="275"/>
      <c r="CC412" s="275"/>
      <c r="CD412" s="275"/>
      <c r="CE412" s="275"/>
      <c r="CF412" s="275"/>
      <c r="CG412" s="438"/>
      <c r="CH412" s="436"/>
      <c r="CI412" s="275"/>
      <c r="CJ412" s="275"/>
      <c r="CK412" s="275"/>
      <c r="CL412" s="275"/>
      <c r="CM412" s="275"/>
      <c r="CN412" s="275"/>
      <c r="CO412" s="442"/>
      <c r="CP412" s="443"/>
      <c r="CQ412" s="429">
        <f t="shared" si="51"/>
        <v>0</v>
      </c>
      <c r="CR412" s="430"/>
    </row>
    <row r="413" spans="1:96" ht="25.5" customHeight="1" x14ac:dyDescent="0.2">
      <c r="A413" s="410">
        <f t="shared" si="52"/>
        <v>398</v>
      </c>
      <c r="B413" s="280"/>
      <c r="C413" s="453"/>
      <c r="D413" s="411"/>
      <c r="E413" s="254"/>
      <c r="F413" s="277"/>
      <c r="G413" s="450"/>
      <c r="H413" s="451"/>
      <c r="I413" s="433" t="str">
        <f t="shared" si="46"/>
        <v/>
      </c>
      <c r="J413" s="434">
        <f t="shared" si="47"/>
        <v>0</v>
      </c>
      <c r="K413" s="452"/>
      <c r="L413" s="276"/>
      <c r="M413" s="435"/>
      <c r="N413" s="417" t="str">
        <f t="shared" si="48"/>
        <v/>
      </c>
      <c r="O413" s="418" t="str">
        <f>IF('Data Set up'!$G$40="JUNE",IF(OR($N413=7,$N413=8,$N413=9),1,IF(OR($N413=10,$N413=11,$N413=12),2,IF(OR($N413=1,$N413=2,$N413=3),3,IF(OR($N413=4,$N413=5,$N413=6),4,"")))),IF(OR($N413=9,$N413=10,$N413=11),1,IF(OR($N413=12,$N413=1,$N413=2),2,IF(OR($N413=3,$N413=4,$N413=5),3,IF(OR($N413=6,$N413=7,$N413=8),4,"")))))</f>
        <v/>
      </c>
      <c r="P413" s="445"/>
      <c r="Q413" s="291"/>
      <c r="R413" s="291"/>
      <c r="S413" s="275"/>
      <c r="T413" s="275"/>
      <c r="U413" s="275"/>
      <c r="V413" s="275"/>
      <c r="W413" s="275"/>
      <c r="X413" s="275"/>
      <c r="Y413" s="275"/>
      <c r="Z413" s="275"/>
      <c r="AA413" s="275"/>
      <c r="AB413" s="275"/>
      <c r="AC413" s="275"/>
      <c r="AD413" s="275"/>
      <c r="AE413" s="275"/>
      <c r="AF413" s="275"/>
      <c r="AG413" s="275"/>
      <c r="AH413" s="438"/>
      <c r="AI413" s="439">
        <f t="shared" si="49"/>
        <v>0</v>
      </c>
      <c r="AJ413" s="263"/>
      <c r="AK413" s="263"/>
      <c r="AL413" s="263"/>
      <c r="AM413" s="263"/>
      <c r="AN413" s="263"/>
      <c r="AO413" s="263"/>
      <c r="AP413" s="263"/>
      <c r="AQ413" s="436"/>
      <c r="AR413" s="275"/>
      <c r="AS413" s="275"/>
      <c r="AT413" s="275"/>
      <c r="AU413" s="275"/>
      <c r="AV413" s="275"/>
      <c r="AW413" s="275"/>
      <c r="AX413" s="275"/>
      <c r="AY413" s="437"/>
      <c r="AZ413" s="440">
        <f t="shared" si="50"/>
        <v>0</v>
      </c>
      <c r="BA413" s="275"/>
      <c r="BB413" s="275"/>
      <c r="BC413" s="275"/>
      <c r="BD413" s="275"/>
      <c r="BE413" s="275"/>
      <c r="BF413" s="275"/>
      <c r="BG413" s="275"/>
      <c r="BH413" s="436"/>
      <c r="BI413" s="275"/>
      <c r="BJ413" s="275"/>
      <c r="BK413" s="291"/>
      <c r="BL413" s="291"/>
      <c r="BM413" s="275"/>
      <c r="BN413" s="275"/>
      <c r="BO413" s="438"/>
      <c r="BP413" s="436"/>
      <c r="BQ413" s="275"/>
      <c r="BR413" s="275"/>
      <c r="BS413" s="275"/>
      <c r="BT413" s="275"/>
      <c r="BU413" s="275"/>
      <c r="BV413" s="275"/>
      <c r="BW413" s="275"/>
      <c r="BX413" s="438"/>
      <c r="BY413" s="436"/>
      <c r="BZ413" s="275"/>
      <c r="CA413" s="275"/>
      <c r="CB413" s="275"/>
      <c r="CC413" s="275"/>
      <c r="CD413" s="275"/>
      <c r="CE413" s="275"/>
      <c r="CF413" s="275"/>
      <c r="CG413" s="438"/>
      <c r="CH413" s="436"/>
      <c r="CI413" s="275"/>
      <c r="CJ413" s="275"/>
      <c r="CK413" s="275"/>
      <c r="CL413" s="275"/>
      <c r="CM413" s="275"/>
      <c r="CN413" s="275"/>
      <c r="CO413" s="442"/>
      <c r="CP413" s="443"/>
      <c r="CQ413" s="429">
        <f t="shared" si="51"/>
        <v>0</v>
      </c>
      <c r="CR413" s="430"/>
    </row>
    <row r="414" spans="1:96" ht="25.5" customHeight="1" x14ac:dyDescent="0.2">
      <c r="A414" s="410">
        <f t="shared" si="52"/>
        <v>399</v>
      </c>
      <c r="B414" s="280"/>
      <c r="C414" s="453"/>
      <c r="D414" s="411"/>
      <c r="E414" s="254"/>
      <c r="F414" s="277"/>
      <c r="G414" s="450"/>
      <c r="H414" s="451"/>
      <c r="I414" s="433" t="str">
        <f t="shared" si="46"/>
        <v/>
      </c>
      <c r="J414" s="434">
        <f t="shared" si="47"/>
        <v>0</v>
      </c>
      <c r="K414" s="452"/>
      <c r="L414" s="276"/>
      <c r="M414" s="435"/>
      <c r="N414" s="417" t="str">
        <f t="shared" si="48"/>
        <v/>
      </c>
      <c r="O414" s="418" t="str">
        <f>IF('Data Set up'!$G$40="JUNE",IF(OR($N414=7,$N414=8,$N414=9),1,IF(OR($N414=10,$N414=11,$N414=12),2,IF(OR($N414=1,$N414=2,$N414=3),3,IF(OR($N414=4,$N414=5,$N414=6),4,"")))),IF(OR($N414=9,$N414=10,$N414=11),1,IF(OR($N414=12,$N414=1,$N414=2),2,IF(OR($N414=3,$N414=4,$N414=5),3,IF(OR($N414=6,$N414=7,$N414=8),4,"")))))</f>
        <v/>
      </c>
      <c r="P414" s="445"/>
      <c r="Q414" s="291"/>
      <c r="R414" s="291"/>
      <c r="S414" s="275"/>
      <c r="T414" s="275"/>
      <c r="U414" s="275"/>
      <c r="V414" s="275"/>
      <c r="W414" s="275"/>
      <c r="X414" s="275"/>
      <c r="Y414" s="275"/>
      <c r="Z414" s="275"/>
      <c r="AA414" s="275"/>
      <c r="AB414" s="275"/>
      <c r="AC414" s="275"/>
      <c r="AD414" s="275"/>
      <c r="AE414" s="275"/>
      <c r="AF414" s="275"/>
      <c r="AG414" s="275"/>
      <c r="AH414" s="438"/>
      <c r="AI414" s="439">
        <f t="shared" si="49"/>
        <v>0</v>
      </c>
      <c r="AJ414" s="263"/>
      <c r="AK414" s="263"/>
      <c r="AL414" s="263"/>
      <c r="AM414" s="263"/>
      <c r="AN414" s="263"/>
      <c r="AO414" s="263"/>
      <c r="AP414" s="263"/>
      <c r="AQ414" s="436"/>
      <c r="AR414" s="275"/>
      <c r="AS414" s="275"/>
      <c r="AT414" s="275"/>
      <c r="AU414" s="275"/>
      <c r="AV414" s="275"/>
      <c r="AW414" s="275"/>
      <c r="AX414" s="275"/>
      <c r="AY414" s="437"/>
      <c r="AZ414" s="440">
        <f t="shared" si="50"/>
        <v>0</v>
      </c>
      <c r="BA414" s="275"/>
      <c r="BB414" s="275"/>
      <c r="BC414" s="275"/>
      <c r="BD414" s="275"/>
      <c r="BE414" s="275"/>
      <c r="BF414" s="275"/>
      <c r="BG414" s="275"/>
      <c r="BH414" s="436"/>
      <c r="BI414" s="275"/>
      <c r="BJ414" s="275"/>
      <c r="BK414" s="291"/>
      <c r="BL414" s="291"/>
      <c r="BM414" s="275"/>
      <c r="BN414" s="275"/>
      <c r="BO414" s="438"/>
      <c r="BP414" s="436"/>
      <c r="BQ414" s="275"/>
      <c r="BR414" s="275"/>
      <c r="BS414" s="275"/>
      <c r="BT414" s="275"/>
      <c r="BU414" s="275"/>
      <c r="BV414" s="275"/>
      <c r="BW414" s="275"/>
      <c r="BX414" s="438"/>
      <c r="BY414" s="436"/>
      <c r="BZ414" s="275"/>
      <c r="CA414" s="275"/>
      <c r="CB414" s="275"/>
      <c r="CC414" s="275"/>
      <c r="CD414" s="275"/>
      <c r="CE414" s="275"/>
      <c r="CF414" s="275"/>
      <c r="CG414" s="438"/>
      <c r="CH414" s="436"/>
      <c r="CI414" s="275"/>
      <c r="CJ414" s="275"/>
      <c r="CK414" s="275"/>
      <c r="CL414" s="275"/>
      <c r="CM414" s="275"/>
      <c r="CN414" s="275"/>
      <c r="CO414" s="442"/>
      <c r="CP414" s="443"/>
      <c r="CQ414" s="429">
        <f t="shared" si="51"/>
        <v>0</v>
      </c>
      <c r="CR414" s="430"/>
    </row>
    <row r="415" spans="1:96" ht="25.5" customHeight="1" x14ac:dyDescent="0.2">
      <c r="A415" s="410">
        <f t="shared" si="52"/>
        <v>400</v>
      </c>
      <c r="B415" s="280"/>
      <c r="C415" s="453"/>
      <c r="D415" s="411"/>
      <c r="E415" s="254"/>
      <c r="F415" s="277"/>
      <c r="G415" s="450"/>
      <c r="H415" s="451"/>
      <c r="I415" s="433" t="str">
        <f t="shared" si="46"/>
        <v/>
      </c>
      <c r="J415" s="434">
        <f t="shared" si="47"/>
        <v>0</v>
      </c>
      <c r="K415" s="452"/>
      <c r="L415" s="276"/>
      <c r="M415" s="435"/>
      <c r="N415" s="417" t="str">
        <f t="shared" si="48"/>
        <v/>
      </c>
      <c r="O415" s="418" t="str">
        <f>IF('Data Set up'!$G$40="JUNE",IF(OR($N415=7,$N415=8,$N415=9),1,IF(OR($N415=10,$N415=11,$N415=12),2,IF(OR($N415=1,$N415=2,$N415=3),3,IF(OR($N415=4,$N415=5,$N415=6),4,"")))),IF(OR($N415=9,$N415=10,$N415=11),1,IF(OR($N415=12,$N415=1,$N415=2),2,IF(OR($N415=3,$N415=4,$N415=5),3,IF(OR($N415=6,$N415=7,$N415=8),4,"")))))</f>
        <v/>
      </c>
      <c r="P415" s="445"/>
      <c r="Q415" s="291"/>
      <c r="R415" s="291"/>
      <c r="S415" s="275"/>
      <c r="T415" s="275"/>
      <c r="U415" s="275"/>
      <c r="V415" s="275"/>
      <c r="W415" s="275"/>
      <c r="X415" s="275"/>
      <c r="Y415" s="275"/>
      <c r="Z415" s="275"/>
      <c r="AA415" s="275"/>
      <c r="AB415" s="275"/>
      <c r="AC415" s="275"/>
      <c r="AD415" s="275"/>
      <c r="AE415" s="275"/>
      <c r="AF415" s="275"/>
      <c r="AG415" s="275"/>
      <c r="AH415" s="438"/>
      <c r="AI415" s="439">
        <f t="shared" si="49"/>
        <v>0</v>
      </c>
      <c r="AJ415" s="263"/>
      <c r="AK415" s="263"/>
      <c r="AL415" s="263"/>
      <c r="AM415" s="263"/>
      <c r="AN415" s="263"/>
      <c r="AO415" s="263"/>
      <c r="AP415" s="263"/>
      <c r="AQ415" s="436"/>
      <c r="AR415" s="275"/>
      <c r="AS415" s="275"/>
      <c r="AT415" s="275"/>
      <c r="AU415" s="275"/>
      <c r="AV415" s="275"/>
      <c r="AW415" s="275"/>
      <c r="AX415" s="275"/>
      <c r="AY415" s="437"/>
      <c r="AZ415" s="440">
        <f t="shared" si="50"/>
        <v>0</v>
      </c>
      <c r="BA415" s="275"/>
      <c r="BB415" s="275"/>
      <c r="BC415" s="275"/>
      <c r="BD415" s="275"/>
      <c r="BE415" s="275"/>
      <c r="BF415" s="275"/>
      <c r="BG415" s="275"/>
      <c r="BH415" s="436"/>
      <c r="BI415" s="275"/>
      <c r="BJ415" s="275"/>
      <c r="BK415" s="291"/>
      <c r="BL415" s="291"/>
      <c r="BM415" s="275"/>
      <c r="BN415" s="275"/>
      <c r="BO415" s="438"/>
      <c r="BP415" s="436"/>
      <c r="BQ415" s="275"/>
      <c r="BR415" s="275"/>
      <c r="BS415" s="275"/>
      <c r="BT415" s="275"/>
      <c r="BU415" s="275"/>
      <c r="BV415" s="275"/>
      <c r="BW415" s="275"/>
      <c r="BX415" s="438"/>
      <c r="BY415" s="436"/>
      <c r="BZ415" s="275"/>
      <c r="CA415" s="275"/>
      <c r="CB415" s="275"/>
      <c r="CC415" s="275"/>
      <c r="CD415" s="275"/>
      <c r="CE415" s="275"/>
      <c r="CF415" s="275"/>
      <c r="CG415" s="438"/>
      <c r="CH415" s="436"/>
      <c r="CI415" s="275"/>
      <c r="CJ415" s="275"/>
      <c r="CK415" s="275"/>
      <c r="CL415" s="275"/>
      <c r="CM415" s="275"/>
      <c r="CN415" s="275"/>
      <c r="CO415" s="442"/>
      <c r="CP415" s="443"/>
      <c r="CQ415" s="429">
        <f t="shared" si="51"/>
        <v>0</v>
      </c>
      <c r="CR415" s="430"/>
    </row>
    <row r="416" spans="1:96" ht="25.5" customHeight="1" x14ac:dyDescent="0.2">
      <c r="A416" s="410">
        <f t="shared" si="52"/>
        <v>401</v>
      </c>
      <c r="B416" s="280"/>
      <c r="C416" s="453"/>
      <c r="D416" s="411"/>
      <c r="E416" s="254"/>
      <c r="F416" s="277"/>
      <c r="G416" s="450"/>
      <c r="H416" s="451"/>
      <c r="I416" s="433" t="str">
        <f t="shared" si="46"/>
        <v/>
      </c>
      <c r="J416" s="434">
        <f t="shared" si="47"/>
        <v>0</v>
      </c>
      <c r="K416" s="452"/>
      <c r="L416" s="276"/>
      <c r="M416" s="435"/>
      <c r="N416" s="417" t="str">
        <f t="shared" si="48"/>
        <v/>
      </c>
      <c r="O416" s="418" t="str">
        <f>IF('Data Set up'!$G$40="JUNE",IF(OR($N416=7,$N416=8,$N416=9),1,IF(OR($N416=10,$N416=11,$N416=12),2,IF(OR($N416=1,$N416=2,$N416=3),3,IF(OR($N416=4,$N416=5,$N416=6),4,"")))),IF(OR($N416=9,$N416=10,$N416=11),1,IF(OR($N416=12,$N416=1,$N416=2),2,IF(OR($N416=3,$N416=4,$N416=5),3,IF(OR($N416=6,$N416=7,$N416=8),4,"")))))</f>
        <v/>
      </c>
      <c r="P416" s="445"/>
      <c r="Q416" s="291"/>
      <c r="R416" s="291"/>
      <c r="S416" s="275"/>
      <c r="T416" s="275"/>
      <c r="U416" s="275"/>
      <c r="V416" s="275"/>
      <c r="W416" s="275"/>
      <c r="X416" s="275"/>
      <c r="Y416" s="275"/>
      <c r="Z416" s="275"/>
      <c r="AA416" s="275"/>
      <c r="AB416" s="275"/>
      <c r="AC416" s="275"/>
      <c r="AD416" s="275"/>
      <c r="AE416" s="275"/>
      <c r="AF416" s="275"/>
      <c r="AG416" s="275"/>
      <c r="AH416" s="438"/>
      <c r="AI416" s="439">
        <f t="shared" si="49"/>
        <v>0</v>
      </c>
      <c r="AJ416" s="263"/>
      <c r="AK416" s="263"/>
      <c r="AL416" s="263"/>
      <c r="AM416" s="263"/>
      <c r="AN416" s="263"/>
      <c r="AO416" s="263"/>
      <c r="AP416" s="263"/>
      <c r="AQ416" s="436"/>
      <c r="AR416" s="275"/>
      <c r="AS416" s="275"/>
      <c r="AT416" s="275"/>
      <c r="AU416" s="275"/>
      <c r="AV416" s="275"/>
      <c r="AW416" s="275"/>
      <c r="AX416" s="275"/>
      <c r="AY416" s="437"/>
      <c r="AZ416" s="440">
        <f t="shared" si="50"/>
        <v>0</v>
      </c>
      <c r="BA416" s="275"/>
      <c r="BB416" s="275"/>
      <c r="BC416" s="275"/>
      <c r="BD416" s="275"/>
      <c r="BE416" s="275"/>
      <c r="BF416" s="275"/>
      <c r="BG416" s="275"/>
      <c r="BH416" s="436"/>
      <c r="BI416" s="275"/>
      <c r="BJ416" s="275"/>
      <c r="BK416" s="291"/>
      <c r="BL416" s="291"/>
      <c r="BM416" s="275"/>
      <c r="BN416" s="275"/>
      <c r="BO416" s="438"/>
      <c r="BP416" s="436"/>
      <c r="BQ416" s="275"/>
      <c r="BR416" s="275"/>
      <c r="BS416" s="275"/>
      <c r="BT416" s="275"/>
      <c r="BU416" s="275"/>
      <c r="BV416" s="275"/>
      <c r="BW416" s="275"/>
      <c r="BX416" s="438"/>
      <c r="BY416" s="436"/>
      <c r="BZ416" s="275"/>
      <c r="CA416" s="275"/>
      <c r="CB416" s="275"/>
      <c r="CC416" s="275"/>
      <c r="CD416" s="275"/>
      <c r="CE416" s="275"/>
      <c r="CF416" s="275"/>
      <c r="CG416" s="438"/>
      <c r="CH416" s="436"/>
      <c r="CI416" s="275"/>
      <c r="CJ416" s="275"/>
      <c r="CK416" s="275"/>
      <c r="CL416" s="275"/>
      <c r="CM416" s="275"/>
      <c r="CN416" s="275"/>
      <c r="CO416" s="442"/>
      <c r="CP416" s="443"/>
      <c r="CQ416" s="429">
        <f t="shared" si="51"/>
        <v>0</v>
      </c>
      <c r="CR416" s="430"/>
    </row>
    <row r="417" spans="1:96" ht="25.5" customHeight="1" x14ac:dyDescent="0.2">
      <c r="A417" s="410">
        <f t="shared" si="52"/>
        <v>402</v>
      </c>
      <c r="B417" s="280"/>
      <c r="C417" s="453"/>
      <c r="D417" s="411"/>
      <c r="E417" s="254"/>
      <c r="F417" s="277"/>
      <c r="G417" s="450"/>
      <c r="H417" s="451"/>
      <c r="I417" s="433" t="str">
        <f t="shared" si="46"/>
        <v/>
      </c>
      <c r="J417" s="434">
        <f t="shared" si="47"/>
        <v>0</v>
      </c>
      <c r="K417" s="452"/>
      <c r="L417" s="276"/>
      <c r="M417" s="435"/>
      <c r="N417" s="417" t="str">
        <f t="shared" si="48"/>
        <v/>
      </c>
      <c r="O417" s="418" t="str">
        <f>IF('Data Set up'!$G$40="JUNE",IF(OR($N417=7,$N417=8,$N417=9),1,IF(OR($N417=10,$N417=11,$N417=12),2,IF(OR($N417=1,$N417=2,$N417=3),3,IF(OR($N417=4,$N417=5,$N417=6),4,"")))),IF(OR($N417=9,$N417=10,$N417=11),1,IF(OR($N417=12,$N417=1,$N417=2),2,IF(OR($N417=3,$N417=4,$N417=5),3,IF(OR($N417=6,$N417=7,$N417=8),4,"")))))</f>
        <v/>
      </c>
      <c r="P417" s="445"/>
      <c r="Q417" s="291"/>
      <c r="R417" s="291"/>
      <c r="S417" s="275"/>
      <c r="T417" s="275"/>
      <c r="U417" s="275"/>
      <c r="V417" s="275"/>
      <c r="W417" s="275"/>
      <c r="X417" s="275"/>
      <c r="Y417" s="275"/>
      <c r="Z417" s="275"/>
      <c r="AA417" s="275"/>
      <c r="AB417" s="275"/>
      <c r="AC417" s="275"/>
      <c r="AD417" s="275"/>
      <c r="AE417" s="275"/>
      <c r="AF417" s="275"/>
      <c r="AG417" s="275"/>
      <c r="AH417" s="438"/>
      <c r="AI417" s="439">
        <f t="shared" si="49"/>
        <v>0</v>
      </c>
      <c r="AJ417" s="263"/>
      <c r="AK417" s="263"/>
      <c r="AL417" s="263"/>
      <c r="AM417" s="263"/>
      <c r="AN417" s="263"/>
      <c r="AO417" s="263"/>
      <c r="AP417" s="263"/>
      <c r="AQ417" s="436"/>
      <c r="AR417" s="275"/>
      <c r="AS417" s="275"/>
      <c r="AT417" s="275"/>
      <c r="AU417" s="275"/>
      <c r="AV417" s="275"/>
      <c r="AW417" s="275"/>
      <c r="AX417" s="275"/>
      <c r="AY417" s="437"/>
      <c r="AZ417" s="440">
        <f t="shared" si="50"/>
        <v>0</v>
      </c>
      <c r="BA417" s="275"/>
      <c r="BB417" s="275"/>
      <c r="BC417" s="275"/>
      <c r="BD417" s="275"/>
      <c r="BE417" s="275"/>
      <c r="BF417" s="275"/>
      <c r="BG417" s="275"/>
      <c r="BH417" s="436"/>
      <c r="BI417" s="275"/>
      <c r="BJ417" s="275"/>
      <c r="BK417" s="291"/>
      <c r="BL417" s="291"/>
      <c r="BM417" s="275"/>
      <c r="BN417" s="275"/>
      <c r="BO417" s="438"/>
      <c r="BP417" s="436"/>
      <c r="BQ417" s="275"/>
      <c r="BR417" s="275"/>
      <c r="BS417" s="275"/>
      <c r="BT417" s="275"/>
      <c r="BU417" s="275"/>
      <c r="BV417" s="275"/>
      <c r="BW417" s="275"/>
      <c r="BX417" s="438"/>
      <c r="BY417" s="436"/>
      <c r="BZ417" s="275"/>
      <c r="CA417" s="275"/>
      <c r="CB417" s="275"/>
      <c r="CC417" s="275"/>
      <c r="CD417" s="275"/>
      <c r="CE417" s="275"/>
      <c r="CF417" s="275"/>
      <c r="CG417" s="438"/>
      <c r="CH417" s="436"/>
      <c r="CI417" s="275"/>
      <c r="CJ417" s="275"/>
      <c r="CK417" s="275"/>
      <c r="CL417" s="275"/>
      <c r="CM417" s="275"/>
      <c r="CN417" s="275"/>
      <c r="CO417" s="442"/>
      <c r="CP417" s="443"/>
      <c r="CQ417" s="429">
        <f t="shared" si="51"/>
        <v>0</v>
      </c>
      <c r="CR417" s="430"/>
    </row>
    <row r="418" spans="1:96" ht="25.5" customHeight="1" x14ac:dyDescent="0.2">
      <c r="A418" s="410">
        <f t="shared" si="52"/>
        <v>403</v>
      </c>
      <c r="B418" s="280"/>
      <c r="C418" s="453"/>
      <c r="D418" s="411"/>
      <c r="E418" s="254"/>
      <c r="F418" s="277"/>
      <c r="G418" s="450"/>
      <c r="H418" s="451"/>
      <c r="I418" s="433" t="str">
        <f t="shared" si="46"/>
        <v/>
      </c>
      <c r="J418" s="434">
        <f t="shared" si="47"/>
        <v>0</v>
      </c>
      <c r="K418" s="452"/>
      <c r="L418" s="276"/>
      <c r="M418" s="435"/>
      <c r="N418" s="417" t="str">
        <f t="shared" si="48"/>
        <v/>
      </c>
      <c r="O418" s="418" t="str">
        <f>IF('Data Set up'!$G$40="JUNE",IF(OR($N418=7,$N418=8,$N418=9),1,IF(OR($N418=10,$N418=11,$N418=12),2,IF(OR($N418=1,$N418=2,$N418=3),3,IF(OR($N418=4,$N418=5,$N418=6),4,"")))),IF(OR($N418=9,$N418=10,$N418=11),1,IF(OR($N418=12,$N418=1,$N418=2),2,IF(OR($N418=3,$N418=4,$N418=5),3,IF(OR($N418=6,$N418=7,$N418=8),4,"")))))</f>
        <v/>
      </c>
      <c r="P418" s="445"/>
      <c r="Q418" s="291"/>
      <c r="R418" s="291"/>
      <c r="S418" s="275"/>
      <c r="T418" s="275"/>
      <c r="U418" s="275"/>
      <c r="V418" s="275"/>
      <c r="W418" s="275"/>
      <c r="X418" s="275"/>
      <c r="Y418" s="275"/>
      <c r="Z418" s="275"/>
      <c r="AA418" s="275"/>
      <c r="AB418" s="275"/>
      <c r="AC418" s="275"/>
      <c r="AD418" s="275"/>
      <c r="AE418" s="275"/>
      <c r="AF418" s="275"/>
      <c r="AG418" s="275"/>
      <c r="AH418" s="438"/>
      <c r="AI418" s="439">
        <f t="shared" si="49"/>
        <v>0</v>
      </c>
      <c r="AJ418" s="263"/>
      <c r="AK418" s="263"/>
      <c r="AL418" s="263"/>
      <c r="AM418" s="263"/>
      <c r="AN418" s="263"/>
      <c r="AO418" s="263"/>
      <c r="AP418" s="263"/>
      <c r="AQ418" s="436"/>
      <c r="AR418" s="275"/>
      <c r="AS418" s="275"/>
      <c r="AT418" s="275"/>
      <c r="AU418" s="275"/>
      <c r="AV418" s="275"/>
      <c r="AW418" s="275"/>
      <c r="AX418" s="275"/>
      <c r="AY418" s="437"/>
      <c r="AZ418" s="440">
        <f t="shared" si="50"/>
        <v>0</v>
      </c>
      <c r="BA418" s="275"/>
      <c r="BB418" s="275"/>
      <c r="BC418" s="275"/>
      <c r="BD418" s="275"/>
      <c r="BE418" s="275"/>
      <c r="BF418" s="275"/>
      <c r="BG418" s="275"/>
      <c r="BH418" s="436"/>
      <c r="BI418" s="275"/>
      <c r="BJ418" s="275"/>
      <c r="BK418" s="291"/>
      <c r="BL418" s="291"/>
      <c r="BM418" s="275"/>
      <c r="BN418" s="275"/>
      <c r="BO418" s="438"/>
      <c r="BP418" s="436"/>
      <c r="BQ418" s="275"/>
      <c r="BR418" s="275"/>
      <c r="BS418" s="275"/>
      <c r="BT418" s="275"/>
      <c r="BU418" s="275"/>
      <c r="BV418" s="275"/>
      <c r="BW418" s="275"/>
      <c r="BX418" s="438"/>
      <c r="BY418" s="436"/>
      <c r="BZ418" s="275"/>
      <c r="CA418" s="275"/>
      <c r="CB418" s="275"/>
      <c r="CC418" s="275"/>
      <c r="CD418" s="275"/>
      <c r="CE418" s="275"/>
      <c r="CF418" s="275"/>
      <c r="CG418" s="438"/>
      <c r="CH418" s="436"/>
      <c r="CI418" s="275"/>
      <c r="CJ418" s="275"/>
      <c r="CK418" s="275"/>
      <c r="CL418" s="275"/>
      <c r="CM418" s="275"/>
      <c r="CN418" s="275"/>
      <c r="CO418" s="442"/>
      <c r="CP418" s="443"/>
      <c r="CQ418" s="429">
        <f t="shared" si="51"/>
        <v>0</v>
      </c>
      <c r="CR418" s="430"/>
    </row>
    <row r="419" spans="1:96" ht="25.5" customHeight="1" x14ac:dyDescent="0.2">
      <c r="A419" s="410">
        <f t="shared" si="52"/>
        <v>404</v>
      </c>
      <c r="B419" s="280"/>
      <c r="C419" s="453"/>
      <c r="D419" s="411"/>
      <c r="E419" s="254"/>
      <c r="F419" s="277"/>
      <c r="G419" s="450"/>
      <c r="H419" s="451"/>
      <c r="I419" s="433" t="str">
        <f t="shared" si="46"/>
        <v/>
      </c>
      <c r="J419" s="434">
        <f t="shared" si="47"/>
        <v>0</v>
      </c>
      <c r="K419" s="452"/>
      <c r="L419" s="276"/>
      <c r="M419" s="435"/>
      <c r="N419" s="417" t="str">
        <f t="shared" si="48"/>
        <v/>
      </c>
      <c r="O419" s="418" t="str">
        <f>IF('Data Set up'!$G$40="JUNE",IF(OR($N419=7,$N419=8,$N419=9),1,IF(OR($N419=10,$N419=11,$N419=12),2,IF(OR($N419=1,$N419=2,$N419=3),3,IF(OR($N419=4,$N419=5,$N419=6),4,"")))),IF(OR($N419=9,$N419=10,$N419=11),1,IF(OR($N419=12,$N419=1,$N419=2),2,IF(OR($N419=3,$N419=4,$N419=5),3,IF(OR($N419=6,$N419=7,$N419=8),4,"")))))</f>
        <v/>
      </c>
      <c r="P419" s="445"/>
      <c r="Q419" s="291"/>
      <c r="R419" s="291"/>
      <c r="S419" s="275"/>
      <c r="T419" s="275"/>
      <c r="U419" s="275"/>
      <c r="V419" s="275"/>
      <c r="W419" s="275"/>
      <c r="X419" s="275"/>
      <c r="Y419" s="275"/>
      <c r="Z419" s="275"/>
      <c r="AA419" s="275"/>
      <c r="AB419" s="275"/>
      <c r="AC419" s="275"/>
      <c r="AD419" s="275"/>
      <c r="AE419" s="275"/>
      <c r="AF419" s="275"/>
      <c r="AG419" s="275"/>
      <c r="AH419" s="438"/>
      <c r="AI419" s="439">
        <f t="shared" si="49"/>
        <v>0</v>
      </c>
      <c r="AJ419" s="263"/>
      <c r="AK419" s="263"/>
      <c r="AL419" s="263"/>
      <c r="AM419" s="263"/>
      <c r="AN419" s="263"/>
      <c r="AO419" s="263"/>
      <c r="AP419" s="263"/>
      <c r="AQ419" s="436"/>
      <c r="AR419" s="275"/>
      <c r="AS419" s="275"/>
      <c r="AT419" s="275"/>
      <c r="AU419" s="275"/>
      <c r="AV419" s="275"/>
      <c r="AW419" s="275"/>
      <c r="AX419" s="275"/>
      <c r="AY419" s="437"/>
      <c r="AZ419" s="440">
        <f t="shared" si="50"/>
        <v>0</v>
      </c>
      <c r="BA419" s="275"/>
      <c r="BB419" s="275"/>
      <c r="BC419" s="275"/>
      <c r="BD419" s="275"/>
      <c r="BE419" s="275"/>
      <c r="BF419" s="275"/>
      <c r="BG419" s="275"/>
      <c r="BH419" s="436"/>
      <c r="BI419" s="275"/>
      <c r="BJ419" s="275"/>
      <c r="BK419" s="291"/>
      <c r="BL419" s="291"/>
      <c r="BM419" s="275"/>
      <c r="BN419" s="275"/>
      <c r="BO419" s="438"/>
      <c r="BP419" s="436"/>
      <c r="BQ419" s="275"/>
      <c r="BR419" s="275"/>
      <c r="BS419" s="275"/>
      <c r="BT419" s="275"/>
      <c r="BU419" s="275"/>
      <c r="BV419" s="275"/>
      <c r="BW419" s="275"/>
      <c r="BX419" s="438"/>
      <c r="BY419" s="436"/>
      <c r="BZ419" s="275"/>
      <c r="CA419" s="275"/>
      <c r="CB419" s="275"/>
      <c r="CC419" s="275"/>
      <c r="CD419" s="275"/>
      <c r="CE419" s="275"/>
      <c r="CF419" s="275"/>
      <c r="CG419" s="438"/>
      <c r="CH419" s="436"/>
      <c r="CI419" s="275"/>
      <c r="CJ419" s="275"/>
      <c r="CK419" s="275"/>
      <c r="CL419" s="275"/>
      <c r="CM419" s="275"/>
      <c r="CN419" s="275"/>
      <c r="CO419" s="442"/>
      <c r="CP419" s="443"/>
      <c r="CQ419" s="429">
        <f t="shared" si="51"/>
        <v>0</v>
      </c>
      <c r="CR419" s="430"/>
    </row>
    <row r="420" spans="1:96" ht="25.5" customHeight="1" x14ac:dyDescent="0.2">
      <c r="A420" s="410">
        <f t="shared" si="52"/>
        <v>405</v>
      </c>
      <c r="B420" s="280"/>
      <c r="C420" s="453"/>
      <c r="D420" s="411"/>
      <c r="E420" s="254"/>
      <c r="F420" s="277"/>
      <c r="G420" s="450"/>
      <c r="H420" s="451"/>
      <c r="I420" s="433" t="str">
        <f t="shared" si="46"/>
        <v/>
      </c>
      <c r="J420" s="434">
        <f t="shared" si="47"/>
        <v>0</v>
      </c>
      <c r="K420" s="452"/>
      <c r="L420" s="276"/>
      <c r="M420" s="435"/>
      <c r="N420" s="417" t="str">
        <f t="shared" si="48"/>
        <v/>
      </c>
      <c r="O420" s="418" t="str">
        <f>IF('Data Set up'!$G$40="JUNE",IF(OR($N420=7,$N420=8,$N420=9),1,IF(OR($N420=10,$N420=11,$N420=12),2,IF(OR($N420=1,$N420=2,$N420=3),3,IF(OR($N420=4,$N420=5,$N420=6),4,"")))),IF(OR($N420=9,$N420=10,$N420=11),1,IF(OR($N420=12,$N420=1,$N420=2),2,IF(OR($N420=3,$N420=4,$N420=5),3,IF(OR($N420=6,$N420=7,$N420=8),4,"")))))</f>
        <v/>
      </c>
      <c r="P420" s="445"/>
      <c r="Q420" s="291"/>
      <c r="R420" s="291"/>
      <c r="S420" s="275"/>
      <c r="T420" s="275"/>
      <c r="U420" s="275"/>
      <c r="V420" s="275"/>
      <c r="W420" s="275"/>
      <c r="X420" s="275"/>
      <c r="Y420" s="275"/>
      <c r="Z420" s="275"/>
      <c r="AA420" s="275"/>
      <c r="AB420" s="275"/>
      <c r="AC420" s="275"/>
      <c r="AD420" s="275"/>
      <c r="AE420" s="275"/>
      <c r="AF420" s="275"/>
      <c r="AG420" s="275"/>
      <c r="AH420" s="438"/>
      <c r="AI420" s="439">
        <f t="shared" si="49"/>
        <v>0</v>
      </c>
      <c r="AJ420" s="263"/>
      <c r="AK420" s="263"/>
      <c r="AL420" s="263"/>
      <c r="AM420" s="263"/>
      <c r="AN420" s="263"/>
      <c r="AO420" s="263"/>
      <c r="AP420" s="263"/>
      <c r="AQ420" s="436"/>
      <c r="AR420" s="275"/>
      <c r="AS420" s="275"/>
      <c r="AT420" s="275"/>
      <c r="AU420" s="275"/>
      <c r="AV420" s="275"/>
      <c r="AW420" s="275"/>
      <c r="AX420" s="275"/>
      <c r="AY420" s="437"/>
      <c r="AZ420" s="440">
        <f t="shared" si="50"/>
        <v>0</v>
      </c>
      <c r="BA420" s="275"/>
      <c r="BB420" s="275"/>
      <c r="BC420" s="275"/>
      <c r="BD420" s="275"/>
      <c r="BE420" s="275"/>
      <c r="BF420" s="275"/>
      <c r="BG420" s="275"/>
      <c r="BH420" s="436"/>
      <c r="BI420" s="275"/>
      <c r="BJ420" s="275"/>
      <c r="BK420" s="291"/>
      <c r="BL420" s="291"/>
      <c r="BM420" s="275"/>
      <c r="BN420" s="275"/>
      <c r="BO420" s="438"/>
      <c r="BP420" s="436"/>
      <c r="BQ420" s="275"/>
      <c r="BR420" s="275"/>
      <c r="BS420" s="275"/>
      <c r="BT420" s="275"/>
      <c r="BU420" s="275"/>
      <c r="BV420" s="275"/>
      <c r="BW420" s="275"/>
      <c r="BX420" s="438"/>
      <c r="BY420" s="436"/>
      <c r="BZ420" s="275"/>
      <c r="CA420" s="275"/>
      <c r="CB420" s="275"/>
      <c r="CC420" s="275"/>
      <c r="CD420" s="275"/>
      <c r="CE420" s="275"/>
      <c r="CF420" s="275"/>
      <c r="CG420" s="438"/>
      <c r="CH420" s="436"/>
      <c r="CI420" s="275"/>
      <c r="CJ420" s="275"/>
      <c r="CK420" s="275"/>
      <c r="CL420" s="275"/>
      <c r="CM420" s="275"/>
      <c r="CN420" s="275"/>
      <c r="CO420" s="442"/>
      <c r="CP420" s="443"/>
      <c r="CQ420" s="429">
        <f t="shared" si="51"/>
        <v>0</v>
      </c>
      <c r="CR420" s="430"/>
    </row>
    <row r="421" spans="1:96" ht="25.5" customHeight="1" x14ac:dyDescent="0.2">
      <c r="A421" s="410">
        <f t="shared" si="52"/>
        <v>406</v>
      </c>
      <c r="B421" s="280"/>
      <c r="C421" s="453"/>
      <c r="D421" s="411"/>
      <c r="E421" s="254"/>
      <c r="F421" s="277"/>
      <c r="G421" s="450"/>
      <c r="H421" s="451"/>
      <c r="I421" s="433" t="str">
        <f t="shared" si="46"/>
        <v/>
      </c>
      <c r="J421" s="434">
        <f t="shared" si="47"/>
        <v>0</v>
      </c>
      <c r="K421" s="452"/>
      <c r="L421" s="276"/>
      <c r="M421" s="435"/>
      <c r="N421" s="417" t="str">
        <f t="shared" si="48"/>
        <v/>
      </c>
      <c r="O421" s="418" t="str">
        <f>IF('Data Set up'!$G$40="JUNE",IF(OR($N421=7,$N421=8,$N421=9),1,IF(OR($N421=10,$N421=11,$N421=12),2,IF(OR($N421=1,$N421=2,$N421=3),3,IF(OR($N421=4,$N421=5,$N421=6),4,"")))),IF(OR($N421=9,$N421=10,$N421=11),1,IF(OR($N421=12,$N421=1,$N421=2),2,IF(OR($N421=3,$N421=4,$N421=5),3,IF(OR($N421=6,$N421=7,$N421=8),4,"")))))</f>
        <v/>
      </c>
      <c r="P421" s="445"/>
      <c r="Q421" s="291"/>
      <c r="R421" s="291"/>
      <c r="S421" s="275"/>
      <c r="T421" s="275"/>
      <c r="U421" s="275"/>
      <c r="V421" s="275"/>
      <c r="W421" s="275"/>
      <c r="X421" s="275"/>
      <c r="Y421" s="275"/>
      <c r="Z421" s="275"/>
      <c r="AA421" s="275"/>
      <c r="AB421" s="275"/>
      <c r="AC421" s="275"/>
      <c r="AD421" s="275"/>
      <c r="AE421" s="275"/>
      <c r="AF421" s="275"/>
      <c r="AG421" s="275"/>
      <c r="AH421" s="438"/>
      <c r="AI421" s="439">
        <f t="shared" si="49"/>
        <v>0</v>
      </c>
      <c r="AJ421" s="263"/>
      <c r="AK421" s="263"/>
      <c r="AL421" s="263"/>
      <c r="AM421" s="263"/>
      <c r="AN421" s="263"/>
      <c r="AO421" s="263"/>
      <c r="AP421" s="263"/>
      <c r="AQ421" s="436"/>
      <c r="AR421" s="275"/>
      <c r="AS421" s="275"/>
      <c r="AT421" s="275"/>
      <c r="AU421" s="275"/>
      <c r="AV421" s="275"/>
      <c r="AW421" s="275"/>
      <c r="AX421" s="275"/>
      <c r="AY421" s="437"/>
      <c r="AZ421" s="440">
        <f t="shared" si="50"/>
        <v>0</v>
      </c>
      <c r="BA421" s="275"/>
      <c r="BB421" s="275"/>
      <c r="BC421" s="275"/>
      <c r="BD421" s="275"/>
      <c r="BE421" s="275"/>
      <c r="BF421" s="275"/>
      <c r="BG421" s="275"/>
      <c r="BH421" s="436"/>
      <c r="BI421" s="275"/>
      <c r="BJ421" s="275"/>
      <c r="BK421" s="291"/>
      <c r="BL421" s="291"/>
      <c r="BM421" s="275"/>
      <c r="BN421" s="275"/>
      <c r="BO421" s="438"/>
      <c r="BP421" s="436"/>
      <c r="BQ421" s="275"/>
      <c r="BR421" s="275"/>
      <c r="BS421" s="275"/>
      <c r="BT421" s="275"/>
      <c r="BU421" s="275"/>
      <c r="BV421" s="275"/>
      <c r="BW421" s="275"/>
      <c r="BX421" s="438"/>
      <c r="BY421" s="436"/>
      <c r="BZ421" s="275"/>
      <c r="CA421" s="275"/>
      <c r="CB421" s="275"/>
      <c r="CC421" s="275"/>
      <c r="CD421" s="275"/>
      <c r="CE421" s="275"/>
      <c r="CF421" s="275"/>
      <c r="CG421" s="438"/>
      <c r="CH421" s="436"/>
      <c r="CI421" s="275"/>
      <c r="CJ421" s="275"/>
      <c r="CK421" s="275"/>
      <c r="CL421" s="275"/>
      <c r="CM421" s="275"/>
      <c r="CN421" s="275"/>
      <c r="CO421" s="442"/>
      <c r="CP421" s="443"/>
      <c r="CQ421" s="429">
        <f t="shared" si="51"/>
        <v>0</v>
      </c>
      <c r="CR421" s="430"/>
    </row>
    <row r="422" spans="1:96" ht="25.5" customHeight="1" x14ac:dyDescent="0.2">
      <c r="A422" s="410">
        <f t="shared" si="52"/>
        <v>407</v>
      </c>
      <c r="B422" s="280"/>
      <c r="C422" s="453"/>
      <c r="D422" s="411"/>
      <c r="E422" s="254"/>
      <c r="F422" s="277"/>
      <c r="G422" s="450"/>
      <c r="H422" s="451"/>
      <c r="I422" s="433" t="str">
        <f t="shared" si="46"/>
        <v/>
      </c>
      <c r="J422" s="434">
        <f t="shared" si="47"/>
        <v>0</v>
      </c>
      <c r="K422" s="452"/>
      <c r="L422" s="276"/>
      <c r="M422" s="435"/>
      <c r="N422" s="417" t="str">
        <f t="shared" si="48"/>
        <v/>
      </c>
      <c r="O422" s="418" t="str">
        <f>IF('Data Set up'!$G$40="JUNE",IF(OR($N422=7,$N422=8,$N422=9),1,IF(OR($N422=10,$N422=11,$N422=12),2,IF(OR($N422=1,$N422=2,$N422=3),3,IF(OR($N422=4,$N422=5,$N422=6),4,"")))),IF(OR($N422=9,$N422=10,$N422=11),1,IF(OR($N422=12,$N422=1,$N422=2),2,IF(OR($N422=3,$N422=4,$N422=5),3,IF(OR($N422=6,$N422=7,$N422=8),4,"")))))</f>
        <v/>
      </c>
      <c r="P422" s="445"/>
      <c r="Q422" s="291"/>
      <c r="R422" s="291"/>
      <c r="S422" s="275"/>
      <c r="T422" s="275"/>
      <c r="U422" s="275"/>
      <c r="V422" s="275"/>
      <c r="W422" s="275"/>
      <c r="X422" s="275"/>
      <c r="Y422" s="275"/>
      <c r="Z422" s="275"/>
      <c r="AA422" s="275"/>
      <c r="AB422" s="275"/>
      <c r="AC422" s="275"/>
      <c r="AD422" s="275"/>
      <c r="AE422" s="275"/>
      <c r="AF422" s="275"/>
      <c r="AG422" s="275"/>
      <c r="AH422" s="438"/>
      <c r="AI422" s="439">
        <f t="shared" si="49"/>
        <v>0</v>
      </c>
      <c r="AJ422" s="263"/>
      <c r="AK422" s="263"/>
      <c r="AL422" s="263"/>
      <c r="AM422" s="263"/>
      <c r="AN422" s="263"/>
      <c r="AO422" s="263"/>
      <c r="AP422" s="263"/>
      <c r="AQ422" s="436"/>
      <c r="AR422" s="275"/>
      <c r="AS422" s="275"/>
      <c r="AT422" s="275"/>
      <c r="AU422" s="275"/>
      <c r="AV422" s="275"/>
      <c r="AW422" s="275"/>
      <c r="AX422" s="275"/>
      <c r="AY422" s="437"/>
      <c r="AZ422" s="440">
        <f t="shared" si="50"/>
        <v>0</v>
      </c>
      <c r="BA422" s="275"/>
      <c r="BB422" s="275"/>
      <c r="BC422" s="275"/>
      <c r="BD422" s="275"/>
      <c r="BE422" s="275"/>
      <c r="BF422" s="275"/>
      <c r="BG422" s="275"/>
      <c r="BH422" s="436"/>
      <c r="BI422" s="275"/>
      <c r="BJ422" s="275"/>
      <c r="BK422" s="291"/>
      <c r="BL422" s="291"/>
      <c r="BM422" s="275"/>
      <c r="BN422" s="275"/>
      <c r="BO422" s="438"/>
      <c r="BP422" s="436"/>
      <c r="BQ422" s="275"/>
      <c r="BR422" s="275"/>
      <c r="BS422" s="275"/>
      <c r="BT422" s="275"/>
      <c r="BU422" s="275"/>
      <c r="BV422" s="275"/>
      <c r="BW422" s="275"/>
      <c r="BX422" s="438"/>
      <c r="BY422" s="436"/>
      <c r="BZ422" s="275"/>
      <c r="CA422" s="275"/>
      <c r="CB422" s="275"/>
      <c r="CC422" s="275"/>
      <c r="CD422" s="275"/>
      <c r="CE422" s="275"/>
      <c r="CF422" s="275"/>
      <c r="CG422" s="438"/>
      <c r="CH422" s="436"/>
      <c r="CI422" s="275"/>
      <c r="CJ422" s="275"/>
      <c r="CK422" s="275"/>
      <c r="CL422" s="275"/>
      <c r="CM422" s="275"/>
      <c r="CN422" s="275"/>
      <c r="CO422" s="442"/>
      <c r="CP422" s="443"/>
      <c r="CQ422" s="429">
        <f t="shared" si="51"/>
        <v>0</v>
      </c>
      <c r="CR422" s="430"/>
    </row>
    <row r="423" spans="1:96" ht="25.5" customHeight="1" x14ac:dyDescent="0.2">
      <c r="A423" s="410">
        <f t="shared" si="52"/>
        <v>408</v>
      </c>
      <c r="B423" s="280"/>
      <c r="C423" s="453"/>
      <c r="D423" s="411"/>
      <c r="E423" s="254"/>
      <c r="F423" s="277"/>
      <c r="G423" s="450"/>
      <c r="H423" s="451"/>
      <c r="I423" s="433" t="str">
        <f t="shared" si="46"/>
        <v/>
      </c>
      <c r="J423" s="434">
        <f t="shared" si="47"/>
        <v>0</v>
      </c>
      <c r="K423" s="452"/>
      <c r="L423" s="276"/>
      <c r="M423" s="435"/>
      <c r="N423" s="417" t="str">
        <f t="shared" si="48"/>
        <v/>
      </c>
      <c r="O423" s="418" t="str">
        <f>IF('Data Set up'!$G$40="JUNE",IF(OR($N423=7,$N423=8,$N423=9),1,IF(OR($N423=10,$N423=11,$N423=12),2,IF(OR($N423=1,$N423=2,$N423=3),3,IF(OR($N423=4,$N423=5,$N423=6),4,"")))),IF(OR($N423=9,$N423=10,$N423=11),1,IF(OR($N423=12,$N423=1,$N423=2),2,IF(OR($N423=3,$N423=4,$N423=5),3,IF(OR($N423=6,$N423=7,$N423=8),4,"")))))</f>
        <v/>
      </c>
      <c r="P423" s="445"/>
      <c r="Q423" s="291"/>
      <c r="R423" s="291"/>
      <c r="S423" s="275"/>
      <c r="T423" s="275"/>
      <c r="U423" s="275"/>
      <c r="V423" s="275"/>
      <c r="W423" s="275"/>
      <c r="X423" s="275"/>
      <c r="Y423" s="275"/>
      <c r="Z423" s="275"/>
      <c r="AA423" s="275"/>
      <c r="AB423" s="275"/>
      <c r="AC423" s="275"/>
      <c r="AD423" s="275"/>
      <c r="AE423" s="275"/>
      <c r="AF423" s="275"/>
      <c r="AG423" s="275"/>
      <c r="AH423" s="438"/>
      <c r="AI423" s="439">
        <f t="shared" si="49"/>
        <v>0</v>
      </c>
      <c r="AJ423" s="263"/>
      <c r="AK423" s="263"/>
      <c r="AL423" s="263"/>
      <c r="AM423" s="263"/>
      <c r="AN423" s="263"/>
      <c r="AO423" s="263"/>
      <c r="AP423" s="263"/>
      <c r="AQ423" s="436"/>
      <c r="AR423" s="275"/>
      <c r="AS423" s="275"/>
      <c r="AT423" s="275"/>
      <c r="AU423" s="275"/>
      <c r="AV423" s="275"/>
      <c r="AW423" s="275"/>
      <c r="AX423" s="275"/>
      <c r="AY423" s="437"/>
      <c r="AZ423" s="440">
        <f t="shared" si="50"/>
        <v>0</v>
      </c>
      <c r="BA423" s="275"/>
      <c r="BB423" s="275"/>
      <c r="BC423" s="275"/>
      <c r="BD423" s="275"/>
      <c r="BE423" s="275"/>
      <c r="BF423" s="275"/>
      <c r="BG423" s="275"/>
      <c r="BH423" s="436"/>
      <c r="BI423" s="275"/>
      <c r="BJ423" s="275"/>
      <c r="BK423" s="291"/>
      <c r="BL423" s="291"/>
      <c r="BM423" s="275"/>
      <c r="BN423" s="275"/>
      <c r="BO423" s="438"/>
      <c r="BP423" s="436"/>
      <c r="BQ423" s="275"/>
      <c r="BR423" s="275"/>
      <c r="BS423" s="275"/>
      <c r="BT423" s="275"/>
      <c r="BU423" s="275"/>
      <c r="BV423" s="275"/>
      <c r="BW423" s="275"/>
      <c r="BX423" s="438"/>
      <c r="BY423" s="436"/>
      <c r="BZ423" s="275"/>
      <c r="CA423" s="275"/>
      <c r="CB423" s="275"/>
      <c r="CC423" s="275"/>
      <c r="CD423" s="275"/>
      <c r="CE423" s="275"/>
      <c r="CF423" s="275"/>
      <c r="CG423" s="438"/>
      <c r="CH423" s="436"/>
      <c r="CI423" s="275"/>
      <c r="CJ423" s="275"/>
      <c r="CK423" s="275"/>
      <c r="CL423" s="275"/>
      <c r="CM423" s="275"/>
      <c r="CN423" s="275"/>
      <c r="CO423" s="442"/>
      <c r="CP423" s="443"/>
      <c r="CQ423" s="429">
        <f t="shared" si="51"/>
        <v>0</v>
      </c>
      <c r="CR423" s="430"/>
    </row>
    <row r="424" spans="1:96" ht="25.5" customHeight="1" x14ac:dyDescent="0.2">
      <c r="A424" s="410">
        <f t="shared" si="52"/>
        <v>409</v>
      </c>
      <c r="B424" s="280"/>
      <c r="C424" s="453"/>
      <c r="D424" s="411"/>
      <c r="E424" s="254"/>
      <c r="F424" s="277"/>
      <c r="G424" s="450"/>
      <c r="H424" s="451"/>
      <c r="I424" s="433" t="str">
        <f t="shared" si="46"/>
        <v/>
      </c>
      <c r="J424" s="434">
        <f t="shared" si="47"/>
        <v>0</v>
      </c>
      <c r="K424" s="452"/>
      <c r="L424" s="276"/>
      <c r="M424" s="435"/>
      <c r="N424" s="417" t="str">
        <f t="shared" si="48"/>
        <v/>
      </c>
      <c r="O424" s="418" t="str">
        <f>IF('Data Set up'!$G$40="JUNE",IF(OR($N424=7,$N424=8,$N424=9),1,IF(OR($N424=10,$N424=11,$N424=12),2,IF(OR($N424=1,$N424=2,$N424=3),3,IF(OR($N424=4,$N424=5,$N424=6),4,"")))),IF(OR($N424=9,$N424=10,$N424=11),1,IF(OR($N424=12,$N424=1,$N424=2),2,IF(OR($N424=3,$N424=4,$N424=5),3,IF(OR($N424=6,$N424=7,$N424=8),4,"")))))</f>
        <v/>
      </c>
      <c r="P424" s="445"/>
      <c r="Q424" s="291"/>
      <c r="R424" s="291"/>
      <c r="S424" s="275"/>
      <c r="T424" s="275"/>
      <c r="U424" s="275"/>
      <c r="V424" s="275"/>
      <c r="W424" s="275"/>
      <c r="X424" s="275"/>
      <c r="Y424" s="275"/>
      <c r="Z424" s="275"/>
      <c r="AA424" s="275"/>
      <c r="AB424" s="275"/>
      <c r="AC424" s="275"/>
      <c r="AD424" s="275"/>
      <c r="AE424" s="275"/>
      <c r="AF424" s="275"/>
      <c r="AG424" s="275"/>
      <c r="AH424" s="438"/>
      <c r="AI424" s="439">
        <f t="shared" si="49"/>
        <v>0</v>
      </c>
      <c r="AJ424" s="263"/>
      <c r="AK424" s="263"/>
      <c r="AL424" s="263"/>
      <c r="AM424" s="263"/>
      <c r="AN424" s="263"/>
      <c r="AO424" s="263"/>
      <c r="AP424" s="263"/>
      <c r="AQ424" s="436"/>
      <c r="AR424" s="275"/>
      <c r="AS424" s="275"/>
      <c r="AT424" s="275"/>
      <c r="AU424" s="275"/>
      <c r="AV424" s="275"/>
      <c r="AW424" s="275"/>
      <c r="AX424" s="275"/>
      <c r="AY424" s="437"/>
      <c r="AZ424" s="440">
        <f t="shared" si="50"/>
        <v>0</v>
      </c>
      <c r="BA424" s="275"/>
      <c r="BB424" s="275"/>
      <c r="BC424" s="275"/>
      <c r="BD424" s="275"/>
      <c r="BE424" s="275"/>
      <c r="BF424" s="275"/>
      <c r="BG424" s="275"/>
      <c r="BH424" s="436"/>
      <c r="BI424" s="275"/>
      <c r="BJ424" s="275"/>
      <c r="BK424" s="291"/>
      <c r="BL424" s="291"/>
      <c r="BM424" s="275"/>
      <c r="BN424" s="275"/>
      <c r="BO424" s="438"/>
      <c r="BP424" s="436"/>
      <c r="BQ424" s="275"/>
      <c r="BR424" s="275"/>
      <c r="BS424" s="275"/>
      <c r="BT424" s="275"/>
      <c r="BU424" s="275"/>
      <c r="BV424" s="275"/>
      <c r="BW424" s="275"/>
      <c r="BX424" s="438"/>
      <c r="BY424" s="436"/>
      <c r="BZ424" s="275"/>
      <c r="CA424" s="275"/>
      <c r="CB424" s="275"/>
      <c r="CC424" s="275"/>
      <c r="CD424" s="275"/>
      <c r="CE424" s="275"/>
      <c r="CF424" s="275"/>
      <c r="CG424" s="438"/>
      <c r="CH424" s="436"/>
      <c r="CI424" s="275"/>
      <c r="CJ424" s="275"/>
      <c r="CK424" s="275"/>
      <c r="CL424" s="275"/>
      <c r="CM424" s="275"/>
      <c r="CN424" s="275"/>
      <c r="CO424" s="442"/>
      <c r="CP424" s="443"/>
      <c r="CQ424" s="429">
        <f t="shared" si="51"/>
        <v>0</v>
      </c>
      <c r="CR424" s="430"/>
    </row>
    <row r="425" spans="1:96" ht="25.5" customHeight="1" x14ac:dyDescent="0.2">
      <c r="A425" s="410">
        <f t="shared" si="52"/>
        <v>410</v>
      </c>
      <c r="B425" s="280"/>
      <c r="C425" s="453"/>
      <c r="D425" s="411"/>
      <c r="E425" s="254"/>
      <c r="F425" s="277"/>
      <c r="G425" s="450"/>
      <c r="H425" s="451"/>
      <c r="I425" s="433" t="str">
        <f t="shared" si="46"/>
        <v/>
      </c>
      <c r="J425" s="434">
        <f t="shared" si="47"/>
        <v>0</v>
      </c>
      <c r="K425" s="452"/>
      <c r="L425" s="276"/>
      <c r="M425" s="435"/>
      <c r="N425" s="417" t="str">
        <f t="shared" si="48"/>
        <v/>
      </c>
      <c r="O425" s="418" t="str">
        <f>IF('Data Set up'!$G$40="JUNE",IF(OR($N425=7,$N425=8,$N425=9),1,IF(OR($N425=10,$N425=11,$N425=12),2,IF(OR($N425=1,$N425=2,$N425=3),3,IF(OR($N425=4,$N425=5,$N425=6),4,"")))),IF(OR($N425=9,$N425=10,$N425=11),1,IF(OR($N425=12,$N425=1,$N425=2),2,IF(OR($N425=3,$N425=4,$N425=5),3,IF(OR($N425=6,$N425=7,$N425=8),4,"")))))</f>
        <v/>
      </c>
      <c r="P425" s="445"/>
      <c r="Q425" s="291"/>
      <c r="R425" s="291"/>
      <c r="S425" s="275"/>
      <c r="T425" s="275"/>
      <c r="U425" s="275"/>
      <c r="V425" s="275"/>
      <c r="W425" s="275"/>
      <c r="X425" s="275"/>
      <c r="Y425" s="275"/>
      <c r="Z425" s="275"/>
      <c r="AA425" s="275"/>
      <c r="AB425" s="275"/>
      <c r="AC425" s="275"/>
      <c r="AD425" s="275"/>
      <c r="AE425" s="275"/>
      <c r="AF425" s="275"/>
      <c r="AG425" s="275"/>
      <c r="AH425" s="438"/>
      <c r="AI425" s="439">
        <f t="shared" si="49"/>
        <v>0</v>
      </c>
      <c r="AJ425" s="263"/>
      <c r="AK425" s="263"/>
      <c r="AL425" s="263"/>
      <c r="AM425" s="263"/>
      <c r="AN425" s="263"/>
      <c r="AO425" s="263"/>
      <c r="AP425" s="263"/>
      <c r="AQ425" s="436"/>
      <c r="AR425" s="275"/>
      <c r="AS425" s="275"/>
      <c r="AT425" s="275"/>
      <c r="AU425" s="275"/>
      <c r="AV425" s="275"/>
      <c r="AW425" s="275"/>
      <c r="AX425" s="275"/>
      <c r="AY425" s="437"/>
      <c r="AZ425" s="440">
        <f t="shared" si="50"/>
        <v>0</v>
      </c>
      <c r="BA425" s="275"/>
      <c r="BB425" s="275"/>
      <c r="BC425" s="275"/>
      <c r="BD425" s="275"/>
      <c r="BE425" s="275"/>
      <c r="BF425" s="275"/>
      <c r="BG425" s="275"/>
      <c r="BH425" s="436"/>
      <c r="BI425" s="275"/>
      <c r="BJ425" s="275"/>
      <c r="BK425" s="291"/>
      <c r="BL425" s="291"/>
      <c r="BM425" s="275"/>
      <c r="BN425" s="275"/>
      <c r="BO425" s="438"/>
      <c r="BP425" s="436"/>
      <c r="BQ425" s="275"/>
      <c r="BR425" s="275"/>
      <c r="BS425" s="275"/>
      <c r="BT425" s="275"/>
      <c r="BU425" s="275"/>
      <c r="BV425" s="275"/>
      <c r="BW425" s="275"/>
      <c r="BX425" s="438"/>
      <c r="BY425" s="436"/>
      <c r="BZ425" s="275"/>
      <c r="CA425" s="275"/>
      <c r="CB425" s="275"/>
      <c r="CC425" s="275"/>
      <c r="CD425" s="275"/>
      <c r="CE425" s="275"/>
      <c r="CF425" s="275"/>
      <c r="CG425" s="438"/>
      <c r="CH425" s="436"/>
      <c r="CI425" s="275"/>
      <c r="CJ425" s="275"/>
      <c r="CK425" s="275"/>
      <c r="CL425" s="275"/>
      <c r="CM425" s="275"/>
      <c r="CN425" s="275"/>
      <c r="CO425" s="442"/>
      <c r="CP425" s="443"/>
      <c r="CQ425" s="429">
        <f t="shared" si="51"/>
        <v>0</v>
      </c>
      <c r="CR425" s="430"/>
    </row>
    <row r="426" spans="1:96" ht="25.5" customHeight="1" x14ac:dyDescent="0.2">
      <c r="A426" s="410">
        <f t="shared" si="52"/>
        <v>411</v>
      </c>
      <c r="B426" s="280"/>
      <c r="C426" s="453"/>
      <c r="D426" s="411"/>
      <c r="E426" s="254"/>
      <c r="F426" s="277"/>
      <c r="G426" s="450"/>
      <c r="H426" s="451"/>
      <c r="I426" s="433" t="str">
        <f t="shared" si="46"/>
        <v/>
      </c>
      <c r="J426" s="434">
        <f t="shared" si="47"/>
        <v>0</v>
      </c>
      <c r="K426" s="452"/>
      <c r="L426" s="276"/>
      <c r="M426" s="435"/>
      <c r="N426" s="417" t="str">
        <f t="shared" si="48"/>
        <v/>
      </c>
      <c r="O426" s="418" t="str">
        <f>IF('Data Set up'!$G$40="JUNE",IF(OR($N426=7,$N426=8,$N426=9),1,IF(OR($N426=10,$N426=11,$N426=12),2,IF(OR($N426=1,$N426=2,$N426=3),3,IF(OR($N426=4,$N426=5,$N426=6),4,"")))),IF(OR($N426=9,$N426=10,$N426=11),1,IF(OR($N426=12,$N426=1,$N426=2),2,IF(OR($N426=3,$N426=4,$N426=5),3,IF(OR($N426=6,$N426=7,$N426=8),4,"")))))</f>
        <v/>
      </c>
      <c r="P426" s="445"/>
      <c r="Q426" s="291"/>
      <c r="R426" s="291"/>
      <c r="S426" s="275"/>
      <c r="T426" s="275"/>
      <c r="U426" s="275"/>
      <c r="V426" s="275"/>
      <c r="W426" s="275"/>
      <c r="X426" s="275"/>
      <c r="Y426" s="275"/>
      <c r="Z426" s="275"/>
      <c r="AA426" s="275"/>
      <c r="AB426" s="275"/>
      <c r="AC426" s="275"/>
      <c r="AD426" s="275"/>
      <c r="AE426" s="275"/>
      <c r="AF426" s="275"/>
      <c r="AG426" s="275"/>
      <c r="AH426" s="438"/>
      <c r="AI426" s="439">
        <f t="shared" si="49"/>
        <v>0</v>
      </c>
      <c r="AJ426" s="263"/>
      <c r="AK426" s="263"/>
      <c r="AL426" s="263"/>
      <c r="AM426" s="263"/>
      <c r="AN426" s="263"/>
      <c r="AO426" s="263"/>
      <c r="AP426" s="263"/>
      <c r="AQ426" s="436"/>
      <c r="AR426" s="275"/>
      <c r="AS426" s="275"/>
      <c r="AT426" s="275"/>
      <c r="AU426" s="275"/>
      <c r="AV426" s="275"/>
      <c r="AW426" s="275"/>
      <c r="AX426" s="275"/>
      <c r="AY426" s="437"/>
      <c r="AZ426" s="440">
        <f t="shared" si="50"/>
        <v>0</v>
      </c>
      <c r="BA426" s="275"/>
      <c r="BB426" s="275"/>
      <c r="BC426" s="275"/>
      <c r="BD426" s="275"/>
      <c r="BE426" s="275"/>
      <c r="BF426" s="275"/>
      <c r="BG426" s="275"/>
      <c r="BH426" s="436"/>
      <c r="BI426" s="275"/>
      <c r="BJ426" s="275"/>
      <c r="BK426" s="291"/>
      <c r="BL426" s="291"/>
      <c r="BM426" s="275"/>
      <c r="BN426" s="275"/>
      <c r="BO426" s="438"/>
      <c r="BP426" s="436"/>
      <c r="BQ426" s="275"/>
      <c r="BR426" s="275"/>
      <c r="BS426" s="275"/>
      <c r="BT426" s="275"/>
      <c r="BU426" s="275"/>
      <c r="BV426" s="275"/>
      <c r="BW426" s="275"/>
      <c r="BX426" s="438"/>
      <c r="BY426" s="436"/>
      <c r="BZ426" s="275"/>
      <c r="CA426" s="275"/>
      <c r="CB426" s="275"/>
      <c r="CC426" s="275"/>
      <c r="CD426" s="275"/>
      <c r="CE426" s="275"/>
      <c r="CF426" s="275"/>
      <c r="CG426" s="438"/>
      <c r="CH426" s="436"/>
      <c r="CI426" s="275"/>
      <c r="CJ426" s="275"/>
      <c r="CK426" s="275"/>
      <c r="CL426" s="275"/>
      <c r="CM426" s="275"/>
      <c r="CN426" s="275"/>
      <c r="CO426" s="442"/>
      <c r="CP426" s="443"/>
      <c r="CQ426" s="429">
        <f t="shared" si="51"/>
        <v>0</v>
      </c>
      <c r="CR426" s="430"/>
    </row>
    <row r="427" spans="1:96" ht="25.5" customHeight="1" x14ac:dyDescent="0.2">
      <c r="A427" s="410">
        <f t="shared" si="52"/>
        <v>412</v>
      </c>
      <c r="B427" s="280"/>
      <c r="C427" s="453"/>
      <c r="D427" s="411"/>
      <c r="E427" s="254"/>
      <c r="F427" s="277"/>
      <c r="G427" s="450"/>
      <c r="H427" s="451"/>
      <c r="I427" s="433" t="str">
        <f t="shared" si="46"/>
        <v/>
      </c>
      <c r="J427" s="434">
        <f t="shared" si="47"/>
        <v>0</v>
      </c>
      <c r="K427" s="452"/>
      <c r="L427" s="276"/>
      <c r="M427" s="435"/>
      <c r="N427" s="417" t="str">
        <f t="shared" si="48"/>
        <v/>
      </c>
      <c r="O427" s="418" t="str">
        <f>IF('Data Set up'!$G$40="JUNE",IF(OR($N427=7,$N427=8,$N427=9),1,IF(OR($N427=10,$N427=11,$N427=12),2,IF(OR($N427=1,$N427=2,$N427=3),3,IF(OR($N427=4,$N427=5,$N427=6),4,"")))),IF(OR($N427=9,$N427=10,$N427=11),1,IF(OR($N427=12,$N427=1,$N427=2),2,IF(OR($N427=3,$N427=4,$N427=5),3,IF(OR($N427=6,$N427=7,$N427=8),4,"")))))</f>
        <v/>
      </c>
      <c r="P427" s="445"/>
      <c r="Q427" s="291"/>
      <c r="R427" s="291"/>
      <c r="S427" s="275"/>
      <c r="T427" s="275"/>
      <c r="U427" s="275"/>
      <c r="V427" s="275"/>
      <c r="W427" s="275"/>
      <c r="X427" s="275"/>
      <c r="Y427" s="275"/>
      <c r="Z427" s="275"/>
      <c r="AA427" s="275"/>
      <c r="AB427" s="275"/>
      <c r="AC427" s="275"/>
      <c r="AD427" s="275"/>
      <c r="AE427" s="275"/>
      <c r="AF427" s="275"/>
      <c r="AG427" s="275"/>
      <c r="AH427" s="438"/>
      <c r="AI427" s="439">
        <f t="shared" si="49"/>
        <v>0</v>
      </c>
      <c r="AJ427" s="263"/>
      <c r="AK427" s="263"/>
      <c r="AL427" s="263"/>
      <c r="AM427" s="263"/>
      <c r="AN427" s="263"/>
      <c r="AO427" s="263"/>
      <c r="AP427" s="263"/>
      <c r="AQ427" s="436"/>
      <c r="AR427" s="275"/>
      <c r="AS427" s="275"/>
      <c r="AT427" s="275"/>
      <c r="AU427" s="275"/>
      <c r="AV427" s="275"/>
      <c r="AW427" s="275"/>
      <c r="AX427" s="275"/>
      <c r="AY427" s="437"/>
      <c r="AZ427" s="440">
        <f t="shared" si="50"/>
        <v>0</v>
      </c>
      <c r="BA427" s="275"/>
      <c r="BB427" s="275"/>
      <c r="BC427" s="275"/>
      <c r="BD427" s="275"/>
      <c r="BE427" s="275"/>
      <c r="BF427" s="275"/>
      <c r="BG427" s="275"/>
      <c r="BH427" s="436"/>
      <c r="BI427" s="275"/>
      <c r="BJ427" s="275"/>
      <c r="BK427" s="291"/>
      <c r="BL427" s="291"/>
      <c r="BM427" s="275"/>
      <c r="BN427" s="275"/>
      <c r="BO427" s="438"/>
      <c r="BP427" s="436"/>
      <c r="BQ427" s="275"/>
      <c r="BR427" s="275"/>
      <c r="BS427" s="275"/>
      <c r="BT427" s="275"/>
      <c r="BU427" s="275"/>
      <c r="BV427" s="275"/>
      <c r="BW427" s="275"/>
      <c r="BX427" s="438"/>
      <c r="BY427" s="436"/>
      <c r="BZ427" s="275"/>
      <c r="CA427" s="275"/>
      <c r="CB427" s="275"/>
      <c r="CC427" s="275"/>
      <c r="CD427" s="275"/>
      <c r="CE427" s="275"/>
      <c r="CF427" s="275"/>
      <c r="CG427" s="438"/>
      <c r="CH427" s="436"/>
      <c r="CI427" s="275"/>
      <c r="CJ427" s="275"/>
      <c r="CK427" s="275"/>
      <c r="CL427" s="275"/>
      <c r="CM427" s="275"/>
      <c r="CN427" s="275"/>
      <c r="CO427" s="442"/>
      <c r="CP427" s="443"/>
      <c r="CQ427" s="429">
        <f t="shared" si="51"/>
        <v>0</v>
      </c>
      <c r="CR427" s="430"/>
    </row>
    <row r="428" spans="1:96" ht="25.5" customHeight="1" x14ac:dyDescent="0.2">
      <c r="A428" s="410">
        <f t="shared" si="52"/>
        <v>413</v>
      </c>
      <c r="B428" s="280"/>
      <c r="C428" s="453"/>
      <c r="D428" s="411"/>
      <c r="E428" s="254"/>
      <c r="F428" s="277"/>
      <c r="G428" s="450"/>
      <c r="H428" s="451"/>
      <c r="I428" s="433" t="str">
        <f t="shared" si="46"/>
        <v/>
      </c>
      <c r="J428" s="434">
        <f t="shared" si="47"/>
        <v>0</v>
      </c>
      <c r="K428" s="452"/>
      <c r="L428" s="276"/>
      <c r="M428" s="435"/>
      <c r="N428" s="417" t="str">
        <f t="shared" si="48"/>
        <v/>
      </c>
      <c r="O428" s="418" t="str">
        <f>IF('Data Set up'!$G$40="JUNE",IF(OR($N428=7,$N428=8,$N428=9),1,IF(OR($N428=10,$N428=11,$N428=12),2,IF(OR($N428=1,$N428=2,$N428=3),3,IF(OR($N428=4,$N428=5,$N428=6),4,"")))),IF(OR($N428=9,$N428=10,$N428=11),1,IF(OR($N428=12,$N428=1,$N428=2),2,IF(OR($N428=3,$N428=4,$N428=5),3,IF(OR($N428=6,$N428=7,$N428=8),4,"")))))</f>
        <v/>
      </c>
      <c r="P428" s="445"/>
      <c r="Q428" s="291"/>
      <c r="R428" s="291"/>
      <c r="S428" s="275"/>
      <c r="T428" s="275"/>
      <c r="U428" s="275"/>
      <c r="V428" s="275"/>
      <c r="W428" s="275"/>
      <c r="X428" s="275"/>
      <c r="Y428" s="275"/>
      <c r="Z428" s="275"/>
      <c r="AA428" s="275"/>
      <c r="AB428" s="275"/>
      <c r="AC428" s="275"/>
      <c r="AD428" s="275"/>
      <c r="AE428" s="275"/>
      <c r="AF428" s="275"/>
      <c r="AG428" s="275"/>
      <c r="AH428" s="438"/>
      <c r="AI428" s="439">
        <f t="shared" si="49"/>
        <v>0</v>
      </c>
      <c r="AJ428" s="263"/>
      <c r="AK428" s="263"/>
      <c r="AL428" s="263"/>
      <c r="AM428" s="263"/>
      <c r="AN428" s="263"/>
      <c r="AO428" s="263"/>
      <c r="AP428" s="263"/>
      <c r="AQ428" s="436"/>
      <c r="AR428" s="275"/>
      <c r="AS428" s="275"/>
      <c r="AT428" s="275"/>
      <c r="AU428" s="275"/>
      <c r="AV428" s="275"/>
      <c r="AW428" s="275"/>
      <c r="AX428" s="275"/>
      <c r="AY428" s="437"/>
      <c r="AZ428" s="440">
        <f t="shared" si="50"/>
        <v>0</v>
      </c>
      <c r="BA428" s="275"/>
      <c r="BB428" s="275"/>
      <c r="BC428" s="275"/>
      <c r="BD428" s="275"/>
      <c r="BE428" s="275"/>
      <c r="BF428" s="275"/>
      <c r="BG428" s="275"/>
      <c r="BH428" s="436"/>
      <c r="BI428" s="275"/>
      <c r="BJ428" s="275"/>
      <c r="BK428" s="291"/>
      <c r="BL428" s="291"/>
      <c r="BM428" s="275"/>
      <c r="BN428" s="275"/>
      <c r="BO428" s="438"/>
      <c r="BP428" s="436"/>
      <c r="BQ428" s="275"/>
      <c r="BR428" s="275"/>
      <c r="BS428" s="275"/>
      <c r="BT428" s="275"/>
      <c r="BU428" s="275"/>
      <c r="BV428" s="275"/>
      <c r="BW428" s="275"/>
      <c r="BX428" s="438"/>
      <c r="BY428" s="436"/>
      <c r="BZ428" s="275"/>
      <c r="CA428" s="275"/>
      <c r="CB428" s="275"/>
      <c r="CC428" s="275"/>
      <c r="CD428" s="275"/>
      <c r="CE428" s="275"/>
      <c r="CF428" s="275"/>
      <c r="CG428" s="438"/>
      <c r="CH428" s="436"/>
      <c r="CI428" s="275"/>
      <c r="CJ428" s="275"/>
      <c r="CK428" s="275"/>
      <c r="CL428" s="275"/>
      <c r="CM428" s="275"/>
      <c r="CN428" s="275"/>
      <c r="CO428" s="442"/>
      <c r="CP428" s="443"/>
      <c r="CQ428" s="429">
        <f t="shared" si="51"/>
        <v>0</v>
      </c>
      <c r="CR428" s="430"/>
    </row>
    <row r="429" spans="1:96" ht="25.5" customHeight="1" x14ac:dyDescent="0.2">
      <c r="A429" s="410">
        <f t="shared" si="52"/>
        <v>414</v>
      </c>
      <c r="B429" s="280"/>
      <c r="C429" s="453"/>
      <c r="D429" s="411"/>
      <c r="E429" s="254"/>
      <c r="F429" s="277"/>
      <c r="G429" s="450"/>
      <c r="H429" s="451"/>
      <c r="I429" s="433" t="str">
        <f t="shared" si="46"/>
        <v/>
      </c>
      <c r="J429" s="434">
        <f t="shared" si="47"/>
        <v>0</v>
      </c>
      <c r="K429" s="452"/>
      <c r="L429" s="276"/>
      <c r="M429" s="435"/>
      <c r="N429" s="417" t="str">
        <f t="shared" si="48"/>
        <v/>
      </c>
      <c r="O429" s="418" t="str">
        <f>IF('Data Set up'!$G$40="JUNE",IF(OR($N429=7,$N429=8,$N429=9),1,IF(OR($N429=10,$N429=11,$N429=12),2,IF(OR($N429=1,$N429=2,$N429=3),3,IF(OR($N429=4,$N429=5,$N429=6),4,"")))),IF(OR($N429=9,$N429=10,$N429=11),1,IF(OR($N429=12,$N429=1,$N429=2),2,IF(OR($N429=3,$N429=4,$N429=5),3,IF(OR($N429=6,$N429=7,$N429=8),4,"")))))</f>
        <v/>
      </c>
      <c r="P429" s="445"/>
      <c r="Q429" s="291"/>
      <c r="R429" s="291"/>
      <c r="S429" s="275"/>
      <c r="T429" s="275"/>
      <c r="U429" s="275"/>
      <c r="V429" s="275"/>
      <c r="W429" s="275"/>
      <c r="X429" s="275"/>
      <c r="Y429" s="275"/>
      <c r="Z429" s="275"/>
      <c r="AA429" s="275"/>
      <c r="AB429" s="275"/>
      <c r="AC429" s="275"/>
      <c r="AD429" s="275"/>
      <c r="AE429" s="275"/>
      <c r="AF429" s="275"/>
      <c r="AG429" s="275"/>
      <c r="AH429" s="438"/>
      <c r="AI429" s="439">
        <f t="shared" si="49"/>
        <v>0</v>
      </c>
      <c r="AJ429" s="263"/>
      <c r="AK429" s="263"/>
      <c r="AL429" s="263"/>
      <c r="AM429" s="263"/>
      <c r="AN429" s="263"/>
      <c r="AO429" s="263"/>
      <c r="AP429" s="263"/>
      <c r="AQ429" s="436"/>
      <c r="AR429" s="275"/>
      <c r="AS429" s="275"/>
      <c r="AT429" s="275"/>
      <c r="AU429" s="275"/>
      <c r="AV429" s="275"/>
      <c r="AW429" s="275"/>
      <c r="AX429" s="275"/>
      <c r="AY429" s="437"/>
      <c r="AZ429" s="440">
        <f t="shared" si="50"/>
        <v>0</v>
      </c>
      <c r="BA429" s="275"/>
      <c r="BB429" s="275"/>
      <c r="BC429" s="275"/>
      <c r="BD429" s="275"/>
      <c r="BE429" s="275"/>
      <c r="BF429" s="275"/>
      <c r="BG429" s="275"/>
      <c r="BH429" s="436"/>
      <c r="BI429" s="275"/>
      <c r="BJ429" s="275"/>
      <c r="BK429" s="291"/>
      <c r="BL429" s="291"/>
      <c r="BM429" s="275"/>
      <c r="BN429" s="275"/>
      <c r="BO429" s="438"/>
      <c r="BP429" s="436"/>
      <c r="BQ429" s="275"/>
      <c r="BR429" s="275"/>
      <c r="BS429" s="275"/>
      <c r="BT429" s="275"/>
      <c r="BU429" s="275"/>
      <c r="BV429" s="275"/>
      <c r="BW429" s="275"/>
      <c r="BX429" s="438"/>
      <c r="BY429" s="436"/>
      <c r="BZ429" s="275"/>
      <c r="CA429" s="275"/>
      <c r="CB429" s="275"/>
      <c r="CC429" s="275"/>
      <c r="CD429" s="275"/>
      <c r="CE429" s="275"/>
      <c r="CF429" s="275"/>
      <c r="CG429" s="438"/>
      <c r="CH429" s="436"/>
      <c r="CI429" s="275"/>
      <c r="CJ429" s="275"/>
      <c r="CK429" s="275"/>
      <c r="CL429" s="275"/>
      <c r="CM429" s="275"/>
      <c r="CN429" s="275"/>
      <c r="CO429" s="442"/>
      <c r="CP429" s="443"/>
      <c r="CQ429" s="429">
        <f t="shared" si="51"/>
        <v>0</v>
      </c>
      <c r="CR429" s="430"/>
    </row>
    <row r="430" spans="1:96" ht="25.5" customHeight="1" x14ac:dyDescent="0.2">
      <c r="A430" s="410">
        <f t="shared" si="52"/>
        <v>415</v>
      </c>
      <c r="B430" s="280"/>
      <c r="C430" s="453"/>
      <c r="D430" s="411"/>
      <c r="E430" s="254"/>
      <c r="F430" s="277"/>
      <c r="G430" s="450"/>
      <c r="H430" s="451"/>
      <c r="I430" s="433" t="str">
        <f t="shared" si="46"/>
        <v/>
      </c>
      <c r="J430" s="434">
        <f t="shared" si="47"/>
        <v>0</v>
      </c>
      <c r="K430" s="452"/>
      <c r="L430" s="276"/>
      <c r="M430" s="435"/>
      <c r="N430" s="417" t="str">
        <f t="shared" si="48"/>
        <v/>
      </c>
      <c r="O430" s="418" t="str">
        <f>IF('Data Set up'!$G$40="JUNE",IF(OR($N430=7,$N430=8,$N430=9),1,IF(OR($N430=10,$N430=11,$N430=12),2,IF(OR($N430=1,$N430=2,$N430=3),3,IF(OR($N430=4,$N430=5,$N430=6),4,"")))),IF(OR($N430=9,$N430=10,$N430=11),1,IF(OR($N430=12,$N430=1,$N430=2),2,IF(OR($N430=3,$N430=4,$N430=5),3,IF(OR($N430=6,$N430=7,$N430=8),4,"")))))</f>
        <v/>
      </c>
      <c r="P430" s="445"/>
      <c r="Q430" s="291"/>
      <c r="R430" s="291"/>
      <c r="S430" s="275"/>
      <c r="T430" s="275"/>
      <c r="U430" s="275"/>
      <c r="V430" s="275"/>
      <c r="W430" s="275"/>
      <c r="X430" s="275"/>
      <c r="Y430" s="275"/>
      <c r="Z430" s="275"/>
      <c r="AA430" s="275"/>
      <c r="AB430" s="275"/>
      <c r="AC430" s="275"/>
      <c r="AD430" s="275"/>
      <c r="AE430" s="275"/>
      <c r="AF430" s="275"/>
      <c r="AG430" s="275"/>
      <c r="AH430" s="438"/>
      <c r="AI430" s="439">
        <f t="shared" si="49"/>
        <v>0</v>
      </c>
      <c r="AJ430" s="263"/>
      <c r="AK430" s="263"/>
      <c r="AL430" s="263"/>
      <c r="AM430" s="263"/>
      <c r="AN430" s="263"/>
      <c r="AO430" s="263"/>
      <c r="AP430" s="263"/>
      <c r="AQ430" s="436"/>
      <c r="AR430" s="275"/>
      <c r="AS430" s="275"/>
      <c r="AT430" s="275"/>
      <c r="AU430" s="275"/>
      <c r="AV430" s="275"/>
      <c r="AW430" s="275"/>
      <c r="AX430" s="275"/>
      <c r="AY430" s="437"/>
      <c r="AZ430" s="440">
        <f t="shared" si="50"/>
        <v>0</v>
      </c>
      <c r="BA430" s="275"/>
      <c r="BB430" s="275"/>
      <c r="BC430" s="275"/>
      <c r="BD430" s="275"/>
      <c r="BE430" s="275"/>
      <c r="BF430" s="275"/>
      <c r="BG430" s="275"/>
      <c r="BH430" s="436"/>
      <c r="BI430" s="275"/>
      <c r="BJ430" s="275"/>
      <c r="BK430" s="291"/>
      <c r="BL430" s="291"/>
      <c r="BM430" s="275"/>
      <c r="BN430" s="275"/>
      <c r="BO430" s="438"/>
      <c r="BP430" s="436"/>
      <c r="BQ430" s="275"/>
      <c r="BR430" s="275"/>
      <c r="BS430" s="275"/>
      <c r="BT430" s="275"/>
      <c r="BU430" s="275"/>
      <c r="BV430" s="275"/>
      <c r="BW430" s="275"/>
      <c r="BX430" s="438"/>
      <c r="BY430" s="436"/>
      <c r="BZ430" s="275"/>
      <c r="CA430" s="275"/>
      <c r="CB430" s="275"/>
      <c r="CC430" s="275"/>
      <c r="CD430" s="275"/>
      <c r="CE430" s="275"/>
      <c r="CF430" s="275"/>
      <c r="CG430" s="438"/>
      <c r="CH430" s="436"/>
      <c r="CI430" s="275"/>
      <c r="CJ430" s="275"/>
      <c r="CK430" s="275"/>
      <c r="CL430" s="275"/>
      <c r="CM430" s="275"/>
      <c r="CN430" s="275"/>
      <c r="CO430" s="442"/>
      <c r="CP430" s="443"/>
      <c r="CQ430" s="429">
        <f t="shared" si="51"/>
        <v>0</v>
      </c>
      <c r="CR430" s="430"/>
    </row>
    <row r="431" spans="1:96" ht="25.5" customHeight="1" x14ac:dyDescent="0.2">
      <c r="A431" s="410">
        <f t="shared" si="52"/>
        <v>416</v>
      </c>
      <c r="B431" s="280"/>
      <c r="C431" s="453"/>
      <c r="D431" s="411"/>
      <c r="E431" s="254"/>
      <c r="F431" s="277"/>
      <c r="G431" s="450"/>
      <c r="H431" s="451"/>
      <c r="I431" s="433" t="str">
        <f t="shared" si="46"/>
        <v/>
      </c>
      <c r="J431" s="434">
        <f t="shared" si="47"/>
        <v>0</v>
      </c>
      <c r="K431" s="452"/>
      <c r="L431" s="276"/>
      <c r="M431" s="435"/>
      <c r="N431" s="417" t="str">
        <f t="shared" si="48"/>
        <v/>
      </c>
      <c r="O431" s="418" t="str">
        <f>IF('Data Set up'!$G$40="JUNE",IF(OR($N431=7,$N431=8,$N431=9),1,IF(OR($N431=10,$N431=11,$N431=12),2,IF(OR($N431=1,$N431=2,$N431=3),3,IF(OR($N431=4,$N431=5,$N431=6),4,"")))),IF(OR($N431=9,$N431=10,$N431=11),1,IF(OR($N431=12,$N431=1,$N431=2),2,IF(OR($N431=3,$N431=4,$N431=5),3,IF(OR($N431=6,$N431=7,$N431=8),4,"")))))</f>
        <v/>
      </c>
      <c r="P431" s="445"/>
      <c r="Q431" s="291"/>
      <c r="R431" s="291"/>
      <c r="S431" s="275"/>
      <c r="T431" s="275"/>
      <c r="U431" s="275"/>
      <c r="V431" s="275"/>
      <c r="W431" s="275"/>
      <c r="X431" s="275"/>
      <c r="Y431" s="275"/>
      <c r="Z431" s="275"/>
      <c r="AA431" s="275"/>
      <c r="AB431" s="275"/>
      <c r="AC431" s="275"/>
      <c r="AD431" s="275"/>
      <c r="AE431" s="275"/>
      <c r="AF431" s="275"/>
      <c r="AG431" s="275"/>
      <c r="AH431" s="438"/>
      <c r="AI431" s="439">
        <f t="shared" si="49"/>
        <v>0</v>
      </c>
      <c r="AJ431" s="263"/>
      <c r="AK431" s="263"/>
      <c r="AL431" s="263"/>
      <c r="AM431" s="263"/>
      <c r="AN431" s="263"/>
      <c r="AO431" s="263"/>
      <c r="AP431" s="263"/>
      <c r="AQ431" s="436"/>
      <c r="AR431" s="275"/>
      <c r="AS431" s="275"/>
      <c r="AT431" s="275"/>
      <c r="AU431" s="275"/>
      <c r="AV431" s="275"/>
      <c r="AW431" s="275"/>
      <c r="AX431" s="275"/>
      <c r="AY431" s="437"/>
      <c r="AZ431" s="440">
        <f t="shared" si="50"/>
        <v>0</v>
      </c>
      <c r="BA431" s="275"/>
      <c r="BB431" s="275"/>
      <c r="BC431" s="275"/>
      <c r="BD431" s="275"/>
      <c r="BE431" s="275"/>
      <c r="BF431" s="275"/>
      <c r="BG431" s="275"/>
      <c r="BH431" s="436"/>
      <c r="BI431" s="275"/>
      <c r="BJ431" s="275"/>
      <c r="BK431" s="291"/>
      <c r="BL431" s="291"/>
      <c r="BM431" s="275"/>
      <c r="BN431" s="275"/>
      <c r="BO431" s="438"/>
      <c r="BP431" s="436"/>
      <c r="BQ431" s="275"/>
      <c r="BR431" s="275"/>
      <c r="BS431" s="275"/>
      <c r="BT431" s="275"/>
      <c r="BU431" s="275"/>
      <c r="BV431" s="275"/>
      <c r="BW431" s="275"/>
      <c r="BX431" s="438"/>
      <c r="BY431" s="436"/>
      <c r="BZ431" s="275"/>
      <c r="CA431" s="275"/>
      <c r="CB431" s="275"/>
      <c r="CC431" s="275"/>
      <c r="CD431" s="275"/>
      <c r="CE431" s="275"/>
      <c r="CF431" s="275"/>
      <c r="CG431" s="438"/>
      <c r="CH431" s="436"/>
      <c r="CI431" s="275"/>
      <c r="CJ431" s="275"/>
      <c r="CK431" s="275"/>
      <c r="CL431" s="275"/>
      <c r="CM431" s="275"/>
      <c r="CN431" s="275"/>
      <c r="CO431" s="442"/>
      <c r="CP431" s="443"/>
      <c r="CQ431" s="429">
        <f t="shared" si="51"/>
        <v>0</v>
      </c>
      <c r="CR431" s="430"/>
    </row>
    <row r="432" spans="1:96" ht="25.5" customHeight="1" x14ac:dyDescent="0.2">
      <c r="A432" s="410">
        <f t="shared" si="52"/>
        <v>417</v>
      </c>
      <c r="B432" s="280"/>
      <c r="C432" s="453"/>
      <c r="D432" s="411"/>
      <c r="E432" s="254"/>
      <c r="F432" s="277"/>
      <c r="G432" s="450"/>
      <c r="H432" s="451"/>
      <c r="I432" s="433" t="str">
        <f t="shared" si="46"/>
        <v/>
      </c>
      <c r="J432" s="434">
        <f t="shared" si="47"/>
        <v>0</v>
      </c>
      <c r="K432" s="452"/>
      <c r="L432" s="276"/>
      <c r="M432" s="435"/>
      <c r="N432" s="417" t="str">
        <f t="shared" si="48"/>
        <v/>
      </c>
      <c r="O432" s="418" t="str">
        <f>IF('Data Set up'!$G$40="JUNE",IF(OR($N432=7,$N432=8,$N432=9),1,IF(OR($N432=10,$N432=11,$N432=12),2,IF(OR($N432=1,$N432=2,$N432=3),3,IF(OR($N432=4,$N432=5,$N432=6),4,"")))),IF(OR($N432=9,$N432=10,$N432=11),1,IF(OR($N432=12,$N432=1,$N432=2),2,IF(OR($N432=3,$N432=4,$N432=5),3,IF(OR($N432=6,$N432=7,$N432=8),4,"")))))</f>
        <v/>
      </c>
      <c r="P432" s="445"/>
      <c r="Q432" s="291"/>
      <c r="R432" s="291"/>
      <c r="S432" s="275"/>
      <c r="T432" s="275"/>
      <c r="U432" s="275"/>
      <c r="V432" s="275"/>
      <c r="W432" s="275"/>
      <c r="X432" s="275"/>
      <c r="Y432" s="275"/>
      <c r="Z432" s="275"/>
      <c r="AA432" s="275"/>
      <c r="AB432" s="275"/>
      <c r="AC432" s="275"/>
      <c r="AD432" s="275"/>
      <c r="AE432" s="275"/>
      <c r="AF432" s="275"/>
      <c r="AG432" s="275"/>
      <c r="AH432" s="438"/>
      <c r="AI432" s="439">
        <f t="shared" si="49"/>
        <v>0</v>
      </c>
      <c r="AJ432" s="263"/>
      <c r="AK432" s="263"/>
      <c r="AL432" s="263"/>
      <c r="AM432" s="263"/>
      <c r="AN432" s="263"/>
      <c r="AO432" s="263"/>
      <c r="AP432" s="263"/>
      <c r="AQ432" s="436"/>
      <c r="AR432" s="275"/>
      <c r="AS432" s="275"/>
      <c r="AT432" s="275"/>
      <c r="AU432" s="275"/>
      <c r="AV432" s="275"/>
      <c r="AW432" s="275"/>
      <c r="AX432" s="275"/>
      <c r="AY432" s="437"/>
      <c r="AZ432" s="440">
        <f t="shared" si="50"/>
        <v>0</v>
      </c>
      <c r="BA432" s="275"/>
      <c r="BB432" s="275"/>
      <c r="BC432" s="275"/>
      <c r="BD432" s="275"/>
      <c r="BE432" s="275"/>
      <c r="BF432" s="275"/>
      <c r="BG432" s="275"/>
      <c r="BH432" s="436"/>
      <c r="BI432" s="275"/>
      <c r="BJ432" s="275"/>
      <c r="BK432" s="291"/>
      <c r="BL432" s="291"/>
      <c r="BM432" s="275"/>
      <c r="BN432" s="275"/>
      <c r="BO432" s="438"/>
      <c r="BP432" s="436"/>
      <c r="BQ432" s="275"/>
      <c r="BR432" s="275"/>
      <c r="BS432" s="275"/>
      <c r="BT432" s="275"/>
      <c r="BU432" s="275"/>
      <c r="BV432" s="275"/>
      <c r="BW432" s="275"/>
      <c r="BX432" s="438"/>
      <c r="BY432" s="436"/>
      <c r="BZ432" s="275"/>
      <c r="CA432" s="275"/>
      <c r="CB432" s="275"/>
      <c r="CC432" s="275"/>
      <c r="CD432" s="275"/>
      <c r="CE432" s="275"/>
      <c r="CF432" s="275"/>
      <c r="CG432" s="438"/>
      <c r="CH432" s="436"/>
      <c r="CI432" s="275"/>
      <c r="CJ432" s="275"/>
      <c r="CK432" s="275"/>
      <c r="CL432" s="275"/>
      <c r="CM432" s="275"/>
      <c r="CN432" s="275"/>
      <c r="CO432" s="442"/>
      <c r="CP432" s="443"/>
      <c r="CQ432" s="429">
        <f t="shared" si="51"/>
        <v>0</v>
      </c>
      <c r="CR432" s="430"/>
    </row>
    <row r="433" spans="1:96" ht="25.5" customHeight="1" x14ac:dyDescent="0.2">
      <c r="A433" s="410">
        <f t="shared" si="52"/>
        <v>418</v>
      </c>
      <c r="B433" s="280"/>
      <c r="C433" s="453"/>
      <c r="D433" s="411"/>
      <c r="E433" s="254"/>
      <c r="F433" s="277"/>
      <c r="G433" s="450"/>
      <c r="H433" s="451"/>
      <c r="I433" s="433" t="str">
        <f t="shared" si="46"/>
        <v/>
      </c>
      <c r="J433" s="434">
        <f t="shared" si="47"/>
        <v>0</v>
      </c>
      <c r="K433" s="452"/>
      <c r="L433" s="276"/>
      <c r="M433" s="435"/>
      <c r="N433" s="417" t="str">
        <f t="shared" si="48"/>
        <v/>
      </c>
      <c r="O433" s="418" t="str">
        <f>IF('Data Set up'!$G$40="JUNE",IF(OR($N433=7,$N433=8,$N433=9),1,IF(OR($N433=10,$N433=11,$N433=12),2,IF(OR($N433=1,$N433=2,$N433=3),3,IF(OR($N433=4,$N433=5,$N433=6),4,"")))),IF(OR($N433=9,$N433=10,$N433=11),1,IF(OR($N433=12,$N433=1,$N433=2),2,IF(OR($N433=3,$N433=4,$N433=5),3,IF(OR($N433=6,$N433=7,$N433=8),4,"")))))</f>
        <v/>
      </c>
      <c r="P433" s="445"/>
      <c r="Q433" s="291"/>
      <c r="R433" s="291"/>
      <c r="S433" s="275"/>
      <c r="T433" s="275"/>
      <c r="U433" s="275"/>
      <c r="V433" s="275"/>
      <c r="W433" s="275"/>
      <c r="X433" s="275"/>
      <c r="Y433" s="275"/>
      <c r="Z433" s="275"/>
      <c r="AA433" s="275"/>
      <c r="AB433" s="275"/>
      <c r="AC433" s="275"/>
      <c r="AD433" s="275"/>
      <c r="AE433" s="275"/>
      <c r="AF433" s="275"/>
      <c r="AG433" s="275"/>
      <c r="AH433" s="438"/>
      <c r="AI433" s="439">
        <f t="shared" si="49"/>
        <v>0</v>
      </c>
      <c r="AJ433" s="263"/>
      <c r="AK433" s="263"/>
      <c r="AL433" s="263"/>
      <c r="AM433" s="263"/>
      <c r="AN433" s="263"/>
      <c r="AO433" s="263"/>
      <c r="AP433" s="263"/>
      <c r="AQ433" s="436"/>
      <c r="AR433" s="275"/>
      <c r="AS433" s="275"/>
      <c r="AT433" s="275"/>
      <c r="AU433" s="275"/>
      <c r="AV433" s="275"/>
      <c r="AW433" s="275"/>
      <c r="AX433" s="275"/>
      <c r="AY433" s="437"/>
      <c r="AZ433" s="440">
        <f t="shared" si="50"/>
        <v>0</v>
      </c>
      <c r="BA433" s="275"/>
      <c r="BB433" s="275"/>
      <c r="BC433" s="275"/>
      <c r="BD433" s="275"/>
      <c r="BE433" s="275"/>
      <c r="BF433" s="275"/>
      <c r="BG433" s="275"/>
      <c r="BH433" s="436"/>
      <c r="BI433" s="275"/>
      <c r="BJ433" s="275"/>
      <c r="BK433" s="291"/>
      <c r="BL433" s="291"/>
      <c r="BM433" s="275"/>
      <c r="BN433" s="275"/>
      <c r="BO433" s="438"/>
      <c r="BP433" s="436"/>
      <c r="BQ433" s="275"/>
      <c r="BR433" s="275"/>
      <c r="BS433" s="275"/>
      <c r="BT433" s="275"/>
      <c r="BU433" s="275"/>
      <c r="BV433" s="275"/>
      <c r="BW433" s="275"/>
      <c r="BX433" s="438"/>
      <c r="BY433" s="436"/>
      <c r="BZ433" s="275"/>
      <c r="CA433" s="275"/>
      <c r="CB433" s="275"/>
      <c r="CC433" s="275"/>
      <c r="CD433" s="275"/>
      <c r="CE433" s="275"/>
      <c r="CF433" s="275"/>
      <c r="CG433" s="438"/>
      <c r="CH433" s="436"/>
      <c r="CI433" s="275"/>
      <c r="CJ433" s="275"/>
      <c r="CK433" s="275"/>
      <c r="CL433" s="275"/>
      <c r="CM433" s="275"/>
      <c r="CN433" s="275"/>
      <c r="CO433" s="442"/>
      <c r="CP433" s="443"/>
      <c r="CQ433" s="429">
        <f t="shared" si="51"/>
        <v>0</v>
      </c>
      <c r="CR433" s="430"/>
    </row>
    <row r="434" spans="1:96" ht="25.5" customHeight="1" x14ac:dyDescent="0.2">
      <c r="A434" s="410">
        <f t="shared" si="52"/>
        <v>419</v>
      </c>
      <c r="B434" s="280"/>
      <c r="C434" s="453"/>
      <c r="D434" s="411"/>
      <c r="E434" s="254"/>
      <c r="F434" s="277"/>
      <c r="G434" s="450"/>
      <c r="H434" s="451"/>
      <c r="I434" s="433" t="str">
        <f t="shared" si="46"/>
        <v/>
      </c>
      <c r="J434" s="434">
        <f t="shared" si="47"/>
        <v>0</v>
      </c>
      <c r="K434" s="452"/>
      <c r="L434" s="276"/>
      <c r="M434" s="435"/>
      <c r="N434" s="417" t="str">
        <f t="shared" si="48"/>
        <v/>
      </c>
      <c r="O434" s="418" t="str">
        <f>IF('Data Set up'!$G$40="JUNE",IF(OR($N434=7,$N434=8,$N434=9),1,IF(OR($N434=10,$N434=11,$N434=12),2,IF(OR($N434=1,$N434=2,$N434=3),3,IF(OR($N434=4,$N434=5,$N434=6),4,"")))),IF(OR($N434=9,$N434=10,$N434=11),1,IF(OR($N434=12,$N434=1,$N434=2),2,IF(OR($N434=3,$N434=4,$N434=5),3,IF(OR($N434=6,$N434=7,$N434=8),4,"")))))</f>
        <v/>
      </c>
      <c r="P434" s="445"/>
      <c r="Q434" s="291"/>
      <c r="R434" s="291"/>
      <c r="S434" s="275"/>
      <c r="T434" s="275"/>
      <c r="U434" s="275"/>
      <c r="V434" s="275"/>
      <c r="W434" s="275"/>
      <c r="X434" s="275"/>
      <c r="Y434" s="275"/>
      <c r="Z434" s="275"/>
      <c r="AA434" s="275"/>
      <c r="AB434" s="275"/>
      <c r="AC434" s="275"/>
      <c r="AD434" s="275"/>
      <c r="AE434" s="275"/>
      <c r="AF434" s="275"/>
      <c r="AG434" s="275"/>
      <c r="AH434" s="438"/>
      <c r="AI434" s="439">
        <f t="shared" si="49"/>
        <v>0</v>
      </c>
      <c r="AJ434" s="263"/>
      <c r="AK434" s="263"/>
      <c r="AL434" s="263"/>
      <c r="AM434" s="263"/>
      <c r="AN434" s="263"/>
      <c r="AO434" s="263"/>
      <c r="AP434" s="263"/>
      <c r="AQ434" s="436"/>
      <c r="AR434" s="275"/>
      <c r="AS434" s="275"/>
      <c r="AT434" s="275"/>
      <c r="AU434" s="275"/>
      <c r="AV434" s="275"/>
      <c r="AW434" s="275"/>
      <c r="AX434" s="275"/>
      <c r="AY434" s="437"/>
      <c r="AZ434" s="440">
        <f t="shared" si="50"/>
        <v>0</v>
      </c>
      <c r="BA434" s="275"/>
      <c r="BB434" s="275"/>
      <c r="BC434" s="275"/>
      <c r="BD434" s="275"/>
      <c r="BE434" s="275"/>
      <c r="BF434" s="275"/>
      <c r="BG434" s="275"/>
      <c r="BH434" s="436"/>
      <c r="BI434" s="275"/>
      <c r="BJ434" s="275"/>
      <c r="BK434" s="291"/>
      <c r="BL434" s="291"/>
      <c r="BM434" s="275"/>
      <c r="BN434" s="275"/>
      <c r="BO434" s="438"/>
      <c r="BP434" s="436"/>
      <c r="BQ434" s="275"/>
      <c r="BR434" s="275"/>
      <c r="BS434" s="275"/>
      <c r="BT434" s="275"/>
      <c r="BU434" s="275"/>
      <c r="BV434" s="275"/>
      <c r="BW434" s="275"/>
      <c r="BX434" s="438"/>
      <c r="BY434" s="436"/>
      <c r="BZ434" s="275"/>
      <c r="CA434" s="275"/>
      <c r="CB434" s="275"/>
      <c r="CC434" s="275"/>
      <c r="CD434" s="275"/>
      <c r="CE434" s="275"/>
      <c r="CF434" s="275"/>
      <c r="CG434" s="438"/>
      <c r="CH434" s="436"/>
      <c r="CI434" s="275"/>
      <c r="CJ434" s="275"/>
      <c r="CK434" s="275"/>
      <c r="CL434" s="275"/>
      <c r="CM434" s="275"/>
      <c r="CN434" s="275"/>
      <c r="CO434" s="442"/>
      <c r="CP434" s="443"/>
      <c r="CQ434" s="429">
        <f t="shared" si="51"/>
        <v>0</v>
      </c>
      <c r="CR434" s="430"/>
    </row>
    <row r="435" spans="1:96" ht="25.5" customHeight="1" x14ac:dyDescent="0.2">
      <c r="A435" s="410">
        <f t="shared" si="52"/>
        <v>420</v>
      </c>
      <c r="B435" s="280"/>
      <c r="C435" s="453"/>
      <c r="D435" s="411"/>
      <c r="E435" s="254"/>
      <c r="F435" s="277"/>
      <c r="G435" s="450"/>
      <c r="H435" s="451"/>
      <c r="I435" s="433" t="str">
        <f t="shared" si="46"/>
        <v/>
      </c>
      <c r="J435" s="434">
        <f t="shared" si="47"/>
        <v>0</v>
      </c>
      <c r="K435" s="452"/>
      <c r="L435" s="276"/>
      <c r="M435" s="435"/>
      <c r="N435" s="417" t="str">
        <f t="shared" si="48"/>
        <v/>
      </c>
      <c r="O435" s="418" t="str">
        <f>IF('Data Set up'!$G$40="JUNE",IF(OR($N435=7,$N435=8,$N435=9),1,IF(OR($N435=10,$N435=11,$N435=12),2,IF(OR($N435=1,$N435=2,$N435=3),3,IF(OR($N435=4,$N435=5,$N435=6),4,"")))),IF(OR($N435=9,$N435=10,$N435=11),1,IF(OR($N435=12,$N435=1,$N435=2),2,IF(OR($N435=3,$N435=4,$N435=5),3,IF(OR($N435=6,$N435=7,$N435=8),4,"")))))</f>
        <v/>
      </c>
      <c r="P435" s="445"/>
      <c r="Q435" s="291"/>
      <c r="R435" s="291"/>
      <c r="S435" s="275"/>
      <c r="T435" s="275"/>
      <c r="U435" s="275"/>
      <c r="V435" s="275"/>
      <c r="W435" s="275"/>
      <c r="X435" s="275"/>
      <c r="Y435" s="275"/>
      <c r="Z435" s="275"/>
      <c r="AA435" s="275"/>
      <c r="AB435" s="275"/>
      <c r="AC435" s="275"/>
      <c r="AD435" s="275"/>
      <c r="AE435" s="275"/>
      <c r="AF435" s="275"/>
      <c r="AG435" s="275"/>
      <c r="AH435" s="438"/>
      <c r="AI435" s="439">
        <f t="shared" si="49"/>
        <v>0</v>
      </c>
      <c r="AJ435" s="263"/>
      <c r="AK435" s="263"/>
      <c r="AL435" s="263"/>
      <c r="AM435" s="263"/>
      <c r="AN435" s="263"/>
      <c r="AO435" s="263"/>
      <c r="AP435" s="263"/>
      <c r="AQ435" s="436"/>
      <c r="AR435" s="275"/>
      <c r="AS435" s="275"/>
      <c r="AT435" s="275"/>
      <c r="AU435" s="275"/>
      <c r="AV435" s="275"/>
      <c r="AW435" s="275"/>
      <c r="AX435" s="275"/>
      <c r="AY435" s="437"/>
      <c r="AZ435" s="440">
        <f t="shared" si="50"/>
        <v>0</v>
      </c>
      <c r="BA435" s="275"/>
      <c r="BB435" s="275"/>
      <c r="BC435" s="275"/>
      <c r="BD435" s="275"/>
      <c r="BE435" s="275"/>
      <c r="BF435" s="275"/>
      <c r="BG435" s="275"/>
      <c r="BH435" s="436"/>
      <c r="BI435" s="275"/>
      <c r="BJ435" s="275"/>
      <c r="BK435" s="291"/>
      <c r="BL435" s="291"/>
      <c r="BM435" s="275"/>
      <c r="BN435" s="275"/>
      <c r="BO435" s="438"/>
      <c r="BP435" s="436"/>
      <c r="BQ435" s="275"/>
      <c r="BR435" s="275"/>
      <c r="BS435" s="275"/>
      <c r="BT435" s="275"/>
      <c r="BU435" s="275"/>
      <c r="BV435" s="275"/>
      <c r="BW435" s="275"/>
      <c r="BX435" s="438"/>
      <c r="BY435" s="436"/>
      <c r="BZ435" s="275"/>
      <c r="CA435" s="275"/>
      <c r="CB435" s="275"/>
      <c r="CC435" s="275"/>
      <c r="CD435" s="275"/>
      <c r="CE435" s="275"/>
      <c r="CF435" s="275"/>
      <c r="CG435" s="438"/>
      <c r="CH435" s="436"/>
      <c r="CI435" s="275"/>
      <c r="CJ435" s="275"/>
      <c r="CK435" s="275"/>
      <c r="CL435" s="275"/>
      <c r="CM435" s="275"/>
      <c r="CN435" s="275"/>
      <c r="CO435" s="442"/>
      <c r="CP435" s="443"/>
      <c r="CQ435" s="429">
        <f t="shared" si="51"/>
        <v>0</v>
      </c>
      <c r="CR435" s="430"/>
    </row>
    <row r="436" spans="1:96" ht="25.5" customHeight="1" x14ac:dyDescent="0.2">
      <c r="A436" s="410">
        <f t="shared" si="52"/>
        <v>421</v>
      </c>
      <c r="B436" s="280"/>
      <c r="C436" s="453"/>
      <c r="D436" s="411"/>
      <c r="E436" s="254"/>
      <c r="F436" s="277"/>
      <c r="G436" s="450"/>
      <c r="H436" s="451"/>
      <c r="I436" s="433" t="str">
        <f t="shared" si="46"/>
        <v/>
      </c>
      <c r="J436" s="434">
        <f t="shared" si="47"/>
        <v>0</v>
      </c>
      <c r="K436" s="452"/>
      <c r="L436" s="276"/>
      <c r="M436" s="435"/>
      <c r="N436" s="417" t="str">
        <f t="shared" si="48"/>
        <v/>
      </c>
      <c r="O436" s="418" t="str">
        <f>IF('Data Set up'!$G$40="JUNE",IF(OR($N436=7,$N436=8,$N436=9),1,IF(OR($N436=10,$N436=11,$N436=12),2,IF(OR($N436=1,$N436=2,$N436=3),3,IF(OR($N436=4,$N436=5,$N436=6),4,"")))),IF(OR($N436=9,$N436=10,$N436=11),1,IF(OR($N436=12,$N436=1,$N436=2),2,IF(OR($N436=3,$N436=4,$N436=5),3,IF(OR($N436=6,$N436=7,$N436=8),4,"")))))</f>
        <v/>
      </c>
      <c r="P436" s="445"/>
      <c r="Q436" s="291"/>
      <c r="R436" s="291"/>
      <c r="S436" s="275"/>
      <c r="T436" s="275"/>
      <c r="U436" s="275"/>
      <c r="V436" s="275"/>
      <c r="W436" s="275"/>
      <c r="X436" s="275"/>
      <c r="Y436" s="275"/>
      <c r="Z436" s="275"/>
      <c r="AA436" s="275"/>
      <c r="AB436" s="275"/>
      <c r="AC436" s="275"/>
      <c r="AD436" s="275"/>
      <c r="AE436" s="275"/>
      <c r="AF436" s="275"/>
      <c r="AG436" s="275"/>
      <c r="AH436" s="438"/>
      <c r="AI436" s="439">
        <f t="shared" si="49"/>
        <v>0</v>
      </c>
      <c r="AJ436" s="263"/>
      <c r="AK436" s="263"/>
      <c r="AL436" s="263"/>
      <c r="AM436" s="263"/>
      <c r="AN436" s="263"/>
      <c r="AO436" s="263"/>
      <c r="AP436" s="263"/>
      <c r="AQ436" s="436"/>
      <c r="AR436" s="275"/>
      <c r="AS436" s="275"/>
      <c r="AT436" s="275"/>
      <c r="AU436" s="275"/>
      <c r="AV436" s="275"/>
      <c r="AW436" s="275"/>
      <c r="AX436" s="275"/>
      <c r="AY436" s="437"/>
      <c r="AZ436" s="440">
        <f t="shared" si="50"/>
        <v>0</v>
      </c>
      <c r="BA436" s="275"/>
      <c r="BB436" s="275"/>
      <c r="BC436" s="275"/>
      <c r="BD436" s="275"/>
      <c r="BE436" s="275"/>
      <c r="BF436" s="275"/>
      <c r="BG436" s="275"/>
      <c r="BH436" s="436"/>
      <c r="BI436" s="275"/>
      <c r="BJ436" s="275"/>
      <c r="BK436" s="291"/>
      <c r="BL436" s="291"/>
      <c r="BM436" s="275"/>
      <c r="BN436" s="275"/>
      <c r="BO436" s="438"/>
      <c r="BP436" s="436"/>
      <c r="BQ436" s="275"/>
      <c r="BR436" s="275"/>
      <c r="BS436" s="275"/>
      <c r="BT436" s="275"/>
      <c r="BU436" s="275"/>
      <c r="BV436" s="275"/>
      <c r="BW436" s="275"/>
      <c r="BX436" s="438"/>
      <c r="BY436" s="436"/>
      <c r="BZ436" s="275"/>
      <c r="CA436" s="275"/>
      <c r="CB436" s="275"/>
      <c r="CC436" s="275"/>
      <c r="CD436" s="275"/>
      <c r="CE436" s="275"/>
      <c r="CF436" s="275"/>
      <c r="CG436" s="438"/>
      <c r="CH436" s="436"/>
      <c r="CI436" s="275"/>
      <c r="CJ436" s="275"/>
      <c r="CK436" s="275"/>
      <c r="CL436" s="275"/>
      <c r="CM436" s="275"/>
      <c r="CN436" s="275"/>
      <c r="CO436" s="442"/>
      <c r="CP436" s="443"/>
      <c r="CQ436" s="429">
        <f t="shared" si="51"/>
        <v>0</v>
      </c>
      <c r="CR436" s="430"/>
    </row>
    <row r="437" spans="1:96" ht="25.5" customHeight="1" x14ac:dyDescent="0.2">
      <c r="A437" s="410">
        <f t="shared" si="52"/>
        <v>422</v>
      </c>
      <c r="B437" s="280"/>
      <c r="C437" s="453"/>
      <c r="D437" s="411"/>
      <c r="E437" s="254"/>
      <c r="F437" s="277"/>
      <c r="G437" s="450"/>
      <c r="H437" s="451"/>
      <c r="I437" s="433" t="str">
        <f t="shared" si="46"/>
        <v/>
      </c>
      <c r="J437" s="434">
        <f t="shared" si="47"/>
        <v>0</v>
      </c>
      <c r="K437" s="452"/>
      <c r="L437" s="276"/>
      <c r="M437" s="435"/>
      <c r="N437" s="417" t="str">
        <f t="shared" si="48"/>
        <v/>
      </c>
      <c r="O437" s="418" t="str">
        <f>IF('Data Set up'!$G$40="JUNE",IF(OR($N437=7,$N437=8,$N437=9),1,IF(OR($N437=10,$N437=11,$N437=12),2,IF(OR($N437=1,$N437=2,$N437=3),3,IF(OR($N437=4,$N437=5,$N437=6),4,"")))),IF(OR($N437=9,$N437=10,$N437=11),1,IF(OR($N437=12,$N437=1,$N437=2),2,IF(OR($N437=3,$N437=4,$N437=5),3,IF(OR($N437=6,$N437=7,$N437=8),4,"")))))</f>
        <v/>
      </c>
      <c r="P437" s="445"/>
      <c r="Q437" s="291"/>
      <c r="R437" s="291"/>
      <c r="S437" s="275"/>
      <c r="T437" s="275"/>
      <c r="U437" s="275"/>
      <c r="V437" s="275"/>
      <c r="W437" s="275"/>
      <c r="X437" s="275"/>
      <c r="Y437" s="275"/>
      <c r="Z437" s="275"/>
      <c r="AA437" s="275"/>
      <c r="AB437" s="275"/>
      <c r="AC437" s="275"/>
      <c r="AD437" s="275"/>
      <c r="AE437" s="275"/>
      <c r="AF437" s="275"/>
      <c r="AG437" s="275"/>
      <c r="AH437" s="438"/>
      <c r="AI437" s="439">
        <f t="shared" si="49"/>
        <v>0</v>
      </c>
      <c r="AJ437" s="263"/>
      <c r="AK437" s="263"/>
      <c r="AL437" s="263"/>
      <c r="AM437" s="263"/>
      <c r="AN437" s="263"/>
      <c r="AO437" s="263"/>
      <c r="AP437" s="263"/>
      <c r="AQ437" s="436"/>
      <c r="AR437" s="275"/>
      <c r="AS437" s="275"/>
      <c r="AT437" s="275"/>
      <c r="AU437" s="275"/>
      <c r="AV437" s="275"/>
      <c r="AW437" s="275"/>
      <c r="AX437" s="275"/>
      <c r="AY437" s="437"/>
      <c r="AZ437" s="440">
        <f t="shared" si="50"/>
        <v>0</v>
      </c>
      <c r="BA437" s="275"/>
      <c r="BB437" s="275"/>
      <c r="BC437" s="275"/>
      <c r="BD437" s="275"/>
      <c r="BE437" s="275"/>
      <c r="BF437" s="275"/>
      <c r="BG437" s="275"/>
      <c r="BH437" s="436"/>
      <c r="BI437" s="275"/>
      <c r="BJ437" s="275"/>
      <c r="BK437" s="291"/>
      <c r="BL437" s="291"/>
      <c r="BM437" s="275"/>
      <c r="BN437" s="275"/>
      <c r="BO437" s="438"/>
      <c r="BP437" s="436"/>
      <c r="BQ437" s="275"/>
      <c r="BR437" s="275"/>
      <c r="BS437" s="275"/>
      <c r="BT437" s="275"/>
      <c r="BU437" s="275"/>
      <c r="BV437" s="275"/>
      <c r="BW437" s="275"/>
      <c r="BX437" s="438"/>
      <c r="BY437" s="436"/>
      <c r="BZ437" s="275"/>
      <c r="CA437" s="275"/>
      <c r="CB437" s="275"/>
      <c r="CC437" s="275"/>
      <c r="CD437" s="275"/>
      <c r="CE437" s="275"/>
      <c r="CF437" s="275"/>
      <c r="CG437" s="438"/>
      <c r="CH437" s="436"/>
      <c r="CI437" s="275"/>
      <c r="CJ437" s="275"/>
      <c r="CK437" s="275"/>
      <c r="CL437" s="275"/>
      <c r="CM437" s="275"/>
      <c r="CN437" s="275"/>
      <c r="CO437" s="442"/>
      <c r="CP437" s="443"/>
      <c r="CQ437" s="429">
        <f t="shared" si="51"/>
        <v>0</v>
      </c>
      <c r="CR437" s="430"/>
    </row>
    <row r="438" spans="1:96" ht="25.5" customHeight="1" x14ac:dyDescent="0.2">
      <c r="A438" s="410">
        <f t="shared" si="52"/>
        <v>423</v>
      </c>
      <c r="B438" s="280"/>
      <c r="C438" s="453"/>
      <c r="D438" s="411"/>
      <c r="E438" s="254"/>
      <c r="F438" s="277"/>
      <c r="G438" s="450"/>
      <c r="H438" s="451"/>
      <c r="I438" s="433" t="str">
        <f t="shared" si="46"/>
        <v/>
      </c>
      <c r="J438" s="434">
        <f t="shared" si="47"/>
        <v>0</v>
      </c>
      <c r="K438" s="452"/>
      <c r="L438" s="276"/>
      <c r="M438" s="435"/>
      <c r="N438" s="417" t="str">
        <f t="shared" si="48"/>
        <v/>
      </c>
      <c r="O438" s="418" t="str">
        <f>IF('Data Set up'!$G$40="JUNE",IF(OR($N438=7,$N438=8,$N438=9),1,IF(OR($N438=10,$N438=11,$N438=12),2,IF(OR($N438=1,$N438=2,$N438=3),3,IF(OR($N438=4,$N438=5,$N438=6),4,"")))),IF(OR($N438=9,$N438=10,$N438=11),1,IF(OR($N438=12,$N438=1,$N438=2),2,IF(OR($N438=3,$N438=4,$N438=5),3,IF(OR($N438=6,$N438=7,$N438=8),4,"")))))</f>
        <v/>
      </c>
      <c r="P438" s="445"/>
      <c r="Q438" s="291"/>
      <c r="R438" s="291"/>
      <c r="S438" s="275"/>
      <c r="T438" s="275"/>
      <c r="U438" s="275"/>
      <c r="V438" s="275"/>
      <c r="W438" s="275"/>
      <c r="X438" s="275"/>
      <c r="Y438" s="275"/>
      <c r="Z438" s="275"/>
      <c r="AA438" s="275"/>
      <c r="AB438" s="275"/>
      <c r="AC438" s="275"/>
      <c r="AD438" s="275"/>
      <c r="AE438" s="275"/>
      <c r="AF438" s="275"/>
      <c r="AG438" s="275"/>
      <c r="AH438" s="438"/>
      <c r="AI438" s="439">
        <f t="shared" si="49"/>
        <v>0</v>
      </c>
      <c r="AJ438" s="263"/>
      <c r="AK438" s="263"/>
      <c r="AL438" s="263"/>
      <c r="AM438" s="263"/>
      <c r="AN438" s="263"/>
      <c r="AO438" s="263"/>
      <c r="AP438" s="263"/>
      <c r="AQ438" s="436"/>
      <c r="AR438" s="275"/>
      <c r="AS438" s="275"/>
      <c r="AT438" s="275"/>
      <c r="AU438" s="275"/>
      <c r="AV438" s="275"/>
      <c r="AW438" s="275"/>
      <c r="AX438" s="275"/>
      <c r="AY438" s="437"/>
      <c r="AZ438" s="440">
        <f t="shared" si="50"/>
        <v>0</v>
      </c>
      <c r="BA438" s="275"/>
      <c r="BB438" s="275"/>
      <c r="BC438" s="275"/>
      <c r="BD438" s="275"/>
      <c r="BE438" s="275"/>
      <c r="BF438" s="275"/>
      <c r="BG438" s="275"/>
      <c r="BH438" s="436"/>
      <c r="BI438" s="275"/>
      <c r="BJ438" s="275"/>
      <c r="BK438" s="291"/>
      <c r="BL438" s="291"/>
      <c r="BM438" s="275"/>
      <c r="BN438" s="275"/>
      <c r="BO438" s="438"/>
      <c r="BP438" s="436"/>
      <c r="BQ438" s="275"/>
      <c r="BR438" s="275"/>
      <c r="BS438" s="275"/>
      <c r="BT438" s="275"/>
      <c r="BU438" s="275"/>
      <c r="BV438" s="275"/>
      <c r="BW438" s="275"/>
      <c r="BX438" s="438"/>
      <c r="BY438" s="436"/>
      <c r="BZ438" s="275"/>
      <c r="CA438" s="275"/>
      <c r="CB438" s="275"/>
      <c r="CC438" s="275"/>
      <c r="CD438" s="275"/>
      <c r="CE438" s="275"/>
      <c r="CF438" s="275"/>
      <c r="CG438" s="438"/>
      <c r="CH438" s="436"/>
      <c r="CI438" s="275"/>
      <c r="CJ438" s="275"/>
      <c r="CK438" s="275"/>
      <c r="CL438" s="275"/>
      <c r="CM438" s="275"/>
      <c r="CN438" s="275"/>
      <c r="CO438" s="442"/>
      <c r="CP438" s="443"/>
      <c r="CQ438" s="429">
        <f t="shared" si="51"/>
        <v>0</v>
      </c>
      <c r="CR438" s="430"/>
    </row>
    <row r="439" spans="1:96" ht="25.5" customHeight="1" x14ac:dyDescent="0.2">
      <c r="A439" s="410">
        <f t="shared" si="52"/>
        <v>424</v>
      </c>
      <c r="B439" s="280"/>
      <c r="C439" s="453"/>
      <c r="D439" s="411"/>
      <c r="E439" s="254"/>
      <c r="F439" s="277"/>
      <c r="G439" s="450"/>
      <c r="H439" s="451"/>
      <c r="I439" s="433" t="str">
        <f t="shared" si="46"/>
        <v/>
      </c>
      <c r="J439" s="434">
        <f t="shared" si="47"/>
        <v>0</v>
      </c>
      <c r="K439" s="452"/>
      <c r="L439" s="276"/>
      <c r="M439" s="435"/>
      <c r="N439" s="417" t="str">
        <f t="shared" si="48"/>
        <v/>
      </c>
      <c r="O439" s="418" t="str">
        <f>IF('Data Set up'!$G$40="JUNE",IF(OR($N439=7,$N439=8,$N439=9),1,IF(OR($N439=10,$N439=11,$N439=12),2,IF(OR($N439=1,$N439=2,$N439=3),3,IF(OR($N439=4,$N439=5,$N439=6),4,"")))),IF(OR($N439=9,$N439=10,$N439=11),1,IF(OR($N439=12,$N439=1,$N439=2),2,IF(OR($N439=3,$N439=4,$N439=5),3,IF(OR($N439=6,$N439=7,$N439=8),4,"")))))</f>
        <v/>
      </c>
      <c r="P439" s="445"/>
      <c r="Q439" s="291"/>
      <c r="R439" s="291"/>
      <c r="S439" s="275"/>
      <c r="T439" s="275"/>
      <c r="U439" s="275"/>
      <c r="V439" s="275"/>
      <c r="W439" s="275"/>
      <c r="X439" s="275"/>
      <c r="Y439" s="275"/>
      <c r="Z439" s="275"/>
      <c r="AA439" s="275"/>
      <c r="AB439" s="275"/>
      <c r="AC439" s="275"/>
      <c r="AD439" s="275"/>
      <c r="AE439" s="275"/>
      <c r="AF439" s="275"/>
      <c r="AG439" s="275"/>
      <c r="AH439" s="438"/>
      <c r="AI439" s="439">
        <f t="shared" si="49"/>
        <v>0</v>
      </c>
      <c r="AJ439" s="263"/>
      <c r="AK439" s="263"/>
      <c r="AL439" s="263"/>
      <c r="AM439" s="263"/>
      <c r="AN439" s="263"/>
      <c r="AO439" s="263"/>
      <c r="AP439" s="263"/>
      <c r="AQ439" s="436"/>
      <c r="AR439" s="275"/>
      <c r="AS439" s="275"/>
      <c r="AT439" s="275"/>
      <c r="AU439" s="275"/>
      <c r="AV439" s="275"/>
      <c r="AW439" s="275"/>
      <c r="AX439" s="275"/>
      <c r="AY439" s="437"/>
      <c r="AZ439" s="440">
        <f t="shared" si="50"/>
        <v>0</v>
      </c>
      <c r="BA439" s="275"/>
      <c r="BB439" s="275"/>
      <c r="BC439" s="275"/>
      <c r="BD439" s="275"/>
      <c r="BE439" s="275"/>
      <c r="BF439" s="275"/>
      <c r="BG439" s="275"/>
      <c r="BH439" s="436"/>
      <c r="BI439" s="275"/>
      <c r="BJ439" s="275"/>
      <c r="BK439" s="291"/>
      <c r="BL439" s="291"/>
      <c r="BM439" s="275"/>
      <c r="BN439" s="275"/>
      <c r="BO439" s="438"/>
      <c r="BP439" s="436"/>
      <c r="BQ439" s="275"/>
      <c r="BR439" s="275"/>
      <c r="BS439" s="275"/>
      <c r="BT439" s="275"/>
      <c r="BU439" s="275"/>
      <c r="BV439" s="275"/>
      <c r="BW439" s="275"/>
      <c r="BX439" s="438"/>
      <c r="BY439" s="436"/>
      <c r="BZ439" s="275"/>
      <c r="CA439" s="275"/>
      <c r="CB439" s="275"/>
      <c r="CC439" s="275"/>
      <c r="CD439" s="275"/>
      <c r="CE439" s="275"/>
      <c r="CF439" s="275"/>
      <c r="CG439" s="438"/>
      <c r="CH439" s="436"/>
      <c r="CI439" s="275"/>
      <c r="CJ439" s="275"/>
      <c r="CK439" s="275"/>
      <c r="CL439" s="275"/>
      <c r="CM439" s="275"/>
      <c r="CN439" s="275"/>
      <c r="CO439" s="442"/>
      <c r="CP439" s="443"/>
      <c r="CQ439" s="429">
        <f t="shared" si="51"/>
        <v>0</v>
      </c>
      <c r="CR439" s="430"/>
    </row>
    <row r="440" spans="1:96" ht="25.5" customHeight="1" x14ac:dyDescent="0.2">
      <c r="A440" s="410">
        <f t="shared" si="52"/>
        <v>425</v>
      </c>
      <c r="B440" s="280"/>
      <c r="C440" s="453"/>
      <c r="D440" s="411"/>
      <c r="E440" s="254"/>
      <c r="F440" s="277"/>
      <c r="G440" s="450"/>
      <c r="H440" s="451"/>
      <c r="I440" s="433" t="str">
        <f t="shared" si="46"/>
        <v/>
      </c>
      <c r="J440" s="434">
        <f t="shared" si="47"/>
        <v>0</v>
      </c>
      <c r="K440" s="452"/>
      <c r="L440" s="276"/>
      <c r="M440" s="435"/>
      <c r="N440" s="417" t="str">
        <f t="shared" si="48"/>
        <v/>
      </c>
      <c r="O440" s="418" t="str">
        <f>IF('Data Set up'!$G$40="JUNE",IF(OR($N440=7,$N440=8,$N440=9),1,IF(OR($N440=10,$N440=11,$N440=12),2,IF(OR($N440=1,$N440=2,$N440=3),3,IF(OR($N440=4,$N440=5,$N440=6),4,"")))),IF(OR($N440=9,$N440=10,$N440=11),1,IF(OR($N440=12,$N440=1,$N440=2),2,IF(OR($N440=3,$N440=4,$N440=5),3,IF(OR($N440=6,$N440=7,$N440=8),4,"")))))</f>
        <v/>
      </c>
      <c r="P440" s="445"/>
      <c r="Q440" s="291"/>
      <c r="R440" s="291"/>
      <c r="S440" s="275"/>
      <c r="T440" s="275"/>
      <c r="U440" s="275"/>
      <c r="V440" s="275"/>
      <c r="W440" s="275"/>
      <c r="X440" s="275"/>
      <c r="Y440" s="275"/>
      <c r="Z440" s="275"/>
      <c r="AA440" s="275"/>
      <c r="AB440" s="275"/>
      <c r="AC440" s="275"/>
      <c r="AD440" s="275"/>
      <c r="AE440" s="275"/>
      <c r="AF440" s="275"/>
      <c r="AG440" s="275"/>
      <c r="AH440" s="438"/>
      <c r="AI440" s="439">
        <f t="shared" si="49"/>
        <v>0</v>
      </c>
      <c r="AJ440" s="263"/>
      <c r="AK440" s="263"/>
      <c r="AL440" s="263"/>
      <c r="AM440" s="263"/>
      <c r="AN440" s="263"/>
      <c r="AO440" s="263"/>
      <c r="AP440" s="263"/>
      <c r="AQ440" s="436"/>
      <c r="AR440" s="275"/>
      <c r="AS440" s="275"/>
      <c r="AT440" s="275"/>
      <c r="AU440" s="275"/>
      <c r="AV440" s="275"/>
      <c r="AW440" s="275"/>
      <c r="AX440" s="275"/>
      <c r="AY440" s="437"/>
      <c r="AZ440" s="440">
        <f t="shared" si="50"/>
        <v>0</v>
      </c>
      <c r="BA440" s="275"/>
      <c r="BB440" s="275"/>
      <c r="BC440" s="275"/>
      <c r="BD440" s="275"/>
      <c r="BE440" s="275"/>
      <c r="BF440" s="275"/>
      <c r="BG440" s="275"/>
      <c r="BH440" s="436"/>
      <c r="BI440" s="275"/>
      <c r="BJ440" s="275"/>
      <c r="BK440" s="291"/>
      <c r="BL440" s="291"/>
      <c r="BM440" s="275"/>
      <c r="BN440" s="275"/>
      <c r="BO440" s="438"/>
      <c r="BP440" s="436"/>
      <c r="BQ440" s="275"/>
      <c r="BR440" s="275"/>
      <c r="BS440" s="275"/>
      <c r="BT440" s="275"/>
      <c r="BU440" s="275"/>
      <c r="BV440" s="275"/>
      <c r="BW440" s="275"/>
      <c r="BX440" s="438"/>
      <c r="BY440" s="436"/>
      <c r="BZ440" s="275"/>
      <c r="CA440" s="275"/>
      <c r="CB440" s="275"/>
      <c r="CC440" s="275"/>
      <c r="CD440" s="275"/>
      <c r="CE440" s="275"/>
      <c r="CF440" s="275"/>
      <c r="CG440" s="438"/>
      <c r="CH440" s="436"/>
      <c r="CI440" s="275"/>
      <c r="CJ440" s="275"/>
      <c r="CK440" s="275"/>
      <c r="CL440" s="275"/>
      <c r="CM440" s="275"/>
      <c r="CN440" s="275"/>
      <c r="CO440" s="442"/>
      <c r="CP440" s="443"/>
      <c r="CQ440" s="429">
        <f t="shared" si="51"/>
        <v>0</v>
      </c>
      <c r="CR440" s="430"/>
    </row>
    <row r="441" spans="1:96" ht="25.5" customHeight="1" x14ac:dyDescent="0.2">
      <c r="A441" s="410">
        <f t="shared" si="52"/>
        <v>426</v>
      </c>
      <c r="B441" s="280"/>
      <c r="C441" s="453"/>
      <c r="D441" s="411"/>
      <c r="E441" s="254"/>
      <c r="F441" s="277"/>
      <c r="G441" s="450"/>
      <c r="H441" s="451"/>
      <c r="I441" s="433" t="str">
        <f t="shared" si="46"/>
        <v/>
      </c>
      <c r="J441" s="434">
        <f t="shared" si="47"/>
        <v>0</v>
      </c>
      <c r="K441" s="452"/>
      <c r="L441" s="276"/>
      <c r="M441" s="435"/>
      <c r="N441" s="417" t="str">
        <f t="shared" si="48"/>
        <v/>
      </c>
      <c r="O441" s="418" t="str">
        <f>IF('Data Set up'!$G$40="JUNE",IF(OR($N441=7,$N441=8,$N441=9),1,IF(OR($N441=10,$N441=11,$N441=12),2,IF(OR($N441=1,$N441=2,$N441=3),3,IF(OR($N441=4,$N441=5,$N441=6),4,"")))),IF(OR($N441=9,$N441=10,$N441=11),1,IF(OR($N441=12,$N441=1,$N441=2),2,IF(OR($N441=3,$N441=4,$N441=5),3,IF(OR($N441=6,$N441=7,$N441=8),4,"")))))</f>
        <v/>
      </c>
      <c r="P441" s="445"/>
      <c r="Q441" s="291"/>
      <c r="R441" s="291"/>
      <c r="S441" s="275"/>
      <c r="T441" s="275"/>
      <c r="U441" s="275"/>
      <c r="V441" s="275"/>
      <c r="W441" s="275"/>
      <c r="X441" s="275"/>
      <c r="Y441" s="275"/>
      <c r="Z441" s="275"/>
      <c r="AA441" s="275"/>
      <c r="AB441" s="275"/>
      <c r="AC441" s="275"/>
      <c r="AD441" s="275"/>
      <c r="AE441" s="275"/>
      <c r="AF441" s="275"/>
      <c r="AG441" s="275"/>
      <c r="AH441" s="438"/>
      <c r="AI441" s="439">
        <f t="shared" si="49"/>
        <v>0</v>
      </c>
      <c r="AJ441" s="263"/>
      <c r="AK441" s="263"/>
      <c r="AL441" s="263"/>
      <c r="AM441" s="263"/>
      <c r="AN441" s="263"/>
      <c r="AO441" s="263"/>
      <c r="AP441" s="263"/>
      <c r="AQ441" s="436"/>
      <c r="AR441" s="275"/>
      <c r="AS441" s="275"/>
      <c r="AT441" s="275"/>
      <c r="AU441" s="275"/>
      <c r="AV441" s="275"/>
      <c r="AW441" s="275"/>
      <c r="AX441" s="275"/>
      <c r="AY441" s="437"/>
      <c r="AZ441" s="440">
        <f t="shared" si="50"/>
        <v>0</v>
      </c>
      <c r="BA441" s="275"/>
      <c r="BB441" s="275"/>
      <c r="BC441" s="275"/>
      <c r="BD441" s="275"/>
      <c r="BE441" s="275"/>
      <c r="BF441" s="275"/>
      <c r="BG441" s="275"/>
      <c r="BH441" s="436"/>
      <c r="BI441" s="275"/>
      <c r="BJ441" s="275"/>
      <c r="BK441" s="291"/>
      <c r="BL441" s="291"/>
      <c r="BM441" s="275"/>
      <c r="BN441" s="275"/>
      <c r="BO441" s="438"/>
      <c r="BP441" s="436"/>
      <c r="BQ441" s="275"/>
      <c r="BR441" s="275"/>
      <c r="BS441" s="275"/>
      <c r="BT441" s="275"/>
      <c r="BU441" s="275"/>
      <c r="BV441" s="275"/>
      <c r="BW441" s="275"/>
      <c r="BX441" s="438"/>
      <c r="BY441" s="436"/>
      <c r="BZ441" s="275"/>
      <c r="CA441" s="275"/>
      <c r="CB441" s="275"/>
      <c r="CC441" s="275"/>
      <c r="CD441" s="275"/>
      <c r="CE441" s="275"/>
      <c r="CF441" s="275"/>
      <c r="CG441" s="438"/>
      <c r="CH441" s="436"/>
      <c r="CI441" s="275"/>
      <c r="CJ441" s="275"/>
      <c r="CK441" s="275"/>
      <c r="CL441" s="275"/>
      <c r="CM441" s="275"/>
      <c r="CN441" s="275"/>
      <c r="CO441" s="442"/>
      <c r="CP441" s="443"/>
      <c r="CQ441" s="429">
        <f t="shared" si="51"/>
        <v>0</v>
      </c>
      <c r="CR441" s="430"/>
    </row>
    <row r="442" spans="1:96" ht="25.5" customHeight="1" x14ac:dyDescent="0.2">
      <c r="A442" s="410">
        <f t="shared" si="52"/>
        <v>427</v>
      </c>
      <c r="B442" s="280"/>
      <c r="C442" s="453"/>
      <c r="D442" s="411"/>
      <c r="E442" s="254"/>
      <c r="F442" s="277"/>
      <c r="G442" s="450"/>
      <c r="H442" s="451"/>
      <c r="I442" s="433" t="str">
        <f t="shared" si="46"/>
        <v/>
      </c>
      <c r="J442" s="434">
        <f t="shared" si="47"/>
        <v>0</v>
      </c>
      <c r="K442" s="452"/>
      <c r="L442" s="276"/>
      <c r="M442" s="435"/>
      <c r="N442" s="417" t="str">
        <f t="shared" si="48"/>
        <v/>
      </c>
      <c r="O442" s="418" t="str">
        <f>IF('Data Set up'!$G$40="JUNE",IF(OR($N442=7,$N442=8,$N442=9),1,IF(OR($N442=10,$N442=11,$N442=12),2,IF(OR($N442=1,$N442=2,$N442=3),3,IF(OR($N442=4,$N442=5,$N442=6),4,"")))),IF(OR($N442=9,$N442=10,$N442=11),1,IF(OR($N442=12,$N442=1,$N442=2),2,IF(OR($N442=3,$N442=4,$N442=5),3,IF(OR($N442=6,$N442=7,$N442=8),4,"")))))</f>
        <v/>
      </c>
      <c r="P442" s="445"/>
      <c r="Q442" s="291"/>
      <c r="R442" s="291"/>
      <c r="S442" s="275"/>
      <c r="T442" s="275"/>
      <c r="U442" s="275"/>
      <c r="V442" s="275"/>
      <c r="W442" s="275"/>
      <c r="X442" s="275"/>
      <c r="Y442" s="275"/>
      <c r="Z442" s="275"/>
      <c r="AA442" s="275"/>
      <c r="AB442" s="275"/>
      <c r="AC442" s="275"/>
      <c r="AD442" s="275"/>
      <c r="AE442" s="275"/>
      <c r="AF442" s="275"/>
      <c r="AG442" s="275"/>
      <c r="AH442" s="438"/>
      <c r="AI442" s="439">
        <f t="shared" si="49"/>
        <v>0</v>
      </c>
      <c r="AJ442" s="263"/>
      <c r="AK442" s="263"/>
      <c r="AL442" s="263"/>
      <c r="AM442" s="263"/>
      <c r="AN442" s="263"/>
      <c r="AO442" s="263"/>
      <c r="AP442" s="263"/>
      <c r="AQ442" s="436"/>
      <c r="AR442" s="275"/>
      <c r="AS442" s="275"/>
      <c r="AT442" s="275"/>
      <c r="AU442" s="275"/>
      <c r="AV442" s="275"/>
      <c r="AW442" s="275"/>
      <c r="AX442" s="275"/>
      <c r="AY442" s="437"/>
      <c r="AZ442" s="440">
        <f t="shared" si="50"/>
        <v>0</v>
      </c>
      <c r="BA442" s="275"/>
      <c r="BB442" s="275"/>
      <c r="BC442" s="275"/>
      <c r="BD442" s="275"/>
      <c r="BE442" s="275"/>
      <c r="BF442" s="275"/>
      <c r="BG442" s="275"/>
      <c r="BH442" s="436"/>
      <c r="BI442" s="275"/>
      <c r="BJ442" s="275"/>
      <c r="BK442" s="291"/>
      <c r="BL442" s="291"/>
      <c r="BM442" s="275"/>
      <c r="BN442" s="275"/>
      <c r="BO442" s="438"/>
      <c r="BP442" s="436"/>
      <c r="BQ442" s="275"/>
      <c r="BR442" s="275"/>
      <c r="BS442" s="275"/>
      <c r="BT442" s="275"/>
      <c r="BU442" s="275"/>
      <c r="BV442" s="275"/>
      <c r="BW442" s="275"/>
      <c r="BX442" s="438"/>
      <c r="BY442" s="436"/>
      <c r="BZ442" s="275"/>
      <c r="CA442" s="275"/>
      <c r="CB442" s="275"/>
      <c r="CC442" s="275"/>
      <c r="CD442" s="275"/>
      <c r="CE442" s="275"/>
      <c r="CF442" s="275"/>
      <c r="CG442" s="438"/>
      <c r="CH442" s="436"/>
      <c r="CI442" s="275"/>
      <c r="CJ442" s="275"/>
      <c r="CK442" s="275"/>
      <c r="CL442" s="275"/>
      <c r="CM442" s="275"/>
      <c r="CN442" s="275"/>
      <c r="CO442" s="442"/>
      <c r="CP442" s="443"/>
      <c r="CQ442" s="429">
        <f t="shared" si="51"/>
        <v>0</v>
      </c>
      <c r="CR442" s="430"/>
    </row>
    <row r="443" spans="1:96" ht="25.5" customHeight="1" x14ac:dyDescent="0.2">
      <c r="A443" s="410">
        <f t="shared" si="52"/>
        <v>428</v>
      </c>
      <c r="B443" s="280"/>
      <c r="C443" s="453"/>
      <c r="D443" s="411"/>
      <c r="E443" s="254"/>
      <c r="F443" s="277"/>
      <c r="G443" s="450"/>
      <c r="H443" s="451"/>
      <c r="I443" s="433" t="str">
        <f t="shared" si="46"/>
        <v/>
      </c>
      <c r="J443" s="434">
        <f t="shared" si="47"/>
        <v>0</v>
      </c>
      <c r="K443" s="452"/>
      <c r="L443" s="276"/>
      <c r="M443" s="435"/>
      <c r="N443" s="417" t="str">
        <f t="shared" si="48"/>
        <v/>
      </c>
      <c r="O443" s="418" t="str">
        <f>IF('Data Set up'!$G$40="JUNE",IF(OR($N443=7,$N443=8,$N443=9),1,IF(OR($N443=10,$N443=11,$N443=12),2,IF(OR($N443=1,$N443=2,$N443=3),3,IF(OR($N443=4,$N443=5,$N443=6),4,"")))),IF(OR($N443=9,$N443=10,$N443=11),1,IF(OR($N443=12,$N443=1,$N443=2),2,IF(OR($N443=3,$N443=4,$N443=5),3,IF(OR($N443=6,$N443=7,$N443=8),4,"")))))</f>
        <v/>
      </c>
      <c r="P443" s="445"/>
      <c r="Q443" s="291"/>
      <c r="R443" s="291"/>
      <c r="S443" s="275"/>
      <c r="T443" s="275"/>
      <c r="U443" s="275"/>
      <c r="V443" s="275"/>
      <c r="W443" s="275"/>
      <c r="X443" s="275"/>
      <c r="Y443" s="275"/>
      <c r="Z443" s="275"/>
      <c r="AA443" s="275"/>
      <c r="AB443" s="275"/>
      <c r="AC443" s="275"/>
      <c r="AD443" s="275"/>
      <c r="AE443" s="275"/>
      <c r="AF443" s="275"/>
      <c r="AG443" s="275"/>
      <c r="AH443" s="438"/>
      <c r="AI443" s="439">
        <f t="shared" si="49"/>
        <v>0</v>
      </c>
      <c r="AJ443" s="263"/>
      <c r="AK443" s="263"/>
      <c r="AL443" s="263"/>
      <c r="AM443" s="263"/>
      <c r="AN443" s="263"/>
      <c r="AO443" s="263"/>
      <c r="AP443" s="263"/>
      <c r="AQ443" s="436"/>
      <c r="AR443" s="275"/>
      <c r="AS443" s="275"/>
      <c r="AT443" s="275"/>
      <c r="AU443" s="275"/>
      <c r="AV443" s="275"/>
      <c r="AW443" s="275"/>
      <c r="AX443" s="275"/>
      <c r="AY443" s="437"/>
      <c r="AZ443" s="440">
        <f t="shared" si="50"/>
        <v>0</v>
      </c>
      <c r="BA443" s="275"/>
      <c r="BB443" s="275"/>
      <c r="BC443" s="275"/>
      <c r="BD443" s="275"/>
      <c r="BE443" s="275"/>
      <c r="BF443" s="275"/>
      <c r="BG443" s="275"/>
      <c r="BH443" s="436"/>
      <c r="BI443" s="275"/>
      <c r="BJ443" s="275"/>
      <c r="BK443" s="291"/>
      <c r="BL443" s="291"/>
      <c r="BM443" s="275"/>
      <c r="BN443" s="275"/>
      <c r="BO443" s="438"/>
      <c r="BP443" s="436"/>
      <c r="BQ443" s="275"/>
      <c r="BR443" s="275"/>
      <c r="BS443" s="275"/>
      <c r="BT443" s="275"/>
      <c r="BU443" s="275"/>
      <c r="BV443" s="275"/>
      <c r="BW443" s="275"/>
      <c r="BX443" s="438"/>
      <c r="BY443" s="436"/>
      <c r="BZ443" s="275"/>
      <c r="CA443" s="275"/>
      <c r="CB443" s="275"/>
      <c r="CC443" s="275"/>
      <c r="CD443" s="275"/>
      <c r="CE443" s="275"/>
      <c r="CF443" s="275"/>
      <c r="CG443" s="438"/>
      <c r="CH443" s="436"/>
      <c r="CI443" s="275"/>
      <c r="CJ443" s="275"/>
      <c r="CK443" s="275"/>
      <c r="CL443" s="275"/>
      <c r="CM443" s="275"/>
      <c r="CN443" s="275"/>
      <c r="CO443" s="442"/>
      <c r="CP443" s="443"/>
      <c r="CQ443" s="429">
        <f t="shared" si="51"/>
        <v>0</v>
      </c>
      <c r="CR443" s="430"/>
    </row>
    <row r="444" spans="1:96" ht="25.5" customHeight="1" x14ac:dyDescent="0.2">
      <c r="A444" s="410">
        <f t="shared" si="52"/>
        <v>429</v>
      </c>
      <c r="B444" s="280"/>
      <c r="C444" s="453"/>
      <c r="D444" s="411"/>
      <c r="E444" s="254"/>
      <c r="F444" s="277"/>
      <c r="G444" s="450"/>
      <c r="H444" s="451"/>
      <c r="I444" s="433" t="str">
        <f t="shared" si="46"/>
        <v/>
      </c>
      <c r="J444" s="434">
        <f t="shared" si="47"/>
        <v>0</v>
      </c>
      <c r="K444" s="452"/>
      <c r="L444" s="276"/>
      <c r="M444" s="435"/>
      <c r="N444" s="417" t="str">
        <f t="shared" si="48"/>
        <v/>
      </c>
      <c r="O444" s="418" t="str">
        <f>IF('Data Set up'!$G$40="JUNE",IF(OR($N444=7,$N444=8,$N444=9),1,IF(OR($N444=10,$N444=11,$N444=12),2,IF(OR($N444=1,$N444=2,$N444=3),3,IF(OR($N444=4,$N444=5,$N444=6),4,"")))),IF(OR($N444=9,$N444=10,$N444=11),1,IF(OR($N444=12,$N444=1,$N444=2),2,IF(OR($N444=3,$N444=4,$N444=5),3,IF(OR($N444=6,$N444=7,$N444=8),4,"")))))</f>
        <v/>
      </c>
      <c r="P444" s="445"/>
      <c r="Q444" s="291"/>
      <c r="R444" s="291"/>
      <c r="S444" s="275"/>
      <c r="T444" s="275"/>
      <c r="U444" s="275"/>
      <c r="V444" s="275"/>
      <c r="W444" s="275"/>
      <c r="X444" s="275"/>
      <c r="Y444" s="275"/>
      <c r="Z444" s="275"/>
      <c r="AA444" s="275"/>
      <c r="AB444" s="275"/>
      <c r="AC444" s="275"/>
      <c r="AD444" s="275"/>
      <c r="AE444" s="275"/>
      <c r="AF444" s="275"/>
      <c r="AG444" s="275"/>
      <c r="AH444" s="438"/>
      <c r="AI444" s="439">
        <f t="shared" si="49"/>
        <v>0</v>
      </c>
      <c r="AJ444" s="263"/>
      <c r="AK444" s="263"/>
      <c r="AL444" s="263"/>
      <c r="AM444" s="263"/>
      <c r="AN444" s="263"/>
      <c r="AO444" s="263"/>
      <c r="AP444" s="263"/>
      <c r="AQ444" s="436"/>
      <c r="AR444" s="275"/>
      <c r="AS444" s="275"/>
      <c r="AT444" s="275"/>
      <c r="AU444" s="275"/>
      <c r="AV444" s="275"/>
      <c r="AW444" s="275"/>
      <c r="AX444" s="275"/>
      <c r="AY444" s="437"/>
      <c r="AZ444" s="440">
        <f t="shared" si="50"/>
        <v>0</v>
      </c>
      <c r="BA444" s="275"/>
      <c r="BB444" s="275"/>
      <c r="BC444" s="275"/>
      <c r="BD444" s="275"/>
      <c r="BE444" s="275"/>
      <c r="BF444" s="275"/>
      <c r="BG444" s="275"/>
      <c r="BH444" s="436"/>
      <c r="BI444" s="275"/>
      <c r="BJ444" s="275"/>
      <c r="BK444" s="291"/>
      <c r="BL444" s="291"/>
      <c r="BM444" s="275"/>
      <c r="BN444" s="275"/>
      <c r="BO444" s="438"/>
      <c r="BP444" s="436"/>
      <c r="BQ444" s="275"/>
      <c r="BR444" s="275"/>
      <c r="BS444" s="275"/>
      <c r="BT444" s="275"/>
      <c r="BU444" s="275"/>
      <c r="BV444" s="275"/>
      <c r="BW444" s="275"/>
      <c r="BX444" s="438"/>
      <c r="BY444" s="436"/>
      <c r="BZ444" s="275"/>
      <c r="CA444" s="275"/>
      <c r="CB444" s="275"/>
      <c r="CC444" s="275"/>
      <c r="CD444" s="275"/>
      <c r="CE444" s="275"/>
      <c r="CF444" s="275"/>
      <c r="CG444" s="438"/>
      <c r="CH444" s="436"/>
      <c r="CI444" s="275"/>
      <c r="CJ444" s="275"/>
      <c r="CK444" s="275"/>
      <c r="CL444" s="275"/>
      <c r="CM444" s="275"/>
      <c r="CN444" s="275"/>
      <c r="CO444" s="442"/>
      <c r="CP444" s="443"/>
      <c r="CQ444" s="429">
        <f t="shared" si="51"/>
        <v>0</v>
      </c>
      <c r="CR444" s="430"/>
    </row>
    <row r="445" spans="1:96" ht="25.5" customHeight="1" x14ac:dyDescent="0.2">
      <c r="A445" s="410">
        <f t="shared" si="52"/>
        <v>430</v>
      </c>
      <c r="B445" s="280"/>
      <c r="C445" s="453"/>
      <c r="D445" s="411"/>
      <c r="E445" s="254"/>
      <c r="F445" s="277"/>
      <c r="G445" s="450"/>
      <c r="H445" s="451"/>
      <c r="I445" s="433" t="str">
        <f t="shared" si="46"/>
        <v/>
      </c>
      <c r="J445" s="434">
        <f t="shared" si="47"/>
        <v>0</v>
      </c>
      <c r="K445" s="452"/>
      <c r="L445" s="276"/>
      <c r="M445" s="435"/>
      <c r="N445" s="417" t="str">
        <f t="shared" si="48"/>
        <v/>
      </c>
      <c r="O445" s="418" t="str">
        <f>IF('Data Set up'!$G$40="JUNE",IF(OR($N445=7,$N445=8,$N445=9),1,IF(OR($N445=10,$N445=11,$N445=12),2,IF(OR($N445=1,$N445=2,$N445=3),3,IF(OR($N445=4,$N445=5,$N445=6),4,"")))),IF(OR($N445=9,$N445=10,$N445=11),1,IF(OR($N445=12,$N445=1,$N445=2),2,IF(OR($N445=3,$N445=4,$N445=5),3,IF(OR($N445=6,$N445=7,$N445=8),4,"")))))</f>
        <v/>
      </c>
      <c r="P445" s="445"/>
      <c r="Q445" s="291"/>
      <c r="R445" s="291"/>
      <c r="S445" s="275"/>
      <c r="T445" s="275"/>
      <c r="U445" s="275"/>
      <c r="V445" s="275"/>
      <c r="W445" s="275"/>
      <c r="X445" s="275"/>
      <c r="Y445" s="275"/>
      <c r="Z445" s="275"/>
      <c r="AA445" s="275"/>
      <c r="AB445" s="275"/>
      <c r="AC445" s="275"/>
      <c r="AD445" s="275"/>
      <c r="AE445" s="275"/>
      <c r="AF445" s="275"/>
      <c r="AG445" s="275"/>
      <c r="AH445" s="438"/>
      <c r="AI445" s="439">
        <f t="shared" si="49"/>
        <v>0</v>
      </c>
      <c r="AJ445" s="263"/>
      <c r="AK445" s="263"/>
      <c r="AL445" s="263"/>
      <c r="AM445" s="263"/>
      <c r="AN445" s="263"/>
      <c r="AO445" s="263"/>
      <c r="AP445" s="263"/>
      <c r="AQ445" s="436"/>
      <c r="AR445" s="275"/>
      <c r="AS445" s="275"/>
      <c r="AT445" s="275"/>
      <c r="AU445" s="275"/>
      <c r="AV445" s="275"/>
      <c r="AW445" s="275"/>
      <c r="AX445" s="275"/>
      <c r="AY445" s="437"/>
      <c r="AZ445" s="440">
        <f t="shared" si="50"/>
        <v>0</v>
      </c>
      <c r="BA445" s="275"/>
      <c r="BB445" s="275"/>
      <c r="BC445" s="275"/>
      <c r="BD445" s="275"/>
      <c r="BE445" s="275"/>
      <c r="BF445" s="275"/>
      <c r="BG445" s="275"/>
      <c r="BH445" s="436"/>
      <c r="BI445" s="275"/>
      <c r="BJ445" s="275"/>
      <c r="BK445" s="291"/>
      <c r="BL445" s="291"/>
      <c r="BM445" s="275"/>
      <c r="BN445" s="275"/>
      <c r="BO445" s="438"/>
      <c r="BP445" s="436"/>
      <c r="BQ445" s="275"/>
      <c r="BR445" s="275"/>
      <c r="BS445" s="275"/>
      <c r="BT445" s="275"/>
      <c r="BU445" s="275"/>
      <c r="BV445" s="275"/>
      <c r="BW445" s="275"/>
      <c r="BX445" s="438"/>
      <c r="BY445" s="436"/>
      <c r="BZ445" s="275"/>
      <c r="CA445" s="275"/>
      <c r="CB445" s="275"/>
      <c r="CC445" s="275"/>
      <c r="CD445" s="275"/>
      <c r="CE445" s="275"/>
      <c r="CF445" s="275"/>
      <c r="CG445" s="438"/>
      <c r="CH445" s="436"/>
      <c r="CI445" s="275"/>
      <c r="CJ445" s="275"/>
      <c r="CK445" s="275"/>
      <c r="CL445" s="275"/>
      <c r="CM445" s="275"/>
      <c r="CN445" s="275"/>
      <c r="CO445" s="442"/>
      <c r="CP445" s="443"/>
      <c r="CQ445" s="429">
        <f t="shared" si="51"/>
        <v>0</v>
      </c>
      <c r="CR445" s="430"/>
    </row>
    <row r="446" spans="1:96" ht="25.5" customHeight="1" x14ac:dyDescent="0.2">
      <c r="A446" s="410">
        <f t="shared" si="52"/>
        <v>431</v>
      </c>
      <c r="B446" s="280"/>
      <c r="C446" s="453"/>
      <c r="D446" s="411"/>
      <c r="E446" s="254"/>
      <c r="F446" s="277"/>
      <c r="G446" s="450"/>
      <c r="H446" s="451"/>
      <c r="I446" s="433" t="str">
        <f t="shared" si="46"/>
        <v/>
      </c>
      <c r="J446" s="434">
        <f t="shared" si="47"/>
        <v>0</v>
      </c>
      <c r="K446" s="452"/>
      <c r="L446" s="276"/>
      <c r="M446" s="435"/>
      <c r="N446" s="417" t="str">
        <f t="shared" si="48"/>
        <v/>
      </c>
      <c r="O446" s="418" t="str">
        <f>IF('Data Set up'!$G$40="JUNE",IF(OR($N446=7,$N446=8,$N446=9),1,IF(OR($N446=10,$N446=11,$N446=12),2,IF(OR($N446=1,$N446=2,$N446=3),3,IF(OR($N446=4,$N446=5,$N446=6),4,"")))),IF(OR($N446=9,$N446=10,$N446=11),1,IF(OR($N446=12,$N446=1,$N446=2),2,IF(OR($N446=3,$N446=4,$N446=5),3,IF(OR($N446=6,$N446=7,$N446=8),4,"")))))</f>
        <v/>
      </c>
      <c r="P446" s="445"/>
      <c r="Q446" s="291"/>
      <c r="R446" s="291"/>
      <c r="S446" s="275"/>
      <c r="T446" s="275"/>
      <c r="U446" s="275"/>
      <c r="V446" s="275"/>
      <c r="W446" s="275"/>
      <c r="X446" s="275"/>
      <c r="Y446" s="275"/>
      <c r="Z446" s="275"/>
      <c r="AA446" s="275"/>
      <c r="AB446" s="275"/>
      <c r="AC446" s="275"/>
      <c r="AD446" s="275"/>
      <c r="AE446" s="275"/>
      <c r="AF446" s="275"/>
      <c r="AG446" s="275"/>
      <c r="AH446" s="438"/>
      <c r="AI446" s="439">
        <f t="shared" si="49"/>
        <v>0</v>
      </c>
      <c r="AJ446" s="263"/>
      <c r="AK446" s="263"/>
      <c r="AL446" s="263"/>
      <c r="AM446" s="263"/>
      <c r="AN446" s="263"/>
      <c r="AO446" s="263"/>
      <c r="AP446" s="263"/>
      <c r="AQ446" s="436"/>
      <c r="AR446" s="275"/>
      <c r="AS446" s="275"/>
      <c r="AT446" s="275"/>
      <c r="AU446" s="275"/>
      <c r="AV446" s="275"/>
      <c r="AW446" s="275"/>
      <c r="AX446" s="275"/>
      <c r="AY446" s="437"/>
      <c r="AZ446" s="440">
        <f t="shared" si="50"/>
        <v>0</v>
      </c>
      <c r="BA446" s="275"/>
      <c r="BB446" s="275"/>
      <c r="BC446" s="275"/>
      <c r="BD446" s="275"/>
      <c r="BE446" s="275"/>
      <c r="BF446" s="275"/>
      <c r="BG446" s="275"/>
      <c r="BH446" s="436"/>
      <c r="BI446" s="275"/>
      <c r="BJ446" s="275"/>
      <c r="BK446" s="291"/>
      <c r="BL446" s="291"/>
      <c r="BM446" s="275"/>
      <c r="BN446" s="275"/>
      <c r="BO446" s="438"/>
      <c r="BP446" s="436"/>
      <c r="BQ446" s="275"/>
      <c r="BR446" s="275"/>
      <c r="BS446" s="275"/>
      <c r="BT446" s="275"/>
      <c r="BU446" s="275"/>
      <c r="BV446" s="275"/>
      <c r="BW446" s="275"/>
      <c r="BX446" s="438"/>
      <c r="BY446" s="436"/>
      <c r="BZ446" s="275"/>
      <c r="CA446" s="275"/>
      <c r="CB446" s="275"/>
      <c r="CC446" s="275"/>
      <c r="CD446" s="275"/>
      <c r="CE446" s="275"/>
      <c r="CF446" s="275"/>
      <c r="CG446" s="438"/>
      <c r="CH446" s="436"/>
      <c r="CI446" s="275"/>
      <c r="CJ446" s="275"/>
      <c r="CK446" s="275"/>
      <c r="CL446" s="275"/>
      <c r="CM446" s="275"/>
      <c r="CN446" s="275"/>
      <c r="CO446" s="442"/>
      <c r="CP446" s="443"/>
      <c r="CQ446" s="429">
        <f t="shared" si="51"/>
        <v>0</v>
      </c>
      <c r="CR446" s="430"/>
    </row>
    <row r="447" spans="1:96" ht="25.5" customHeight="1" x14ac:dyDescent="0.2">
      <c r="A447" s="410">
        <f t="shared" si="52"/>
        <v>432</v>
      </c>
      <c r="B447" s="280"/>
      <c r="C447" s="453"/>
      <c r="D447" s="411"/>
      <c r="E447" s="254"/>
      <c r="F447" s="277"/>
      <c r="G447" s="450"/>
      <c r="H447" s="451"/>
      <c r="I447" s="433" t="str">
        <f t="shared" si="46"/>
        <v/>
      </c>
      <c r="J447" s="434">
        <f t="shared" si="47"/>
        <v>0</v>
      </c>
      <c r="K447" s="452"/>
      <c r="L447" s="276"/>
      <c r="M447" s="435"/>
      <c r="N447" s="417" t="str">
        <f t="shared" si="48"/>
        <v/>
      </c>
      <c r="O447" s="418" t="str">
        <f>IF('Data Set up'!$G$40="JUNE",IF(OR($N447=7,$N447=8,$N447=9),1,IF(OR($N447=10,$N447=11,$N447=12),2,IF(OR($N447=1,$N447=2,$N447=3),3,IF(OR($N447=4,$N447=5,$N447=6),4,"")))),IF(OR($N447=9,$N447=10,$N447=11),1,IF(OR($N447=12,$N447=1,$N447=2),2,IF(OR($N447=3,$N447=4,$N447=5),3,IF(OR($N447=6,$N447=7,$N447=8),4,"")))))</f>
        <v/>
      </c>
      <c r="P447" s="445"/>
      <c r="Q447" s="291"/>
      <c r="R447" s="291"/>
      <c r="S447" s="275"/>
      <c r="T447" s="275"/>
      <c r="U447" s="275"/>
      <c r="V447" s="275"/>
      <c r="W447" s="275"/>
      <c r="X447" s="275"/>
      <c r="Y447" s="275"/>
      <c r="Z447" s="275"/>
      <c r="AA447" s="275"/>
      <c r="AB447" s="275"/>
      <c r="AC447" s="275"/>
      <c r="AD447" s="275"/>
      <c r="AE447" s="275"/>
      <c r="AF447" s="275"/>
      <c r="AG447" s="275"/>
      <c r="AH447" s="438"/>
      <c r="AI447" s="439">
        <f t="shared" si="49"/>
        <v>0</v>
      </c>
      <c r="AJ447" s="263"/>
      <c r="AK447" s="263"/>
      <c r="AL447" s="263"/>
      <c r="AM447" s="263"/>
      <c r="AN447" s="263"/>
      <c r="AO447" s="263"/>
      <c r="AP447" s="263"/>
      <c r="AQ447" s="436"/>
      <c r="AR447" s="275"/>
      <c r="AS447" s="275"/>
      <c r="AT447" s="275"/>
      <c r="AU447" s="275"/>
      <c r="AV447" s="275"/>
      <c r="AW447" s="275"/>
      <c r="AX447" s="275"/>
      <c r="AY447" s="437"/>
      <c r="AZ447" s="440">
        <f t="shared" si="50"/>
        <v>0</v>
      </c>
      <c r="BA447" s="275"/>
      <c r="BB447" s="275"/>
      <c r="BC447" s="275"/>
      <c r="BD447" s="275"/>
      <c r="BE447" s="275"/>
      <c r="BF447" s="275"/>
      <c r="BG447" s="275"/>
      <c r="BH447" s="436"/>
      <c r="BI447" s="275"/>
      <c r="BJ447" s="275"/>
      <c r="BK447" s="291"/>
      <c r="BL447" s="291"/>
      <c r="BM447" s="275"/>
      <c r="BN447" s="275"/>
      <c r="BO447" s="438"/>
      <c r="BP447" s="436"/>
      <c r="BQ447" s="275"/>
      <c r="BR447" s="275"/>
      <c r="BS447" s="275"/>
      <c r="BT447" s="275"/>
      <c r="BU447" s="275"/>
      <c r="BV447" s="275"/>
      <c r="BW447" s="275"/>
      <c r="BX447" s="438"/>
      <c r="BY447" s="436"/>
      <c r="BZ447" s="275"/>
      <c r="CA447" s="275"/>
      <c r="CB447" s="275"/>
      <c r="CC447" s="275"/>
      <c r="CD447" s="275"/>
      <c r="CE447" s="275"/>
      <c r="CF447" s="275"/>
      <c r="CG447" s="438"/>
      <c r="CH447" s="436"/>
      <c r="CI447" s="275"/>
      <c r="CJ447" s="275"/>
      <c r="CK447" s="275"/>
      <c r="CL447" s="275"/>
      <c r="CM447" s="275"/>
      <c r="CN447" s="275"/>
      <c r="CO447" s="442"/>
      <c r="CP447" s="443"/>
      <c r="CQ447" s="429">
        <f t="shared" si="51"/>
        <v>0</v>
      </c>
      <c r="CR447" s="430"/>
    </row>
    <row r="448" spans="1:96" ht="25.5" customHeight="1" x14ac:dyDescent="0.2">
      <c r="A448" s="410">
        <f t="shared" si="52"/>
        <v>433</v>
      </c>
      <c r="B448" s="280"/>
      <c r="C448" s="453"/>
      <c r="D448" s="411"/>
      <c r="E448" s="254"/>
      <c r="F448" s="277"/>
      <c r="G448" s="450"/>
      <c r="H448" s="451"/>
      <c r="I448" s="433" t="str">
        <f t="shared" si="46"/>
        <v/>
      </c>
      <c r="J448" s="434">
        <f t="shared" si="47"/>
        <v>0</v>
      </c>
      <c r="K448" s="452"/>
      <c r="L448" s="276"/>
      <c r="M448" s="435"/>
      <c r="N448" s="417" t="str">
        <f t="shared" si="48"/>
        <v/>
      </c>
      <c r="O448" s="418" t="str">
        <f>IF('Data Set up'!$G$40="JUNE",IF(OR($N448=7,$N448=8,$N448=9),1,IF(OR($N448=10,$N448=11,$N448=12),2,IF(OR($N448=1,$N448=2,$N448=3),3,IF(OR($N448=4,$N448=5,$N448=6),4,"")))),IF(OR($N448=9,$N448=10,$N448=11),1,IF(OR($N448=12,$N448=1,$N448=2),2,IF(OR($N448=3,$N448=4,$N448=5),3,IF(OR($N448=6,$N448=7,$N448=8),4,"")))))</f>
        <v/>
      </c>
      <c r="P448" s="445"/>
      <c r="Q448" s="291"/>
      <c r="R448" s="291"/>
      <c r="S448" s="275"/>
      <c r="T448" s="275"/>
      <c r="U448" s="275"/>
      <c r="V448" s="275"/>
      <c r="W448" s="275"/>
      <c r="X448" s="275"/>
      <c r="Y448" s="275"/>
      <c r="Z448" s="275"/>
      <c r="AA448" s="275"/>
      <c r="AB448" s="275"/>
      <c r="AC448" s="275"/>
      <c r="AD448" s="275"/>
      <c r="AE448" s="275"/>
      <c r="AF448" s="275"/>
      <c r="AG448" s="275"/>
      <c r="AH448" s="438"/>
      <c r="AI448" s="439">
        <f t="shared" si="49"/>
        <v>0</v>
      </c>
      <c r="AJ448" s="263"/>
      <c r="AK448" s="263"/>
      <c r="AL448" s="263"/>
      <c r="AM448" s="263"/>
      <c r="AN448" s="263"/>
      <c r="AO448" s="263"/>
      <c r="AP448" s="263"/>
      <c r="AQ448" s="436"/>
      <c r="AR448" s="275"/>
      <c r="AS448" s="275"/>
      <c r="AT448" s="275"/>
      <c r="AU448" s="275"/>
      <c r="AV448" s="275"/>
      <c r="AW448" s="275"/>
      <c r="AX448" s="275"/>
      <c r="AY448" s="437"/>
      <c r="AZ448" s="440">
        <f t="shared" si="50"/>
        <v>0</v>
      </c>
      <c r="BA448" s="275"/>
      <c r="BB448" s="275"/>
      <c r="BC448" s="275"/>
      <c r="BD448" s="275"/>
      <c r="BE448" s="275"/>
      <c r="BF448" s="275"/>
      <c r="BG448" s="275"/>
      <c r="BH448" s="436"/>
      <c r="BI448" s="275"/>
      <c r="BJ448" s="275"/>
      <c r="BK448" s="291"/>
      <c r="BL448" s="291"/>
      <c r="BM448" s="275"/>
      <c r="BN448" s="275"/>
      <c r="BO448" s="438"/>
      <c r="BP448" s="436"/>
      <c r="BQ448" s="275"/>
      <c r="BR448" s="275"/>
      <c r="BS448" s="275"/>
      <c r="BT448" s="275"/>
      <c r="BU448" s="275"/>
      <c r="BV448" s="275"/>
      <c r="BW448" s="275"/>
      <c r="BX448" s="438"/>
      <c r="BY448" s="436"/>
      <c r="BZ448" s="275"/>
      <c r="CA448" s="275"/>
      <c r="CB448" s="275"/>
      <c r="CC448" s="275"/>
      <c r="CD448" s="275"/>
      <c r="CE448" s="275"/>
      <c r="CF448" s="275"/>
      <c r="CG448" s="438"/>
      <c r="CH448" s="436"/>
      <c r="CI448" s="275"/>
      <c r="CJ448" s="275"/>
      <c r="CK448" s="275"/>
      <c r="CL448" s="275"/>
      <c r="CM448" s="275"/>
      <c r="CN448" s="275"/>
      <c r="CO448" s="442"/>
      <c r="CP448" s="443"/>
      <c r="CQ448" s="429">
        <f t="shared" si="51"/>
        <v>0</v>
      </c>
      <c r="CR448" s="430"/>
    </row>
    <row r="449" spans="1:96" ht="25.5" customHeight="1" x14ac:dyDescent="0.2">
      <c r="A449" s="410">
        <f t="shared" si="52"/>
        <v>434</v>
      </c>
      <c r="B449" s="280"/>
      <c r="C449" s="453"/>
      <c r="D449" s="411"/>
      <c r="E449" s="254"/>
      <c r="F449" s="277"/>
      <c r="G449" s="450"/>
      <c r="H449" s="451"/>
      <c r="I449" s="433" t="str">
        <f t="shared" si="46"/>
        <v/>
      </c>
      <c r="J449" s="434">
        <f t="shared" si="47"/>
        <v>0</v>
      </c>
      <c r="K449" s="452"/>
      <c r="L449" s="276"/>
      <c r="M449" s="435"/>
      <c r="N449" s="417" t="str">
        <f t="shared" si="48"/>
        <v/>
      </c>
      <c r="O449" s="418" t="str">
        <f>IF('Data Set up'!$G$40="JUNE",IF(OR($N449=7,$N449=8,$N449=9),1,IF(OR($N449=10,$N449=11,$N449=12),2,IF(OR($N449=1,$N449=2,$N449=3),3,IF(OR($N449=4,$N449=5,$N449=6),4,"")))),IF(OR($N449=9,$N449=10,$N449=11),1,IF(OR($N449=12,$N449=1,$N449=2),2,IF(OR($N449=3,$N449=4,$N449=5),3,IF(OR($N449=6,$N449=7,$N449=8),4,"")))))</f>
        <v/>
      </c>
      <c r="P449" s="445"/>
      <c r="Q449" s="291"/>
      <c r="R449" s="291"/>
      <c r="S449" s="275"/>
      <c r="T449" s="275"/>
      <c r="U449" s="275"/>
      <c r="V449" s="275"/>
      <c r="W449" s="275"/>
      <c r="X449" s="275"/>
      <c r="Y449" s="275"/>
      <c r="Z449" s="275"/>
      <c r="AA449" s="275"/>
      <c r="AB449" s="275"/>
      <c r="AC449" s="275"/>
      <c r="AD449" s="275"/>
      <c r="AE449" s="275"/>
      <c r="AF449" s="275"/>
      <c r="AG449" s="275"/>
      <c r="AH449" s="438"/>
      <c r="AI449" s="439">
        <f t="shared" si="49"/>
        <v>0</v>
      </c>
      <c r="AJ449" s="263"/>
      <c r="AK449" s="263"/>
      <c r="AL449" s="263"/>
      <c r="AM449" s="263"/>
      <c r="AN449" s="263"/>
      <c r="AO449" s="263"/>
      <c r="AP449" s="263"/>
      <c r="AQ449" s="436"/>
      <c r="AR449" s="275"/>
      <c r="AS449" s="275"/>
      <c r="AT449" s="275"/>
      <c r="AU449" s="275"/>
      <c r="AV449" s="275"/>
      <c r="AW449" s="275"/>
      <c r="AX449" s="275"/>
      <c r="AY449" s="437"/>
      <c r="AZ449" s="440">
        <f t="shared" si="50"/>
        <v>0</v>
      </c>
      <c r="BA449" s="275"/>
      <c r="BB449" s="275"/>
      <c r="BC449" s="275"/>
      <c r="BD449" s="275"/>
      <c r="BE449" s="275"/>
      <c r="BF449" s="275"/>
      <c r="BG449" s="275"/>
      <c r="BH449" s="436"/>
      <c r="BI449" s="275"/>
      <c r="BJ449" s="275"/>
      <c r="BK449" s="291"/>
      <c r="BL449" s="291"/>
      <c r="BM449" s="275"/>
      <c r="BN449" s="275"/>
      <c r="BO449" s="438"/>
      <c r="BP449" s="436"/>
      <c r="BQ449" s="275"/>
      <c r="BR449" s="275"/>
      <c r="BS449" s="275"/>
      <c r="BT449" s="275"/>
      <c r="BU449" s="275"/>
      <c r="BV449" s="275"/>
      <c r="BW449" s="275"/>
      <c r="BX449" s="438"/>
      <c r="BY449" s="436"/>
      <c r="BZ449" s="275"/>
      <c r="CA449" s="275"/>
      <c r="CB449" s="275"/>
      <c r="CC449" s="275"/>
      <c r="CD449" s="275"/>
      <c r="CE449" s="275"/>
      <c r="CF449" s="275"/>
      <c r="CG449" s="438"/>
      <c r="CH449" s="436"/>
      <c r="CI449" s="275"/>
      <c r="CJ449" s="275"/>
      <c r="CK449" s="275"/>
      <c r="CL449" s="275"/>
      <c r="CM449" s="275"/>
      <c r="CN449" s="275"/>
      <c r="CO449" s="442"/>
      <c r="CP449" s="443"/>
      <c r="CQ449" s="429">
        <f t="shared" si="51"/>
        <v>0</v>
      </c>
      <c r="CR449" s="430"/>
    </row>
    <row r="450" spans="1:96" ht="25.5" customHeight="1" x14ac:dyDescent="0.2">
      <c r="A450" s="410">
        <f t="shared" si="52"/>
        <v>435</v>
      </c>
      <c r="B450" s="280"/>
      <c r="C450" s="453"/>
      <c r="D450" s="411"/>
      <c r="E450" s="254"/>
      <c r="F450" s="277"/>
      <c r="G450" s="450"/>
      <c r="H450" s="451"/>
      <c r="I450" s="433" t="str">
        <f t="shared" si="46"/>
        <v/>
      </c>
      <c r="J450" s="434">
        <f t="shared" si="47"/>
        <v>0</v>
      </c>
      <c r="K450" s="452"/>
      <c r="L450" s="276"/>
      <c r="M450" s="435"/>
      <c r="N450" s="417" t="str">
        <f t="shared" si="48"/>
        <v/>
      </c>
      <c r="O450" s="418" t="str">
        <f>IF('Data Set up'!$G$40="JUNE",IF(OR($N450=7,$N450=8,$N450=9),1,IF(OR($N450=10,$N450=11,$N450=12),2,IF(OR($N450=1,$N450=2,$N450=3),3,IF(OR($N450=4,$N450=5,$N450=6),4,"")))),IF(OR($N450=9,$N450=10,$N450=11),1,IF(OR($N450=12,$N450=1,$N450=2),2,IF(OR($N450=3,$N450=4,$N450=5),3,IF(OR($N450=6,$N450=7,$N450=8),4,"")))))</f>
        <v/>
      </c>
      <c r="P450" s="445"/>
      <c r="Q450" s="291"/>
      <c r="R450" s="291"/>
      <c r="S450" s="275"/>
      <c r="T450" s="275"/>
      <c r="U450" s="275"/>
      <c r="V450" s="275"/>
      <c r="W450" s="275"/>
      <c r="X450" s="275"/>
      <c r="Y450" s="275"/>
      <c r="Z450" s="275"/>
      <c r="AA450" s="275"/>
      <c r="AB450" s="275"/>
      <c r="AC450" s="275"/>
      <c r="AD450" s="275"/>
      <c r="AE450" s="275"/>
      <c r="AF450" s="275"/>
      <c r="AG450" s="275"/>
      <c r="AH450" s="438"/>
      <c r="AI450" s="439">
        <f t="shared" si="49"/>
        <v>0</v>
      </c>
      <c r="AJ450" s="263"/>
      <c r="AK450" s="263"/>
      <c r="AL450" s="263"/>
      <c r="AM450" s="263"/>
      <c r="AN450" s="263"/>
      <c r="AO450" s="263"/>
      <c r="AP450" s="263"/>
      <c r="AQ450" s="436"/>
      <c r="AR450" s="275"/>
      <c r="AS450" s="275"/>
      <c r="AT450" s="275"/>
      <c r="AU450" s="275"/>
      <c r="AV450" s="275"/>
      <c r="AW450" s="275"/>
      <c r="AX450" s="275"/>
      <c r="AY450" s="437"/>
      <c r="AZ450" s="440">
        <f t="shared" si="50"/>
        <v>0</v>
      </c>
      <c r="BA450" s="275"/>
      <c r="BB450" s="275"/>
      <c r="BC450" s="275"/>
      <c r="BD450" s="275"/>
      <c r="BE450" s="275"/>
      <c r="BF450" s="275"/>
      <c r="BG450" s="275"/>
      <c r="BH450" s="436"/>
      <c r="BI450" s="275"/>
      <c r="BJ450" s="275"/>
      <c r="BK450" s="291"/>
      <c r="BL450" s="291"/>
      <c r="BM450" s="275"/>
      <c r="BN450" s="275"/>
      <c r="BO450" s="438"/>
      <c r="BP450" s="436"/>
      <c r="BQ450" s="275"/>
      <c r="BR450" s="275"/>
      <c r="BS450" s="275"/>
      <c r="BT450" s="275"/>
      <c r="BU450" s="275"/>
      <c r="BV450" s="275"/>
      <c r="BW450" s="275"/>
      <c r="BX450" s="438"/>
      <c r="BY450" s="436"/>
      <c r="BZ450" s="275"/>
      <c r="CA450" s="275"/>
      <c r="CB450" s="275"/>
      <c r="CC450" s="275"/>
      <c r="CD450" s="275"/>
      <c r="CE450" s="275"/>
      <c r="CF450" s="275"/>
      <c r="CG450" s="438"/>
      <c r="CH450" s="436"/>
      <c r="CI450" s="275"/>
      <c r="CJ450" s="275"/>
      <c r="CK450" s="275"/>
      <c r="CL450" s="275"/>
      <c r="CM450" s="275"/>
      <c r="CN450" s="275"/>
      <c r="CO450" s="442"/>
      <c r="CP450" s="443"/>
      <c r="CQ450" s="429">
        <f t="shared" si="51"/>
        <v>0</v>
      </c>
      <c r="CR450" s="430"/>
    </row>
    <row r="451" spans="1:96" ht="25.5" customHeight="1" x14ac:dyDescent="0.2">
      <c r="A451" s="410">
        <f t="shared" si="52"/>
        <v>436</v>
      </c>
      <c r="B451" s="280"/>
      <c r="C451" s="453"/>
      <c r="D451" s="411"/>
      <c r="E451" s="254"/>
      <c r="F451" s="277"/>
      <c r="G451" s="450"/>
      <c r="H451" s="451"/>
      <c r="I451" s="433" t="str">
        <f t="shared" si="46"/>
        <v/>
      </c>
      <c r="J451" s="434">
        <f t="shared" si="47"/>
        <v>0</v>
      </c>
      <c r="K451" s="452"/>
      <c r="L451" s="276"/>
      <c r="M451" s="435"/>
      <c r="N451" s="417" t="str">
        <f t="shared" si="48"/>
        <v/>
      </c>
      <c r="O451" s="418" t="str">
        <f>IF('Data Set up'!$G$40="JUNE",IF(OR($N451=7,$N451=8,$N451=9),1,IF(OR($N451=10,$N451=11,$N451=12),2,IF(OR($N451=1,$N451=2,$N451=3),3,IF(OR($N451=4,$N451=5,$N451=6),4,"")))),IF(OR($N451=9,$N451=10,$N451=11),1,IF(OR($N451=12,$N451=1,$N451=2),2,IF(OR($N451=3,$N451=4,$N451=5),3,IF(OR($N451=6,$N451=7,$N451=8),4,"")))))</f>
        <v/>
      </c>
      <c r="P451" s="445"/>
      <c r="Q451" s="291"/>
      <c r="R451" s="291"/>
      <c r="S451" s="275"/>
      <c r="T451" s="275"/>
      <c r="U451" s="275"/>
      <c r="V451" s="275"/>
      <c r="W451" s="275"/>
      <c r="X451" s="275"/>
      <c r="Y451" s="275"/>
      <c r="Z451" s="275"/>
      <c r="AA451" s="275"/>
      <c r="AB451" s="275"/>
      <c r="AC451" s="275"/>
      <c r="AD451" s="275"/>
      <c r="AE451" s="275"/>
      <c r="AF451" s="275"/>
      <c r="AG451" s="275"/>
      <c r="AH451" s="438"/>
      <c r="AI451" s="439">
        <f t="shared" si="49"/>
        <v>0</v>
      </c>
      <c r="AJ451" s="263"/>
      <c r="AK451" s="263"/>
      <c r="AL451" s="263"/>
      <c r="AM451" s="263"/>
      <c r="AN451" s="263"/>
      <c r="AO451" s="263"/>
      <c r="AP451" s="263"/>
      <c r="AQ451" s="436"/>
      <c r="AR451" s="275"/>
      <c r="AS451" s="275"/>
      <c r="AT451" s="275"/>
      <c r="AU451" s="275"/>
      <c r="AV451" s="275"/>
      <c r="AW451" s="275"/>
      <c r="AX451" s="275"/>
      <c r="AY451" s="437"/>
      <c r="AZ451" s="440">
        <f t="shared" si="50"/>
        <v>0</v>
      </c>
      <c r="BA451" s="275"/>
      <c r="BB451" s="275"/>
      <c r="BC451" s="275"/>
      <c r="BD451" s="275"/>
      <c r="BE451" s="275"/>
      <c r="BF451" s="275"/>
      <c r="BG451" s="275"/>
      <c r="BH451" s="436"/>
      <c r="BI451" s="275"/>
      <c r="BJ451" s="275"/>
      <c r="BK451" s="291"/>
      <c r="BL451" s="291"/>
      <c r="BM451" s="275"/>
      <c r="BN451" s="275"/>
      <c r="BO451" s="438"/>
      <c r="BP451" s="436"/>
      <c r="BQ451" s="275"/>
      <c r="BR451" s="275"/>
      <c r="BS451" s="275"/>
      <c r="BT451" s="275"/>
      <c r="BU451" s="275"/>
      <c r="BV451" s="275"/>
      <c r="BW451" s="275"/>
      <c r="BX451" s="438"/>
      <c r="BY451" s="436"/>
      <c r="BZ451" s="275"/>
      <c r="CA451" s="275"/>
      <c r="CB451" s="275"/>
      <c r="CC451" s="275"/>
      <c r="CD451" s="275"/>
      <c r="CE451" s="275"/>
      <c r="CF451" s="275"/>
      <c r="CG451" s="438"/>
      <c r="CH451" s="436"/>
      <c r="CI451" s="275"/>
      <c r="CJ451" s="275"/>
      <c r="CK451" s="275"/>
      <c r="CL451" s="275"/>
      <c r="CM451" s="275"/>
      <c r="CN451" s="275"/>
      <c r="CO451" s="442"/>
      <c r="CP451" s="443"/>
      <c r="CQ451" s="429">
        <f t="shared" si="51"/>
        <v>0</v>
      </c>
      <c r="CR451" s="430"/>
    </row>
    <row r="452" spans="1:96" ht="25.5" customHeight="1" x14ac:dyDescent="0.2">
      <c r="A452" s="410">
        <f t="shared" si="52"/>
        <v>437</v>
      </c>
      <c r="B452" s="280"/>
      <c r="C452" s="453"/>
      <c r="D452" s="411"/>
      <c r="E452" s="254"/>
      <c r="F452" s="277"/>
      <c r="G452" s="450"/>
      <c r="H452" s="451"/>
      <c r="I452" s="433" t="str">
        <f t="shared" si="46"/>
        <v/>
      </c>
      <c r="J452" s="434">
        <f t="shared" si="47"/>
        <v>0</v>
      </c>
      <c r="K452" s="452"/>
      <c r="L452" s="276"/>
      <c r="M452" s="435"/>
      <c r="N452" s="417" t="str">
        <f t="shared" si="48"/>
        <v/>
      </c>
      <c r="O452" s="418" t="str">
        <f>IF('Data Set up'!$G$40="JUNE",IF(OR($N452=7,$N452=8,$N452=9),1,IF(OR($N452=10,$N452=11,$N452=12),2,IF(OR($N452=1,$N452=2,$N452=3),3,IF(OR($N452=4,$N452=5,$N452=6),4,"")))),IF(OR($N452=9,$N452=10,$N452=11),1,IF(OR($N452=12,$N452=1,$N452=2),2,IF(OR($N452=3,$N452=4,$N452=5),3,IF(OR($N452=6,$N452=7,$N452=8),4,"")))))</f>
        <v/>
      </c>
      <c r="P452" s="445"/>
      <c r="Q452" s="291"/>
      <c r="R452" s="291"/>
      <c r="S452" s="275"/>
      <c r="T452" s="275"/>
      <c r="U452" s="275"/>
      <c r="V452" s="275"/>
      <c r="W452" s="275"/>
      <c r="X452" s="275"/>
      <c r="Y452" s="275"/>
      <c r="Z452" s="275"/>
      <c r="AA452" s="275"/>
      <c r="AB452" s="275"/>
      <c r="AC452" s="275"/>
      <c r="AD452" s="275"/>
      <c r="AE452" s="275"/>
      <c r="AF452" s="275"/>
      <c r="AG452" s="275"/>
      <c r="AH452" s="438"/>
      <c r="AI452" s="439">
        <f t="shared" si="49"/>
        <v>0</v>
      </c>
      <c r="AJ452" s="263"/>
      <c r="AK452" s="263"/>
      <c r="AL452" s="263"/>
      <c r="AM452" s="263"/>
      <c r="AN452" s="263"/>
      <c r="AO452" s="263"/>
      <c r="AP452" s="263"/>
      <c r="AQ452" s="436"/>
      <c r="AR452" s="275"/>
      <c r="AS452" s="275"/>
      <c r="AT452" s="275"/>
      <c r="AU452" s="275"/>
      <c r="AV452" s="275"/>
      <c r="AW452" s="275"/>
      <c r="AX452" s="275"/>
      <c r="AY452" s="437"/>
      <c r="AZ452" s="440">
        <f t="shared" si="50"/>
        <v>0</v>
      </c>
      <c r="BA452" s="275"/>
      <c r="BB452" s="275"/>
      <c r="BC452" s="275"/>
      <c r="BD452" s="275"/>
      <c r="BE452" s="275"/>
      <c r="BF452" s="275"/>
      <c r="BG452" s="275"/>
      <c r="BH452" s="436"/>
      <c r="BI452" s="275"/>
      <c r="BJ452" s="275"/>
      <c r="BK452" s="291"/>
      <c r="BL452" s="291"/>
      <c r="BM452" s="275"/>
      <c r="BN452" s="275"/>
      <c r="BO452" s="438"/>
      <c r="BP452" s="436"/>
      <c r="BQ452" s="275"/>
      <c r="BR452" s="275"/>
      <c r="BS452" s="275"/>
      <c r="BT452" s="275"/>
      <c r="BU452" s="275"/>
      <c r="BV452" s="275"/>
      <c r="BW452" s="275"/>
      <c r="BX452" s="438"/>
      <c r="BY452" s="436"/>
      <c r="BZ452" s="275"/>
      <c r="CA452" s="275"/>
      <c r="CB452" s="275"/>
      <c r="CC452" s="275"/>
      <c r="CD452" s="275"/>
      <c r="CE452" s="275"/>
      <c r="CF452" s="275"/>
      <c r="CG452" s="438"/>
      <c r="CH452" s="436"/>
      <c r="CI452" s="275"/>
      <c r="CJ452" s="275"/>
      <c r="CK452" s="275"/>
      <c r="CL452" s="275"/>
      <c r="CM452" s="275"/>
      <c r="CN452" s="275"/>
      <c r="CO452" s="442"/>
      <c r="CP452" s="443"/>
      <c r="CQ452" s="429">
        <f t="shared" si="51"/>
        <v>0</v>
      </c>
      <c r="CR452" s="430"/>
    </row>
    <row r="453" spans="1:96" ht="25.5" customHeight="1" x14ac:dyDescent="0.2">
      <c r="A453" s="410">
        <f t="shared" si="52"/>
        <v>438</v>
      </c>
      <c r="B453" s="280"/>
      <c r="C453" s="453"/>
      <c r="D453" s="411"/>
      <c r="E453" s="254"/>
      <c r="F453" s="277"/>
      <c r="G453" s="450"/>
      <c r="H453" s="451"/>
      <c r="I453" s="433" t="str">
        <f t="shared" si="46"/>
        <v/>
      </c>
      <c r="J453" s="434">
        <f t="shared" si="47"/>
        <v>0</v>
      </c>
      <c r="K453" s="452"/>
      <c r="L453" s="276"/>
      <c r="M453" s="435"/>
      <c r="N453" s="417" t="str">
        <f t="shared" si="48"/>
        <v/>
      </c>
      <c r="O453" s="418" t="str">
        <f>IF('Data Set up'!$G$40="JUNE",IF(OR($N453=7,$N453=8,$N453=9),1,IF(OR($N453=10,$N453=11,$N453=12),2,IF(OR($N453=1,$N453=2,$N453=3),3,IF(OR($N453=4,$N453=5,$N453=6),4,"")))),IF(OR($N453=9,$N453=10,$N453=11),1,IF(OR($N453=12,$N453=1,$N453=2),2,IF(OR($N453=3,$N453=4,$N453=5),3,IF(OR($N453=6,$N453=7,$N453=8),4,"")))))</f>
        <v/>
      </c>
      <c r="P453" s="445"/>
      <c r="Q453" s="291"/>
      <c r="R453" s="291"/>
      <c r="S453" s="275"/>
      <c r="T453" s="275"/>
      <c r="U453" s="275"/>
      <c r="V453" s="275"/>
      <c r="W453" s="275"/>
      <c r="X453" s="275"/>
      <c r="Y453" s="275"/>
      <c r="Z453" s="275"/>
      <c r="AA453" s="275"/>
      <c r="AB453" s="275"/>
      <c r="AC453" s="275"/>
      <c r="AD453" s="275"/>
      <c r="AE453" s="275"/>
      <c r="AF453" s="275"/>
      <c r="AG453" s="275"/>
      <c r="AH453" s="438"/>
      <c r="AI453" s="439">
        <f t="shared" si="49"/>
        <v>0</v>
      </c>
      <c r="AJ453" s="263"/>
      <c r="AK453" s="263"/>
      <c r="AL453" s="263"/>
      <c r="AM453" s="263"/>
      <c r="AN453" s="263"/>
      <c r="AO453" s="263"/>
      <c r="AP453" s="263"/>
      <c r="AQ453" s="436"/>
      <c r="AR453" s="275"/>
      <c r="AS453" s="275"/>
      <c r="AT453" s="275"/>
      <c r="AU453" s="275"/>
      <c r="AV453" s="275"/>
      <c r="AW453" s="275"/>
      <c r="AX453" s="275"/>
      <c r="AY453" s="437"/>
      <c r="AZ453" s="440">
        <f t="shared" si="50"/>
        <v>0</v>
      </c>
      <c r="BA453" s="275"/>
      <c r="BB453" s="275"/>
      <c r="BC453" s="275"/>
      <c r="BD453" s="275"/>
      <c r="BE453" s="275"/>
      <c r="BF453" s="275"/>
      <c r="BG453" s="275"/>
      <c r="BH453" s="436"/>
      <c r="BI453" s="275"/>
      <c r="BJ453" s="275"/>
      <c r="BK453" s="291"/>
      <c r="BL453" s="291"/>
      <c r="BM453" s="275"/>
      <c r="BN453" s="275"/>
      <c r="BO453" s="438"/>
      <c r="BP453" s="436"/>
      <c r="BQ453" s="275"/>
      <c r="BR453" s="275"/>
      <c r="BS453" s="275"/>
      <c r="BT453" s="275"/>
      <c r="BU453" s="275"/>
      <c r="BV453" s="275"/>
      <c r="BW453" s="275"/>
      <c r="BX453" s="438"/>
      <c r="BY453" s="436"/>
      <c r="BZ453" s="275"/>
      <c r="CA453" s="275"/>
      <c r="CB453" s="275"/>
      <c r="CC453" s="275"/>
      <c r="CD453" s="275"/>
      <c r="CE453" s="275"/>
      <c r="CF453" s="275"/>
      <c r="CG453" s="438"/>
      <c r="CH453" s="436"/>
      <c r="CI453" s="275"/>
      <c r="CJ453" s="275"/>
      <c r="CK453" s="275"/>
      <c r="CL453" s="275"/>
      <c r="CM453" s="275"/>
      <c r="CN453" s="275"/>
      <c r="CO453" s="442"/>
      <c r="CP453" s="443"/>
      <c r="CQ453" s="429">
        <f t="shared" si="51"/>
        <v>0</v>
      </c>
      <c r="CR453" s="430"/>
    </row>
    <row r="454" spans="1:96" ht="25.5" customHeight="1" x14ac:dyDescent="0.2">
      <c r="A454" s="410">
        <f t="shared" si="52"/>
        <v>439</v>
      </c>
      <c r="B454" s="280"/>
      <c r="C454" s="453"/>
      <c r="D454" s="411"/>
      <c r="E454" s="254"/>
      <c r="F454" s="277"/>
      <c r="G454" s="450"/>
      <c r="H454" s="451"/>
      <c r="I454" s="433" t="str">
        <f t="shared" si="46"/>
        <v/>
      </c>
      <c r="J454" s="434">
        <f t="shared" si="47"/>
        <v>0</v>
      </c>
      <c r="K454" s="452"/>
      <c r="L454" s="276"/>
      <c r="M454" s="435"/>
      <c r="N454" s="417" t="str">
        <f t="shared" si="48"/>
        <v/>
      </c>
      <c r="O454" s="418" t="str">
        <f>IF('Data Set up'!$G$40="JUNE",IF(OR($N454=7,$N454=8,$N454=9),1,IF(OR($N454=10,$N454=11,$N454=12),2,IF(OR($N454=1,$N454=2,$N454=3),3,IF(OR($N454=4,$N454=5,$N454=6),4,"")))),IF(OR($N454=9,$N454=10,$N454=11),1,IF(OR($N454=12,$N454=1,$N454=2),2,IF(OR($N454=3,$N454=4,$N454=5),3,IF(OR($N454=6,$N454=7,$N454=8),4,"")))))</f>
        <v/>
      </c>
      <c r="P454" s="445"/>
      <c r="Q454" s="291"/>
      <c r="R454" s="291"/>
      <c r="S454" s="275"/>
      <c r="T454" s="275"/>
      <c r="U454" s="275"/>
      <c r="V454" s="275"/>
      <c r="W454" s="275"/>
      <c r="X454" s="275"/>
      <c r="Y454" s="275"/>
      <c r="Z454" s="275"/>
      <c r="AA454" s="275"/>
      <c r="AB454" s="275"/>
      <c r="AC454" s="275"/>
      <c r="AD454" s="275"/>
      <c r="AE454" s="275"/>
      <c r="AF454" s="275"/>
      <c r="AG454" s="275"/>
      <c r="AH454" s="438"/>
      <c r="AI454" s="439">
        <f t="shared" si="49"/>
        <v>0</v>
      </c>
      <c r="AJ454" s="263"/>
      <c r="AK454" s="263"/>
      <c r="AL454" s="263"/>
      <c r="AM454" s="263"/>
      <c r="AN454" s="263"/>
      <c r="AO454" s="263"/>
      <c r="AP454" s="263"/>
      <c r="AQ454" s="436"/>
      <c r="AR454" s="275"/>
      <c r="AS454" s="275"/>
      <c r="AT454" s="275"/>
      <c r="AU454" s="275"/>
      <c r="AV454" s="275"/>
      <c r="AW454" s="275"/>
      <c r="AX454" s="275"/>
      <c r="AY454" s="437"/>
      <c r="AZ454" s="440">
        <f t="shared" si="50"/>
        <v>0</v>
      </c>
      <c r="BA454" s="275"/>
      <c r="BB454" s="275"/>
      <c r="BC454" s="275"/>
      <c r="BD454" s="275"/>
      <c r="BE454" s="275"/>
      <c r="BF454" s="275"/>
      <c r="BG454" s="275"/>
      <c r="BH454" s="436"/>
      <c r="BI454" s="275"/>
      <c r="BJ454" s="275"/>
      <c r="BK454" s="291"/>
      <c r="BL454" s="291"/>
      <c r="BM454" s="275"/>
      <c r="BN454" s="275"/>
      <c r="BO454" s="438"/>
      <c r="BP454" s="436"/>
      <c r="BQ454" s="275"/>
      <c r="BR454" s="275"/>
      <c r="BS454" s="275"/>
      <c r="BT454" s="275"/>
      <c r="BU454" s="275"/>
      <c r="BV454" s="275"/>
      <c r="BW454" s="275"/>
      <c r="BX454" s="438"/>
      <c r="BY454" s="436"/>
      <c r="BZ454" s="275"/>
      <c r="CA454" s="275"/>
      <c r="CB454" s="275"/>
      <c r="CC454" s="275"/>
      <c r="CD454" s="275"/>
      <c r="CE454" s="275"/>
      <c r="CF454" s="275"/>
      <c r="CG454" s="438"/>
      <c r="CH454" s="436"/>
      <c r="CI454" s="275"/>
      <c r="CJ454" s="275"/>
      <c r="CK454" s="275"/>
      <c r="CL454" s="275"/>
      <c r="CM454" s="275"/>
      <c r="CN454" s="275"/>
      <c r="CO454" s="442"/>
      <c r="CP454" s="443"/>
      <c r="CQ454" s="429">
        <f t="shared" si="51"/>
        <v>0</v>
      </c>
      <c r="CR454" s="430"/>
    </row>
    <row r="455" spans="1:96" ht="25.5" customHeight="1" x14ac:dyDescent="0.2">
      <c r="A455" s="410">
        <f t="shared" si="52"/>
        <v>440</v>
      </c>
      <c r="B455" s="280"/>
      <c r="C455" s="453"/>
      <c r="D455" s="411"/>
      <c r="E455" s="254"/>
      <c r="F455" s="277"/>
      <c r="G455" s="450"/>
      <c r="H455" s="451"/>
      <c r="I455" s="433" t="str">
        <f t="shared" si="46"/>
        <v/>
      </c>
      <c r="J455" s="434">
        <f t="shared" si="47"/>
        <v>0</v>
      </c>
      <c r="K455" s="452"/>
      <c r="L455" s="276"/>
      <c r="M455" s="435"/>
      <c r="N455" s="417" t="str">
        <f t="shared" si="48"/>
        <v/>
      </c>
      <c r="O455" s="418" t="str">
        <f>IF('Data Set up'!$G$40="JUNE",IF(OR($N455=7,$N455=8,$N455=9),1,IF(OR($N455=10,$N455=11,$N455=12),2,IF(OR($N455=1,$N455=2,$N455=3),3,IF(OR($N455=4,$N455=5,$N455=6),4,"")))),IF(OR($N455=9,$N455=10,$N455=11),1,IF(OR($N455=12,$N455=1,$N455=2),2,IF(OR($N455=3,$N455=4,$N455=5),3,IF(OR($N455=6,$N455=7,$N455=8),4,"")))))</f>
        <v/>
      </c>
      <c r="P455" s="445"/>
      <c r="Q455" s="291"/>
      <c r="R455" s="291"/>
      <c r="S455" s="275"/>
      <c r="T455" s="275"/>
      <c r="U455" s="275"/>
      <c r="V455" s="275"/>
      <c r="W455" s="275"/>
      <c r="X455" s="275"/>
      <c r="Y455" s="275"/>
      <c r="Z455" s="275"/>
      <c r="AA455" s="275"/>
      <c r="AB455" s="275"/>
      <c r="AC455" s="275"/>
      <c r="AD455" s="275"/>
      <c r="AE455" s="275"/>
      <c r="AF455" s="275"/>
      <c r="AG455" s="275"/>
      <c r="AH455" s="438"/>
      <c r="AI455" s="439">
        <f t="shared" si="49"/>
        <v>0</v>
      </c>
      <c r="AJ455" s="263"/>
      <c r="AK455" s="263"/>
      <c r="AL455" s="263"/>
      <c r="AM455" s="263"/>
      <c r="AN455" s="263"/>
      <c r="AO455" s="263"/>
      <c r="AP455" s="263"/>
      <c r="AQ455" s="436"/>
      <c r="AR455" s="275"/>
      <c r="AS455" s="275"/>
      <c r="AT455" s="275"/>
      <c r="AU455" s="275"/>
      <c r="AV455" s="275"/>
      <c r="AW455" s="275"/>
      <c r="AX455" s="275"/>
      <c r="AY455" s="437"/>
      <c r="AZ455" s="440">
        <f t="shared" si="50"/>
        <v>0</v>
      </c>
      <c r="BA455" s="275"/>
      <c r="BB455" s="275"/>
      <c r="BC455" s="275"/>
      <c r="BD455" s="275"/>
      <c r="BE455" s="275"/>
      <c r="BF455" s="275"/>
      <c r="BG455" s="275"/>
      <c r="BH455" s="436"/>
      <c r="BI455" s="275"/>
      <c r="BJ455" s="275"/>
      <c r="BK455" s="291"/>
      <c r="BL455" s="291"/>
      <c r="BM455" s="275"/>
      <c r="BN455" s="275"/>
      <c r="BO455" s="438"/>
      <c r="BP455" s="436"/>
      <c r="BQ455" s="275"/>
      <c r="BR455" s="275"/>
      <c r="BS455" s="275"/>
      <c r="BT455" s="275"/>
      <c r="BU455" s="275"/>
      <c r="BV455" s="275"/>
      <c r="BW455" s="275"/>
      <c r="BX455" s="438"/>
      <c r="BY455" s="436"/>
      <c r="BZ455" s="275"/>
      <c r="CA455" s="275"/>
      <c r="CB455" s="275"/>
      <c r="CC455" s="275"/>
      <c r="CD455" s="275"/>
      <c r="CE455" s="275"/>
      <c r="CF455" s="275"/>
      <c r="CG455" s="438"/>
      <c r="CH455" s="436"/>
      <c r="CI455" s="275"/>
      <c r="CJ455" s="275"/>
      <c r="CK455" s="275"/>
      <c r="CL455" s="275"/>
      <c r="CM455" s="275"/>
      <c r="CN455" s="275"/>
      <c r="CO455" s="442"/>
      <c r="CP455" s="443"/>
      <c r="CQ455" s="429">
        <f t="shared" si="51"/>
        <v>0</v>
      </c>
      <c r="CR455" s="430"/>
    </row>
    <row r="456" spans="1:96" ht="25.5" customHeight="1" x14ac:dyDescent="0.2">
      <c r="A456" s="410">
        <f t="shared" si="52"/>
        <v>441</v>
      </c>
      <c r="B456" s="280"/>
      <c r="C456" s="453"/>
      <c r="D456" s="411"/>
      <c r="E456" s="254"/>
      <c r="F456" s="277"/>
      <c r="G456" s="450"/>
      <c r="H456" s="451"/>
      <c r="I456" s="433" t="str">
        <f t="shared" si="46"/>
        <v/>
      </c>
      <c r="J456" s="434">
        <f t="shared" si="47"/>
        <v>0</v>
      </c>
      <c r="K456" s="452"/>
      <c r="L456" s="276"/>
      <c r="M456" s="435"/>
      <c r="N456" s="417" t="str">
        <f t="shared" si="48"/>
        <v/>
      </c>
      <c r="O456" s="418" t="str">
        <f>IF('Data Set up'!$G$40="JUNE",IF(OR($N456=7,$N456=8,$N456=9),1,IF(OR($N456=10,$N456=11,$N456=12),2,IF(OR($N456=1,$N456=2,$N456=3),3,IF(OR($N456=4,$N456=5,$N456=6),4,"")))),IF(OR($N456=9,$N456=10,$N456=11),1,IF(OR($N456=12,$N456=1,$N456=2),2,IF(OR($N456=3,$N456=4,$N456=5),3,IF(OR($N456=6,$N456=7,$N456=8),4,"")))))</f>
        <v/>
      </c>
      <c r="P456" s="445"/>
      <c r="Q456" s="291"/>
      <c r="R456" s="291"/>
      <c r="S456" s="275"/>
      <c r="T456" s="275"/>
      <c r="U456" s="275"/>
      <c r="V456" s="275"/>
      <c r="W456" s="275"/>
      <c r="X456" s="275"/>
      <c r="Y456" s="275"/>
      <c r="Z456" s="275"/>
      <c r="AA456" s="275"/>
      <c r="AB456" s="275"/>
      <c r="AC456" s="275"/>
      <c r="AD456" s="275"/>
      <c r="AE456" s="275"/>
      <c r="AF456" s="275"/>
      <c r="AG456" s="275"/>
      <c r="AH456" s="438"/>
      <c r="AI456" s="439">
        <f t="shared" si="49"/>
        <v>0</v>
      </c>
      <c r="AJ456" s="263"/>
      <c r="AK456" s="263"/>
      <c r="AL456" s="263"/>
      <c r="AM456" s="263"/>
      <c r="AN456" s="263"/>
      <c r="AO456" s="263"/>
      <c r="AP456" s="263"/>
      <c r="AQ456" s="436"/>
      <c r="AR456" s="275"/>
      <c r="AS456" s="275"/>
      <c r="AT456" s="275"/>
      <c r="AU456" s="275"/>
      <c r="AV456" s="275"/>
      <c r="AW456" s="275"/>
      <c r="AX456" s="275"/>
      <c r="AY456" s="437"/>
      <c r="AZ456" s="440">
        <f t="shared" si="50"/>
        <v>0</v>
      </c>
      <c r="BA456" s="275"/>
      <c r="BB456" s="275"/>
      <c r="BC456" s="275"/>
      <c r="BD456" s="275"/>
      <c r="BE456" s="275"/>
      <c r="BF456" s="275"/>
      <c r="BG456" s="275"/>
      <c r="BH456" s="436"/>
      <c r="BI456" s="275"/>
      <c r="BJ456" s="275"/>
      <c r="BK456" s="291"/>
      <c r="BL456" s="291"/>
      <c r="BM456" s="275"/>
      <c r="BN456" s="275"/>
      <c r="BO456" s="438"/>
      <c r="BP456" s="436"/>
      <c r="BQ456" s="275"/>
      <c r="BR456" s="275"/>
      <c r="BS456" s="275"/>
      <c r="BT456" s="275"/>
      <c r="BU456" s="275"/>
      <c r="BV456" s="275"/>
      <c r="BW456" s="275"/>
      <c r="BX456" s="438"/>
      <c r="BY456" s="436"/>
      <c r="BZ456" s="275"/>
      <c r="CA456" s="275"/>
      <c r="CB456" s="275"/>
      <c r="CC456" s="275"/>
      <c r="CD456" s="275"/>
      <c r="CE456" s="275"/>
      <c r="CF456" s="275"/>
      <c r="CG456" s="438"/>
      <c r="CH456" s="436"/>
      <c r="CI456" s="275"/>
      <c r="CJ456" s="275"/>
      <c r="CK456" s="275"/>
      <c r="CL456" s="275"/>
      <c r="CM456" s="275"/>
      <c r="CN456" s="275"/>
      <c r="CO456" s="442"/>
      <c r="CP456" s="443"/>
      <c r="CQ456" s="429">
        <f t="shared" si="51"/>
        <v>0</v>
      </c>
      <c r="CR456" s="430"/>
    </row>
    <row r="457" spans="1:96" ht="25.5" customHeight="1" x14ac:dyDescent="0.2">
      <c r="A457" s="410">
        <f t="shared" si="52"/>
        <v>442</v>
      </c>
      <c r="B457" s="280"/>
      <c r="C457" s="453"/>
      <c r="D457" s="411"/>
      <c r="E457" s="254"/>
      <c r="F457" s="277"/>
      <c r="G457" s="450"/>
      <c r="H457" s="451"/>
      <c r="I457" s="433" t="str">
        <f t="shared" si="46"/>
        <v/>
      </c>
      <c r="J457" s="434">
        <f t="shared" si="47"/>
        <v>0</v>
      </c>
      <c r="K457" s="452"/>
      <c r="L457" s="276"/>
      <c r="M457" s="435"/>
      <c r="N457" s="417" t="str">
        <f t="shared" si="48"/>
        <v/>
      </c>
      <c r="O457" s="418" t="str">
        <f>IF('Data Set up'!$G$40="JUNE",IF(OR($N457=7,$N457=8,$N457=9),1,IF(OR($N457=10,$N457=11,$N457=12),2,IF(OR($N457=1,$N457=2,$N457=3),3,IF(OR($N457=4,$N457=5,$N457=6),4,"")))),IF(OR($N457=9,$N457=10,$N457=11),1,IF(OR($N457=12,$N457=1,$N457=2),2,IF(OR($N457=3,$N457=4,$N457=5),3,IF(OR($N457=6,$N457=7,$N457=8),4,"")))))</f>
        <v/>
      </c>
      <c r="P457" s="445"/>
      <c r="Q457" s="291"/>
      <c r="R457" s="291"/>
      <c r="S457" s="275"/>
      <c r="T457" s="275"/>
      <c r="U457" s="275"/>
      <c r="V457" s="275"/>
      <c r="W457" s="275"/>
      <c r="X457" s="275"/>
      <c r="Y457" s="275"/>
      <c r="Z457" s="275"/>
      <c r="AA457" s="275"/>
      <c r="AB457" s="275"/>
      <c r="AC457" s="275"/>
      <c r="AD457" s="275"/>
      <c r="AE457" s="275"/>
      <c r="AF457" s="275"/>
      <c r="AG457" s="275"/>
      <c r="AH457" s="438"/>
      <c r="AI457" s="439">
        <f t="shared" si="49"/>
        <v>0</v>
      </c>
      <c r="AJ457" s="263"/>
      <c r="AK457" s="263"/>
      <c r="AL457" s="263"/>
      <c r="AM457" s="263"/>
      <c r="AN457" s="263"/>
      <c r="AO457" s="263"/>
      <c r="AP457" s="263"/>
      <c r="AQ457" s="436"/>
      <c r="AR457" s="275"/>
      <c r="AS457" s="275"/>
      <c r="AT457" s="275"/>
      <c r="AU457" s="275"/>
      <c r="AV457" s="275"/>
      <c r="AW457" s="275"/>
      <c r="AX457" s="275"/>
      <c r="AY457" s="437"/>
      <c r="AZ457" s="440">
        <f t="shared" si="50"/>
        <v>0</v>
      </c>
      <c r="BA457" s="275"/>
      <c r="BB457" s="275"/>
      <c r="BC457" s="275"/>
      <c r="BD457" s="275"/>
      <c r="BE457" s="275"/>
      <c r="BF457" s="275"/>
      <c r="BG457" s="275"/>
      <c r="BH457" s="436"/>
      <c r="BI457" s="275"/>
      <c r="BJ457" s="275"/>
      <c r="BK457" s="291"/>
      <c r="BL457" s="291"/>
      <c r="BM457" s="275"/>
      <c r="BN457" s="275"/>
      <c r="BO457" s="438"/>
      <c r="BP457" s="436"/>
      <c r="BQ457" s="275"/>
      <c r="BR457" s="275"/>
      <c r="BS457" s="275"/>
      <c r="BT457" s="275"/>
      <c r="BU457" s="275"/>
      <c r="BV457" s="275"/>
      <c r="BW457" s="275"/>
      <c r="BX457" s="438"/>
      <c r="BY457" s="436"/>
      <c r="BZ457" s="275"/>
      <c r="CA457" s="275"/>
      <c r="CB457" s="275"/>
      <c r="CC457" s="275"/>
      <c r="CD457" s="275"/>
      <c r="CE457" s="275"/>
      <c r="CF457" s="275"/>
      <c r="CG457" s="438"/>
      <c r="CH457" s="436"/>
      <c r="CI457" s="275"/>
      <c r="CJ457" s="275"/>
      <c r="CK457" s="275"/>
      <c r="CL457" s="275"/>
      <c r="CM457" s="275"/>
      <c r="CN457" s="275"/>
      <c r="CO457" s="442"/>
      <c r="CP457" s="443"/>
      <c r="CQ457" s="429">
        <f t="shared" si="51"/>
        <v>0</v>
      </c>
      <c r="CR457" s="430"/>
    </row>
    <row r="458" spans="1:96" ht="25.5" customHeight="1" x14ac:dyDescent="0.2">
      <c r="A458" s="410">
        <f t="shared" si="52"/>
        <v>443</v>
      </c>
      <c r="B458" s="280"/>
      <c r="C458" s="453"/>
      <c r="D458" s="411"/>
      <c r="E458" s="254"/>
      <c r="F458" s="277"/>
      <c r="G458" s="450"/>
      <c r="H458" s="451"/>
      <c r="I458" s="433" t="str">
        <f t="shared" si="46"/>
        <v/>
      </c>
      <c r="J458" s="434">
        <f t="shared" si="47"/>
        <v>0</v>
      </c>
      <c r="K458" s="452"/>
      <c r="L458" s="276"/>
      <c r="M458" s="435"/>
      <c r="N458" s="417" t="str">
        <f t="shared" si="48"/>
        <v/>
      </c>
      <c r="O458" s="418" t="str">
        <f>IF('Data Set up'!$G$40="JUNE",IF(OR($N458=7,$N458=8,$N458=9),1,IF(OR($N458=10,$N458=11,$N458=12),2,IF(OR($N458=1,$N458=2,$N458=3),3,IF(OR($N458=4,$N458=5,$N458=6),4,"")))),IF(OR($N458=9,$N458=10,$N458=11),1,IF(OR($N458=12,$N458=1,$N458=2),2,IF(OR($N458=3,$N458=4,$N458=5),3,IF(OR($N458=6,$N458=7,$N458=8),4,"")))))</f>
        <v/>
      </c>
      <c r="P458" s="445"/>
      <c r="Q458" s="291"/>
      <c r="R458" s="291"/>
      <c r="S458" s="275"/>
      <c r="T458" s="275"/>
      <c r="U458" s="275"/>
      <c r="V458" s="275"/>
      <c r="W458" s="275"/>
      <c r="X458" s="275"/>
      <c r="Y458" s="275"/>
      <c r="Z458" s="275"/>
      <c r="AA458" s="275"/>
      <c r="AB458" s="275"/>
      <c r="AC458" s="275"/>
      <c r="AD458" s="275"/>
      <c r="AE458" s="275"/>
      <c r="AF458" s="275"/>
      <c r="AG458" s="275"/>
      <c r="AH458" s="438"/>
      <c r="AI458" s="439">
        <f t="shared" si="49"/>
        <v>0</v>
      </c>
      <c r="AJ458" s="263"/>
      <c r="AK458" s="263"/>
      <c r="AL458" s="263"/>
      <c r="AM458" s="263"/>
      <c r="AN458" s="263"/>
      <c r="AO458" s="263"/>
      <c r="AP458" s="263"/>
      <c r="AQ458" s="436"/>
      <c r="AR458" s="275"/>
      <c r="AS458" s="275"/>
      <c r="AT458" s="275"/>
      <c r="AU458" s="275"/>
      <c r="AV458" s="275"/>
      <c r="AW458" s="275"/>
      <c r="AX458" s="275"/>
      <c r="AY458" s="437"/>
      <c r="AZ458" s="440">
        <f t="shared" si="50"/>
        <v>0</v>
      </c>
      <c r="BA458" s="275"/>
      <c r="BB458" s="275"/>
      <c r="BC458" s="275"/>
      <c r="BD458" s="275"/>
      <c r="BE458" s="275"/>
      <c r="BF458" s="275"/>
      <c r="BG458" s="275"/>
      <c r="BH458" s="436"/>
      <c r="BI458" s="275"/>
      <c r="BJ458" s="275"/>
      <c r="BK458" s="291"/>
      <c r="BL458" s="291"/>
      <c r="BM458" s="275"/>
      <c r="BN458" s="275"/>
      <c r="BO458" s="438"/>
      <c r="BP458" s="436"/>
      <c r="BQ458" s="275"/>
      <c r="BR458" s="275"/>
      <c r="BS458" s="275"/>
      <c r="BT458" s="275"/>
      <c r="BU458" s="275"/>
      <c r="BV458" s="275"/>
      <c r="BW458" s="275"/>
      <c r="BX458" s="438"/>
      <c r="BY458" s="436"/>
      <c r="BZ458" s="275"/>
      <c r="CA458" s="275"/>
      <c r="CB458" s="275"/>
      <c r="CC458" s="275"/>
      <c r="CD458" s="275"/>
      <c r="CE458" s="275"/>
      <c r="CF458" s="275"/>
      <c r="CG458" s="438"/>
      <c r="CH458" s="436"/>
      <c r="CI458" s="275"/>
      <c r="CJ458" s="275"/>
      <c r="CK458" s="275"/>
      <c r="CL458" s="275"/>
      <c r="CM458" s="275"/>
      <c r="CN458" s="275"/>
      <c r="CO458" s="442"/>
      <c r="CP458" s="443"/>
      <c r="CQ458" s="429">
        <f t="shared" si="51"/>
        <v>0</v>
      </c>
      <c r="CR458" s="430"/>
    </row>
    <row r="459" spans="1:96" ht="25.5" customHeight="1" x14ac:dyDescent="0.2">
      <c r="A459" s="410">
        <f t="shared" si="52"/>
        <v>444</v>
      </c>
      <c r="B459" s="280"/>
      <c r="C459" s="453"/>
      <c r="D459" s="411"/>
      <c r="E459" s="254"/>
      <c r="F459" s="277"/>
      <c r="G459" s="450"/>
      <c r="H459" s="451"/>
      <c r="I459" s="433" t="str">
        <f t="shared" si="46"/>
        <v/>
      </c>
      <c r="J459" s="434">
        <f t="shared" si="47"/>
        <v>0</v>
      </c>
      <c r="K459" s="452"/>
      <c r="L459" s="276"/>
      <c r="M459" s="435"/>
      <c r="N459" s="417" t="str">
        <f t="shared" si="48"/>
        <v/>
      </c>
      <c r="O459" s="418" t="str">
        <f>IF('Data Set up'!$G$40="JUNE",IF(OR($N459=7,$N459=8,$N459=9),1,IF(OR($N459=10,$N459=11,$N459=12),2,IF(OR($N459=1,$N459=2,$N459=3),3,IF(OR($N459=4,$N459=5,$N459=6),4,"")))),IF(OR($N459=9,$N459=10,$N459=11),1,IF(OR($N459=12,$N459=1,$N459=2),2,IF(OR($N459=3,$N459=4,$N459=5),3,IF(OR($N459=6,$N459=7,$N459=8),4,"")))))</f>
        <v/>
      </c>
      <c r="P459" s="445"/>
      <c r="Q459" s="291"/>
      <c r="R459" s="291"/>
      <c r="S459" s="275"/>
      <c r="T459" s="275"/>
      <c r="U459" s="275"/>
      <c r="V459" s="275"/>
      <c r="W459" s="275"/>
      <c r="X459" s="275"/>
      <c r="Y459" s="275"/>
      <c r="Z459" s="275"/>
      <c r="AA459" s="275"/>
      <c r="AB459" s="275"/>
      <c r="AC459" s="275"/>
      <c r="AD459" s="275"/>
      <c r="AE459" s="275"/>
      <c r="AF459" s="275"/>
      <c r="AG459" s="275"/>
      <c r="AH459" s="438"/>
      <c r="AI459" s="439">
        <f t="shared" si="49"/>
        <v>0</v>
      </c>
      <c r="AJ459" s="263"/>
      <c r="AK459" s="263"/>
      <c r="AL459" s="263"/>
      <c r="AM459" s="263"/>
      <c r="AN459" s="263"/>
      <c r="AO459" s="263"/>
      <c r="AP459" s="263"/>
      <c r="AQ459" s="436"/>
      <c r="AR459" s="275"/>
      <c r="AS459" s="275"/>
      <c r="AT459" s="275"/>
      <c r="AU459" s="275"/>
      <c r="AV459" s="275"/>
      <c r="AW459" s="275"/>
      <c r="AX459" s="275"/>
      <c r="AY459" s="437"/>
      <c r="AZ459" s="440">
        <f t="shared" si="50"/>
        <v>0</v>
      </c>
      <c r="BA459" s="275"/>
      <c r="BB459" s="275"/>
      <c r="BC459" s="275"/>
      <c r="BD459" s="275"/>
      <c r="BE459" s="275"/>
      <c r="BF459" s="275"/>
      <c r="BG459" s="275"/>
      <c r="BH459" s="436"/>
      <c r="BI459" s="275"/>
      <c r="BJ459" s="275"/>
      <c r="BK459" s="291"/>
      <c r="BL459" s="291"/>
      <c r="BM459" s="275"/>
      <c r="BN459" s="275"/>
      <c r="BO459" s="438"/>
      <c r="BP459" s="436"/>
      <c r="BQ459" s="275"/>
      <c r="BR459" s="275"/>
      <c r="BS459" s="275"/>
      <c r="BT459" s="275"/>
      <c r="BU459" s="275"/>
      <c r="BV459" s="275"/>
      <c r="BW459" s="275"/>
      <c r="BX459" s="438"/>
      <c r="BY459" s="436"/>
      <c r="BZ459" s="275"/>
      <c r="CA459" s="275"/>
      <c r="CB459" s="275"/>
      <c r="CC459" s="275"/>
      <c r="CD459" s="275"/>
      <c r="CE459" s="275"/>
      <c r="CF459" s="275"/>
      <c r="CG459" s="438"/>
      <c r="CH459" s="436"/>
      <c r="CI459" s="275"/>
      <c r="CJ459" s="275"/>
      <c r="CK459" s="275"/>
      <c r="CL459" s="275"/>
      <c r="CM459" s="275"/>
      <c r="CN459" s="275"/>
      <c r="CO459" s="442"/>
      <c r="CP459" s="443"/>
      <c r="CQ459" s="429">
        <f t="shared" si="51"/>
        <v>0</v>
      </c>
      <c r="CR459" s="430"/>
    </row>
    <row r="460" spans="1:96" ht="25.5" customHeight="1" x14ac:dyDescent="0.2">
      <c r="A460" s="410">
        <f t="shared" si="52"/>
        <v>445</v>
      </c>
      <c r="B460" s="280"/>
      <c r="C460" s="453"/>
      <c r="D460" s="411"/>
      <c r="E460" s="254"/>
      <c r="F460" s="277"/>
      <c r="G460" s="450"/>
      <c r="H460" s="451"/>
      <c r="I460" s="433" t="str">
        <f t="shared" si="46"/>
        <v/>
      </c>
      <c r="J460" s="434">
        <f t="shared" si="47"/>
        <v>0</v>
      </c>
      <c r="K460" s="452"/>
      <c r="L460" s="276"/>
      <c r="M460" s="435"/>
      <c r="N460" s="417" t="str">
        <f t="shared" si="48"/>
        <v/>
      </c>
      <c r="O460" s="418" t="str">
        <f>IF('Data Set up'!$G$40="JUNE",IF(OR($N460=7,$N460=8,$N460=9),1,IF(OR($N460=10,$N460=11,$N460=12),2,IF(OR($N460=1,$N460=2,$N460=3),3,IF(OR($N460=4,$N460=5,$N460=6),4,"")))),IF(OR($N460=9,$N460=10,$N460=11),1,IF(OR($N460=12,$N460=1,$N460=2),2,IF(OR($N460=3,$N460=4,$N460=5),3,IF(OR($N460=6,$N460=7,$N460=8),4,"")))))</f>
        <v/>
      </c>
      <c r="P460" s="445"/>
      <c r="Q460" s="291"/>
      <c r="R460" s="291"/>
      <c r="S460" s="275"/>
      <c r="T460" s="275"/>
      <c r="U460" s="275"/>
      <c r="V460" s="275"/>
      <c r="W460" s="275"/>
      <c r="X460" s="275"/>
      <c r="Y460" s="275"/>
      <c r="Z460" s="275"/>
      <c r="AA460" s="275"/>
      <c r="AB460" s="275"/>
      <c r="AC460" s="275"/>
      <c r="AD460" s="275"/>
      <c r="AE460" s="275"/>
      <c r="AF460" s="275"/>
      <c r="AG460" s="275"/>
      <c r="AH460" s="438"/>
      <c r="AI460" s="439">
        <f t="shared" si="49"/>
        <v>0</v>
      </c>
      <c r="AJ460" s="263"/>
      <c r="AK460" s="263"/>
      <c r="AL460" s="263"/>
      <c r="AM460" s="263"/>
      <c r="AN460" s="263"/>
      <c r="AO460" s="263"/>
      <c r="AP460" s="263"/>
      <c r="AQ460" s="436"/>
      <c r="AR460" s="275"/>
      <c r="AS460" s="275"/>
      <c r="AT460" s="275"/>
      <c r="AU460" s="275"/>
      <c r="AV460" s="275"/>
      <c r="AW460" s="275"/>
      <c r="AX460" s="275"/>
      <c r="AY460" s="437"/>
      <c r="AZ460" s="440">
        <f t="shared" si="50"/>
        <v>0</v>
      </c>
      <c r="BA460" s="275"/>
      <c r="BB460" s="275"/>
      <c r="BC460" s="275"/>
      <c r="BD460" s="275"/>
      <c r="BE460" s="275"/>
      <c r="BF460" s="275"/>
      <c r="BG460" s="275"/>
      <c r="BH460" s="436"/>
      <c r="BI460" s="275"/>
      <c r="BJ460" s="275"/>
      <c r="BK460" s="291"/>
      <c r="BL460" s="291"/>
      <c r="BM460" s="275"/>
      <c r="BN460" s="275"/>
      <c r="BO460" s="438"/>
      <c r="BP460" s="436"/>
      <c r="BQ460" s="275"/>
      <c r="BR460" s="275"/>
      <c r="BS460" s="275"/>
      <c r="BT460" s="275"/>
      <c r="BU460" s="275"/>
      <c r="BV460" s="275"/>
      <c r="BW460" s="275"/>
      <c r="BX460" s="438"/>
      <c r="BY460" s="436"/>
      <c r="BZ460" s="275"/>
      <c r="CA460" s="275"/>
      <c r="CB460" s="275"/>
      <c r="CC460" s="275"/>
      <c r="CD460" s="275"/>
      <c r="CE460" s="275"/>
      <c r="CF460" s="275"/>
      <c r="CG460" s="438"/>
      <c r="CH460" s="436"/>
      <c r="CI460" s="275"/>
      <c r="CJ460" s="275"/>
      <c r="CK460" s="275"/>
      <c r="CL460" s="275"/>
      <c r="CM460" s="275"/>
      <c r="CN460" s="275"/>
      <c r="CO460" s="442"/>
      <c r="CP460" s="443"/>
      <c r="CQ460" s="429">
        <f t="shared" si="51"/>
        <v>0</v>
      </c>
      <c r="CR460" s="430"/>
    </row>
    <row r="461" spans="1:96" ht="25.5" customHeight="1" x14ac:dyDescent="0.2">
      <c r="A461" s="410">
        <f t="shared" si="52"/>
        <v>446</v>
      </c>
      <c r="B461" s="280"/>
      <c r="C461" s="453"/>
      <c r="D461" s="411"/>
      <c r="E461" s="254"/>
      <c r="F461" s="277"/>
      <c r="G461" s="450"/>
      <c r="H461" s="451"/>
      <c r="I461" s="433" t="str">
        <f t="shared" si="46"/>
        <v/>
      </c>
      <c r="J461" s="434">
        <f t="shared" si="47"/>
        <v>0</v>
      </c>
      <c r="K461" s="452"/>
      <c r="L461" s="276"/>
      <c r="M461" s="435"/>
      <c r="N461" s="417" t="str">
        <f t="shared" si="48"/>
        <v/>
      </c>
      <c r="O461" s="418" t="str">
        <f>IF('Data Set up'!$G$40="JUNE",IF(OR($N461=7,$N461=8,$N461=9),1,IF(OR($N461=10,$N461=11,$N461=12),2,IF(OR($N461=1,$N461=2,$N461=3),3,IF(OR($N461=4,$N461=5,$N461=6),4,"")))),IF(OR($N461=9,$N461=10,$N461=11),1,IF(OR($N461=12,$N461=1,$N461=2),2,IF(OR($N461=3,$N461=4,$N461=5),3,IF(OR($N461=6,$N461=7,$N461=8),4,"")))))</f>
        <v/>
      </c>
      <c r="P461" s="445"/>
      <c r="Q461" s="291"/>
      <c r="R461" s="291"/>
      <c r="S461" s="275"/>
      <c r="T461" s="275"/>
      <c r="U461" s="275"/>
      <c r="V461" s="275"/>
      <c r="W461" s="275"/>
      <c r="X461" s="275"/>
      <c r="Y461" s="275"/>
      <c r="Z461" s="275"/>
      <c r="AA461" s="275"/>
      <c r="AB461" s="275"/>
      <c r="AC461" s="275"/>
      <c r="AD461" s="275"/>
      <c r="AE461" s="275"/>
      <c r="AF461" s="275"/>
      <c r="AG461" s="275"/>
      <c r="AH461" s="438"/>
      <c r="AI461" s="439">
        <f t="shared" si="49"/>
        <v>0</v>
      </c>
      <c r="AJ461" s="263"/>
      <c r="AK461" s="263"/>
      <c r="AL461" s="263"/>
      <c r="AM461" s="263"/>
      <c r="AN461" s="263"/>
      <c r="AO461" s="263"/>
      <c r="AP461" s="263"/>
      <c r="AQ461" s="436"/>
      <c r="AR461" s="275"/>
      <c r="AS461" s="275"/>
      <c r="AT461" s="275"/>
      <c r="AU461" s="275"/>
      <c r="AV461" s="275"/>
      <c r="AW461" s="275"/>
      <c r="AX461" s="275"/>
      <c r="AY461" s="437"/>
      <c r="AZ461" s="440">
        <f t="shared" si="50"/>
        <v>0</v>
      </c>
      <c r="BA461" s="275"/>
      <c r="BB461" s="275"/>
      <c r="BC461" s="275"/>
      <c r="BD461" s="275"/>
      <c r="BE461" s="275"/>
      <c r="BF461" s="275"/>
      <c r="BG461" s="275"/>
      <c r="BH461" s="436"/>
      <c r="BI461" s="275"/>
      <c r="BJ461" s="275"/>
      <c r="BK461" s="291"/>
      <c r="BL461" s="291"/>
      <c r="BM461" s="275"/>
      <c r="BN461" s="275"/>
      <c r="BO461" s="438"/>
      <c r="BP461" s="436"/>
      <c r="BQ461" s="275"/>
      <c r="BR461" s="275"/>
      <c r="BS461" s="275"/>
      <c r="BT461" s="275"/>
      <c r="BU461" s="275"/>
      <c r="BV461" s="275"/>
      <c r="BW461" s="275"/>
      <c r="BX461" s="438"/>
      <c r="BY461" s="436"/>
      <c r="BZ461" s="275"/>
      <c r="CA461" s="275"/>
      <c r="CB461" s="275"/>
      <c r="CC461" s="275"/>
      <c r="CD461" s="275"/>
      <c r="CE461" s="275"/>
      <c r="CF461" s="275"/>
      <c r="CG461" s="438"/>
      <c r="CH461" s="436"/>
      <c r="CI461" s="275"/>
      <c r="CJ461" s="275"/>
      <c r="CK461" s="275"/>
      <c r="CL461" s="275"/>
      <c r="CM461" s="275"/>
      <c r="CN461" s="275"/>
      <c r="CO461" s="442"/>
      <c r="CP461" s="443"/>
      <c r="CQ461" s="429">
        <f t="shared" si="51"/>
        <v>0</v>
      </c>
      <c r="CR461" s="430"/>
    </row>
    <row r="462" spans="1:96" ht="25.5" customHeight="1" x14ac:dyDescent="0.2">
      <c r="A462" s="410">
        <f t="shared" si="52"/>
        <v>447</v>
      </c>
      <c r="B462" s="280"/>
      <c r="C462" s="453"/>
      <c r="D462" s="411"/>
      <c r="E462" s="254"/>
      <c r="F462" s="277"/>
      <c r="G462" s="450"/>
      <c r="H462" s="451"/>
      <c r="I462" s="433" t="str">
        <f t="shared" si="46"/>
        <v/>
      </c>
      <c r="J462" s="434">
        <f t="shared" si="47"/>
        <v>0</v>
      </c>
      <c r="K462" s="452"/>
      <c r="L462" s="276"/>
      <c r="M462" s="435"/>
      <c r="N462" s="417" t="str">
        <f t="shared" si="48"/>
        <v/>
      </c>
      <c r="O462" s="418" t="str">
        <f>IF('Data Set up'!$G$40="JUNE",IF(OR($N462=7,$N462=8,$N462=9),1,IF(OR($N462=10,$N462=11,$N462=12),2,IF(OR($N462=1,$N462=2,$N462=3),3,IF(OR($N462=4,$N462=5,$N462=6),4,"")))),IF(OR($N462=9,$N462=10,$N462=11),1,IF(OR($N462=12,$N462=1,$N462=2),2,IF(OR($N462=3,$N462=4,$N462=5),3,IF(OR($N462=6,$N462=7,$N462=8),4,"")))))</f>
        <v/>
      </c>
      <c r="P462" s="445"/>
      <c r="Q462" s="291"/>
      <c r="R462" s="291"/>
      <c r="S462" s="275"/>
      <c r="T462" s="275"/>
      <c r="U462" s="275"/>
      <c r="V462" s="275"/>
      <c r="W462" s="275"/>
      <c r="X462" s="275"/>
      <c r="Y462" s="275"/>
      <c r="Z462" s="275"/>
      <c r="AA462" s="275"/>
      <c r="AB462" s="275"/>
      <c r="AC462" s="275"/>
      <c r="AD462" s="275"/>
      <c r="AE462" s="275"/>
      <c r="AF462" s="275"/>
      <c r="AG462" s="275"/>
      <c r="AH462" s="438"/>
      <c r="AI462" s="439">
        <f t="shared" si="49"/>
        <v>0</v>
      </c>
      <c r="AJ462" s="263"/>
      <c r="AK462" s="263"/>
      <c r="AL462" s="263"/>
      <c r="AM462" s="263"/>
      <c r="AN462" s="263"/>
      <c r="AO462" s="263"/>
      <c r="AP462" s="263"/>
      <c r="AQ462" s="436"/>
      <c r="AR462" s="275"/>
      <c r="AS462" s="275"/>
      <c r="AT462" s="275"/>
      <c r="AU462" s="275"/>
      <c r="AV462" s="275"/>
      <c r="AW462" s="275"/>
      <c r="AX462" s="275"/>
      <c r="AY462" s="437"/>
      <c r="AZ462" s="440">
        <f t="shared" si="50"/>
        <v>0</v>
      </c>
      <c r="BA462" s="275"/>
      <c r="BB462" s="275"/>
      <c r="BC462" s="275"/>
      <c r="BD462" s="275"/>
      <c r="BE462" s="275"/>
      <c r="BF462" s="275"/>
      <c r="BG462" s="275"/>
      <c r="BH462" s="436"/>
      <c r="BI462" s="275"/>
      <c r="BJ462" s="275"/>
      <c r="BK462" s="291"/>
      <c r="BL462" s="291"/>
      <c r="BM462" s="275"/>
      <c r="BN462" s="275"/>
      <c r="BO462" s="438"/>
      <c r="BP462" s="436"/>
      <c r="BQ462" s="275"/>
      <c r="BR462" s="275"/>
      <c r="BS462" s="275"/>
      <c r="BT462" s="275"/>
      <c r="BU462" s="275"/>
      <c r="BV462" s="275"/>
      <c r="BW462" s="275"/>
      <c r="BX462" s="438"/>
      <c r="BY462" s="436"/>
      <c r="BZ462" s="275"/>
      <c r="CA462" s="275"/>
      <c r="CB462" s="275"/>
      <c r="CC462" s="275"/>
      <c r="CD462" s="275"/>
      <c r="CE462" s="275"/>
      <c r="CF462" s="275"/>
      <c r="CG462" s="438"/>
      <c r="CH462" s="436"/>
      <c r="CI462" s="275"/>
      <c r="CJ462" s="275"/>
      <c r="CK462" s="275"/>
      <c r="CL462" s="275"/>
      <c r="CM462" s="275"/>
      <c r="CN462" s="275"/>
      <c r="CO462" s="442"/>
      <c r="CP462" s="443"/>
      <c r="CQ462" s="429">
        <f t="shared" si="51"/>
        <v>0</v>
      </c>
      <c r="CR462" s="430"/>
    </row>
    <row r="463" spans="1:96" ht="25.5" customHeight="1" x14ac:dyDescent="0.2">
      <c r="A463" s="410">
        <f t="shared" si="52"/>
        <v>448</v>
      </c>
      <c r="B463" s="280"/>
      <c r="C463" s="453"/>
      <c r="D463" s="411"/>
      <c r="E463" s="254"/>
      <c r="F463" s="277"/>
      <c r="G463" s="450"/>
      <c r="H463" s="451"/>
      <c r="I463" s="433" t="str">
        <f t="shared" si="46"/>
        <v/>
      </c>
      <c r="J463" s="434">
        <f t="shared" si="47"/>
        <v>0</v>
      </c>
      <c r="K463" s="452"/>
      <c r="L463" s="276"/>
      <c r="M463" s="435"/>
      <c r="N463" s="417" t="str">
        <f t="shared" si="48"/>
        <v/>
      </c>
      <c r="O463" s="418" t="str">
        <f>IF('Data Set up'!$G$40="JUNE",IF(OR($N463=7,$N463=8,$N463=9),1,IF(OR($N463=10,$N463=11,$N463=12),2,IF(OR($N463=1,$N463=2,$N463=3),3,IF(OR($N463=4,$N463=5,$N463=6),4,"")))),IF(OR($N463=9,$N463=10,$N463=11),1,IF(OR($N463=12,$N463=1,$N463=2),2,IF(OR($N463=3,$N463=4,$N463=5),3,IF(OR($N463=6,$N463=7,$N463=8),4,"")))))</f>
        <v/>
      </c>
      <c r="P463" s="445"/>
      <c r="Q463" s="291"/>
      <c r="R463" s="291"/>
      <c r="S463" s="275"/>
      <c r="T463" s="275"/>
      <c r="U463" s="275"/>
      <c r="V463" s="275"/>
      <c r="W463" s="275"/>
      <c r="X463" s="275"/>
      <c r="Y463" s="275"/>
      <c r="Z463" s="275"/>
      <c r="AA463" s="275"/>
      <c r="AB463" s="275"/>
      <c r="AC463" s="275"/>
      <c r="AD463" s="275"/>
      <c r="AE463" s="275"/>
      <c r="AF463" s="275"/>
      <c r="AG463" s="275"/>
      <c r="AH463" s="438"/>
      <c r="AI463" s="439">
        <f t="shared" si="49"/>
        <v>0</v>
      </c>
      <c r="AJ463" s="263"/>
      <c r="AK463" s="263"/>
      <c r="AL463" s="263"/>
      <c r="AM463" s="263"/>
      <c r="AN463" s="263"/>
      <c r="AO463" s="263"/>
      <c r="AP463" s="263"/>
      <c r="AQ463" s="436"/>
      <c r="AR463" s="275"/>
      <c r="AS463" s="275"/>
      <c r="AT463" s="275"/>
      <c r="AU463" s="275"/>
      <c r="AV463" s="275"/>
      <c r="AW463" s="275"/>
      <c r="AX463" s="275"/>
      <c r="AY463" s="437"/>
      <c r="AZ463" s="440">
        <f t="shared" si="50"/>
        <v>0</v>
      </c>
      <c r="BA463" s="275"/>
      <c r="BB463" s="275"/>
      <c r="BC463" s="275"/>
      <c r="BD463" s="275"/>
      <c r="BE463" s="275"/>
      <c r="BF463" s="275"/>
      <c r="BG463" s="275"/>
      <c r="BH463" s="436"/>
      <c r="BI463" s="275"/>
      <c r="BJ463" s="275"/>
      <c r="BK463" s="291"/>
      <c r="BL463" s="291"/>
      <c r="BM463" s="275"/>
      <c r="BN463" s="275"/>
      <c r="BO463" s="438"/>
      <c r="BP463" s="436"/>
      <c r="BQ463" s="275"/>
      <c r="BR463" s="275"/>
      <c r="BS463" s="275"/>
      <c r="BT463" s="275"/>
      <c r="BU463" s="275"/>
      <c r="BV463" s="275"/>
      <c r="BW463" s="275"/>
      <c r="BX463" s="438"/>
      <c r="BY463" s="436"/>
      <c r="BZ463" s="275"/>
      <c r="CA463" s="275"/>
      <c r="CB463" s="275"/>
      <c r="CC463" s="275"/>
      <c r="CD463" s="275"/>
      <c r="CE463" s="275"/>
      <c r="CF463" s="275"/>
      <c r="CG463" s="438"/>
      <c r="CH463" s="436"/>
      <c r="CI463" s="275"/>
      <c r="CJ463" s="275"/>
      <c r="CK463" s="275"/>
      <c r="CL463" s="275"/>
      <c r="CM463" s="275"/>
      <c r="CN463" s="275"/>
      <c r="CO463" s="442"/>
      <c r="CP463" s="443"/>
      <c r="CQ463" s="429">
        <f t="shared" si="51"/>
        <v>0</v>
      </c>
      <c r="CR463" s="430"/>
    </row>
    <row r="464" spans="1:96" ht="25.5" customHeight="1" x14ac:dyDescent="0.2">
      <c r="A464" s="410">
        <f t="shared" si="52"/>
        <v>449</v>
      </c>
      <c r="B464" s="280"/>
      <c r="C464" s="453"/>
      <c r="D464" s="411"/>
      <c r="E464" s="254"/>
      <c r="F464" s="277"/>
      <c r="G464" s="450"/>
      <c r="H464" s="451"/>
      <c r="I464" s="433" t="str">
        <f t="shared" ref="I464:I515" si="53">LEFT(H464,4)</f>
        <v/>
      </c>
      <c r="J464" s="434">
        <f t="shared" ref="J464:J515" si="54">G464-CQ464</f>
        <v>0</v>
      </c>
      <c r="K464" s="452"/>
      <c r="L464" s="276"/>
      <c r="M464" s="435"/>
      <c r="N464" s="417" t="str">
        <f t="shared" ref="N464:N515" si="55">IF($E464="","",MONTH($E464))</f>
        <v/>
      </c>
      <c r="O464" s="418" t="str">
        <f>IF('Data Set up'!$G$40="JUNE",IF(OR($N464=7,$N464=8,$N464=9),1,IF(OR($N464=10,$N464=11,$N464=12),2,IF(OR($N464=1,$N464=2,$N464=3),3,IF(OR($N464=4,$N464=5,$N464=6),4,"")))),IF(OR($N464=9,$N464=10,$N464=11),1,IF(OR($N464=12,$N464=1,$N464=2),2,IF(OR($N464=3,$N464=4,$N464=5),3,IF(OR($N464=6,$N464=7,$N464=8),4,"")))))</f>
        <v/>
      </c>
      <c r="P464" s="445"/>
      <c r="Q464" s="291"/>
      <c r="R464" s="291"/>
      <c r="S464" s="275"/>
      <c r="T464" s="275"/>
      <c r="U464" s="275"/>
      <c r="V464" s="275"/>
      <c r="W464" s="275"/>
      <c r="X464" s="275"/>
      <c r="Y464" s="275"/>
      <c r="Z464" s="275"/>
      <c r="AA464" s="275"/>
      <c r="AB464" s="275"/>
      <c r="AC464" s="275"/>
      <c r="AD464" s="275"/>
      <c r="AE464" s="275"/>
      <c r="AF464" s="275"/>
      <c r="AG464" s="275"/>
      <c r="AH464" s="438"/>
      <c r="AI464" s="439">
        <f t="shared" ref="AI464:AI515" si="56">SUM(AJ464:AP464)</f>
        <v>0</v>
      </c>
      <c r="AJ464" s="263"/>
      <c r="AK464" s="263"/>
      <c r="AL464" s="263"/>
      <c r="AM464" s="263"/>
      <c r="AN464" s="263"/>
      <c r="AO464" s="263"/>
      <c r="AP464" s="263"/>
      <c r="AQ464" s="436"/>
      <c r="AR464" s="275"/>
      <c r="AS464" s="275"/>
      <c r="AT464" s="275"/>
      <c r="AU464" s="275"/>
      <c r="AV464" s="275"/>
      <c r="AW464" s="275"/>
      <c r="AX464" s="275"/>
      <c r="AY464" s="437"/>
      <c r="AZ464" s="440">
        <f t="shared" ref="AZ464:AZ515" si="57">SUM(BA464:BG464)</f>
        <v>0</v>
      </c>
      <c r="BA464" s="275"/>
      <c r="BB464" s="275"/>
      <c r="BC464" s="275"/>
      <c r="BD464" s="275"/>
      <c r="BE464" s="275"/>
      <c r="BF464" s="275"/>
      <c r="BG464" s="275"/>
      <c r="BH464" s="436"/>
      <c r="BI464" s="275"/>
      <c r="BJ464" s="275"/>
      <c r="BK464" s="291"/>
      <c r="BL464" s="291"/>
      <c r="BM464" s="275"/>
      <c r="BN464" s="275"/>
      <c r="BO464" s="438"/>
      <c r="BP464" s="436"/>
      <c r="BQ464" s="275"/>
      <c r="BR464" s="275"/>
      <c r="BS464" s="275"/>
      <c r="BT464" s="275"/>
      <c r="BU464" s="275"/>
      <c r="BV464" s="275"/>
      <c r="BW464" s="275"/>
      <c r="BX464" s="438"/>
      <c r="BY464" s="436"/>
      <c r="BZ464" s="275"/>
      <c r="CA464" s="275"/>
      <c r="CB464" s="275"/>
      <c r="CC464" s="275"/>
      <c r="CD464" s="275"/>
      <c r="CE464" s="275"/>
      <c r="CF464" s="275"/>
      <c r="CG464" s="438"/>
      <c r="CH464" s="436"/>
      <c r="CI464" s="275"/>
      <c r="CJ464" s="275"/>
      <c r="CK464" s="275"/>
      <c r="CL464" s="275"/>
      <c r="CM464" s="275"/>
      <c r="CN464" s="275"/>
      <c r="CO464" s="442"/>
      <c r="CP464" s="443"/>
      <c r="CQ464" s="429">
        <f t="shared" ref="CQ464:CQ515" si="58">SUM(P464:AI464,AQ464:AZ464,BH464:CP464)</f>
        <v>0</v>
      </c>
      <c r="CR464" s="430"/>
    </row>
    <row r="465" spans="1:96" ht="25.5" customHeight="1" x14ac:dyDescent="0.2">
      <c r="A465" s="410">
        <f t="shared" ref="A465:A515" si="59">$A464+1</f>
        <v>450</v>
      </c>
      <c r="B465" s="280"/>
      <c r="C465" s="453"/>
      <c r="D465" s="411"/>
      <c r="E465" s="254"/>
      <c r="F465" s="277"/>
      <c r="G465" s="450"/>
      <c r="H465" s="451"/>
      <c r="I465" s="433" t="str">
        <f t="shared" si="53"/>
        <v/>
      </c>
      <c r="J465" s="434">
        <f t="shared" si="54"/>
        <v>0</v>
      </c>
      <c r="K465" s="452"/>
      <c r="L465" s="276"/>
      <c r="M465" s="435"/>
      <c r="N465" s="417" t="str">
        <f t="shared" si="55"/>
        <v/>
      </c>
      <c r="O465" s="418" t="str">
        <f>IF('Data Set up'!$G$40="JUNE",IF(OR($N465=7,$N465=8,$N465=9),1,IF(OR($N465=10,$N465=11,$N465=12),2,IF(OR($N465=1,$N465=2,$N465=3),3,IF(OR($N465=4,$N465=5,$N465=6),4,"")))),IF(OR($N465=9,$N465=10,$N465=11),1,IF(OR($N465=12,$N465=1,$N465=2),2,IF(OR($N465=3,$N465=4,$N465=5),3,IF(OR($N465=6,$N465=7,$N465=8),4,"")))))</f>
        <v/>
      </c>
      <c r="P465" s="445"/>
      <c r="Q465" s="291"/>
      <c r="R465" s="291"/>
      <c r="S465" s="275"/>
      <c r="T465" s="275"/>
      <c r="U465" s="275"/>
      <c r="V465" s="275"/>
      <c r="W465" s="275"/>
      <c r="X465" s="275"/>
      <c r="Y465" s="275"/>
      <c r="Z465" s="275"/>
      <c r="AA465" s="275"/>
      <c r="AB465" s="275"/>
      <c r="AC465" s="275"/>
      <c r="AD465" s="275"/>
      <c r="AE465" s="275"/>
      <c r="AF465" s="275"/>
      <c r="AG465" s="275"/>
      <c r="AH465" s="438"/>
      <c r="AI465" s="439">
        <f t="shared" si="56"/>
        <v>0</v>
      </c>
      <c r="AJ465" s="263"/>
      <c r="AK465" s="263"/>
      <c r="AL465" s="263"/>
      <c r="AM465" s="263"/>
      <c r="AN465" s="263"/>
      <c r="AO465" s="263"/>
      <c r="AP465" s="263"/>
      <c r="AQ465" s="436"/>
      <c r="AR465" s="275"/>
      <c r="AS465" s="275"/>
      <c r="AT465" s="275"/>
      <c r="AU465" s="275"/>
      <c r="AV465" s="275"/>
      <c r="AW465" s="275"/>
      <c r="AX465" s="275"/>
      <c r="AY465" s="437"/>
      <c r="AZ465" s="440">
        <f t="shared" si="57"/>
        <v>0</v>
      </c>
      <c r="BA465" s="275"/>
      <c r="BB465" s="275"/>
      <c r="BC465" s="275"/>
      <c r="BD465" s="275"/>
      <c r="BE465" s="275"/>
      <c r="BF465" s="275"/>
      <c r="BG465" s="275"/>
      <c r="BH465" s="436"/>
      <c r="BI465" s="275"/>
      <c r="BJ465" s="275"/>
      <c r="BK465" s="291"/>
      <c r="BL465" s="291"/>
      <c r="BM465" s="275"/>
      <c r="BN465" s="275"/>
      <c r="BO465" s="438"/>
      <c r="BP465" s="436"/>
      <c r="BQ465" s="275"/>
      <c r="BR465" s="275"/>
      <c r="BS465" s="275"/>
      <c r="BT465" s="275"/>
      <c r="BU465" s="275"/>
      <c r="BV465" s="275"/>
      <c r="BW465" s="275"/>
      <c r="BX465" s="438"/>
      <c r="BY465" s="436"/>
      <c r="BZ465" s="275"/>
      <c r="CA465" s="275"/>
      <c r="CB465" s="275"/>
      <c r="CC465" s="275"/>
      <c r="CD465" s="275"/>
      <c r="CE465" s="275"/>
      <c r="CF465" s="275"/>
      <c r="CG465" s="438"/>
      <c r="CH465" s="436"/>
      <c r="CI465" s="275"/>
      <c r="CJ465" s="275"/>
      <c r="CK465" s="275"/>
      <c r="CL465" s="275"/>
      <c r="CM465" s="275"/>
      <c r="CN465" s="275"/>
      <c r="CO465" s="442"/>
      <c r="CP465" s="443"/>
      <c r="CQ465" s="429">
        <f t="shared" si="58"/>
        <v>0</v>
      </c>
      <c r="CR465" s="430"/>
    </row>
    <row r="466" spans="1:96" ht="25.5" customHeight="1" x14ac:dyDescent="0.2">
      <c r="A466" s="410">
        <f t="shared" si="59"/>
        <v>451</v>
      </c>
      <c r="B466" s="280"/>
      <c r="C466" s="453"/>
      <c r="D466" s="411"/>
      <c r="E466" s="254"/>
      <c r="F466" s="277"/>
      <c r="G466" s="450"/>
      <c r="H466" s="451"/>
      <c r="I466" s="433" t="str">
        <f t="shared" si="53"/>
        <v/>
      </c>
      <c r="J466" s="434">
        <f t="shared" si="54"/>
        <v>0</v>
      </c>
      <c r="K466" s="452"/>
      <c r="L466" s="276"/>
      <c r="M466" s="435"/>
      <c r="N466" s="417" t="str">
        <f t="shared" si="55"/>
        <v/>
      </c>
      <c r="O466" s="418" t="str">
        <f>IF('Data Set up'!$G$40="JUNE",IF(OR($N466=7,$N466=8,$N466=9),1,IF(OR($N466=10,$N466=11,$N466=12),2,IF(OR($N466=1,$N466=2,$N466=3),3,IF(OR($N466=4,$N466=5,$N466=6),4,"")))),IF(OR($N466=9,$N466=10,$N466=11),1,IF(OR($N466=12,$N466=1,$N466=2),2,IF(OR($N466=3,$N466=4,$N466=5),3,IF(OR($N466=6,$N466=7,$N466=8),4,"")))))</f>
        <v/>
      </c>
      <c r="P466" s="445"/>
      <c r="Q466" s="291"/>
      <c r="R466" s="291"/>
      <c r="S466" s="275"/>
      <c r="T466" s="275"/>
      <c r="U466" s="275"/>
      <c r="V466" s="275"/>
      <c r="W466" s="275"/>
      <c r="X466" s="275"/>
      <c r="Y466" s="275"/>
      <c r="Z466" s="275"/>
      <c r="AA466" s="275"/>
      <c r="AB466" s="275"/>
      <c r="AC466" s="275"/>
      <c r="AD466" s="275"/>
      <c r="AE466" s="275"/>
      <c r="AF466" s="275"/>
      <c r="AG466" s="275"/>
      <c r="AH466" s="438"/>
      <c r="AI466" s="439">
        <f t="shared" si="56"/>
        <v>0</v>
      </c>
      <c r="AJ466" s="263"/>
      <c r="AK466" s="263"/>
      <c r="AL466" s="263"/>
      <c r="AM466" s="263"/>
      <c r="AN466" s="263"/>
      <c r="AO466" s="263"/>
      <c r="AP466" s="263"/>
      <c r="AQ466" s="436"/>
      <c r="AR466" s="275"/>
      <c r="AS466" s="275"/>
      <c r="AT466" s="275"/>
      <c r="AU466" s="275"/>
      <c r="AV466" s="275"/>
      <c r="AW466" s="275"/>
      <c r="AX466" s="275"/>
      <c r="AY466" s="437"/>
      <c r="AZ466" s="440">
        <f t="shared" si="57"/>
        <v>0</v>
      </c>
      <c r="BA466" s="275"/>
      <c r="BB466" s="275"/>
      <c r="BC466" s="275"/>
      <c r="BD466" s="275"/>
      <c r="BE466" s="275"/>
      <c r="BF466" s="275"/>
      <c r="BG466" s="275"/>
      <c r="BH466" s="436"/>
      <c r="BI466" s="275"/>
      <c r="BJ466" s="275"/>
      <c r="BK466" s="291"/>
      <c r="BL466" s="291"/>
      <c r="BM466" s="275"/>
      <c r="BN466" s="275"/>
      <c r="BO466" s="438"/>
      <c r="BP466" s="436"/>
      <c r="BQ466" s="275"/>
      <c r="BR466" s="275"/>
      <c r="BS466" s="275"/>
      <c r="BT466" s="275"/>
      <c r="BU466" s="275"/>
      <c r="BV466" s="275"/>
      <c r="BW466" s="275"/>
      <c r="BX466" s="438"/>
      <c r="BY466" s="436"/>
      <c r="BZ466" s="275"/>
      <c r="CA466" s="275"/>
      <c r="CB466" s="275"/>
      <c r="CC466" s="275"/>
      <c r="CD466" s="275"/>
      <c r="CE466" s="275"/>
      <c r="CF466" s="275"/>
      <c r="CG466" s="438"/>
      <c r="CH466" s="436"/>
      <c r="CI466" s="275"/>
      <c r="CJ466" s="275"/>
      <c r="CK466" s="275"/>
      <c r="CL466" s="275"/>
      <c r="CM466" s="275"/>
      <c r="CN466" s="275"/>
      <c r="CO466" s="442"/>
      <c r="CP466" s="443"/>
      <c r="CQ466" s="429">
        <f t="shared" si="58"/>
        <v>0</v>
      </c>
      <c r="CR466" s="430"/>
    </row>
    <row r="467" spans="1:96" ht="25.5" customHeight="1" x14ac:dyDescent="0.2">
      <c r="A467" s="410">
        <f t="shared" si="59"/>
        <v>452</v>
      </c>
      <c r="B467" s="280"/>
      <c r="C467" s="453"/>
      <c r="D467" s="411"/>
      <c r="E467" s="254"/>
      <c r="F467" s="277"/>
      <c r="G467" s="450"/>
      <c r="H467" s="451"/>
      <c r="I467" s="433" t="str">
        <f t="shared" si="53"/>
        <v/>
      </c>
      <c r="J467" s="434">
        <f t="shared" si="54"/>
        <v>0</v>
      </c>
      <c r="K467" s="452"/>
      <c r="L467" s="276"/>
      <c r="M467" s="435"/>
      <c r="N467" s="417" t="str">
        <f t="shared" si="55"/>
        <v/>
      </c>
      <c r="O467" s="418" t="str">
        <f>IF('Data Set up'!$G$40="JUNE",IF(OR($N467=7,$N467=8,$N467=9),1,IF(OR($N467=10,$N467=11,$N467=12),2,IF(OR($N467=1,$N467=2,$N467=3),3,IF(OR($N467=4,$N467=5,$N467=6),4,"")))),IF(OR($N467=9,$N467=10,$N467=11),1,IF(OR($N467=12,$N467=1,$N467=2),2,IF(OR($N467=3,$N467=4,$N467=5),3,IF(OR($N467=6,$N467=7,$N467=8),4,"")))))</f>
        <v/>
      </c>
      <c r="P467" s="445"/>
      <c r="Q467" s="291"/>
      <c r="R467" s="291"/>
      <c r="S467" s="275"/>
      <c r="T467" s="275"/>
      <c r="U467" s="275"/>
      <c r="V467" s="275"/>
      <c r="W467" s="275"/>
      <c r="X467" s="275"/>
      <c r="Y467" s="275"/>
      <c r="Z467" s="275"/>
      <c r="AA467" s="275"/>
      <c r="AB467" s="275"/>
      <c r="AC467" s="275"/>
      <c r="AD467" s="275"/>
      <c r="AE467" s="275"/>
      <c r="AF467" s="275"/>
      <c r="AG467" s="275"/>
      <c r="AH467" s="438"/>
      <c r="AI467" s="439">
        <f t="shared" si="56"/>
        <v>0</v>
      </c>
      <c r="AJ467" s="263"/>
      <c r="AK467" s="263"/>
      <c r="AL467" s="263"/>
      <c r="AM467" s="263"/>
      <c r="AN467" s="263"/>
      <c r="AO467" s="263"/>
      <c r="AP467" s="263"/>
      <c r="AQ467" s="436"/>
      <c r="AR467" s="275"/>
      <c r="AS467" s="275"/>
      <c r="AT467" s="275"/>
      <c r="AU467" s="275"/>
      <c r="AV467" s="275"/>
      <c r="AW467" s="275"/>
      <c r="AX467" s="275"/>
      <c r="AY467" s="437"/>
      <c r="AZ467" s="440">
        <f t="shared" si="57"/>
        <v>0</v>
      </c>
      <c r="BA467" s="275"/>
      <c r="BB467" s="275"/>
      <c r="BC467" s="275"/>
      <c r="BD467" s="275"/>
      <c r="BE467" s="275"/>
      <c r="BF467" s="275"/>
      <c r="BG467" s="275"/>
      <c r="BH467" s="436"/>
      <c r="BI467" s="275"/>
      <c r="BJ467" s="275"/>
      <c r="BK467" s="291"/>
      <c r="BL467" s="291"/>
      <c r="BM467" s="275"/>
      <c r="BN467" s="275"/>
      <c r="BO467" s="438"/>
      <c r="BP467" s="436"/>
      <c r="BQ467" s="275"/>
      <c r="BR467" s="275"/>
      <c r="BS467" s="275"/>
      <c r="BT467" s="275"/>
      <c r="BU467" s="275"/>
      <c r="BV467" s="275"/>
      <c r="BW467" s="275"/>
      <c r="BX467" s="438"/>
      <c r="BY467" s="436"/>
      <c r="BZ467" s="275"/>
      <c r="CA467" s="275"/>
      <c r="CB467" s="275"/>
      <c r="CC467" s="275"/>
      <c r="CD467" s="275"/>
      <c r="CE467" s="275"/>
      <c r="CF467" s="275"/>
      <c r="CG467" s="438"/>
      <c r="CH467" s="436"/>
      <c r="CI467" s="275"/>
      <c r="CJ467" s="275"/>
      <c r="CK467" s="275"/>
      <c r="CL467" s="275"/>
      <c r="CM467" s="275"/>
      <c r="CN467" s="275"/>
      <c r="CO467" s="442"/>
      <c r="CP467" s="443"/>
      <c r="CQ467" s="429">
        <f t="shared" si="58"/>
        <v>0</v>
      </c>
      <c r="CR467" s="430"/>
    </row>
    <row r="468" spans="1:96" ht="25.5" customHeight="1" x14ac:dyDescent="0.2">
      <c r="A468" s="410">
        <f t="shared" si="59"/>
        <v>453</v>
      </c>
      <c r="B468" s="280"/>
      <c r="C468" s="453"/>
      <c r="D468" s="411"/>
      <c r="E468" s="254"/>
      <c r="F468" s="277"/>
      <c r="G468" s="450"/>
      <c r="H468" s="451"/>
      <c r="I468" s="433" t="str">
        <f t="shared" si="53"/>
        <v/>
      </c>
      <c r="J468" s="434">
        <f t="shared" si="54"/>
        <v>0</v>
      </c>
      <c r="K468" s="452"/>
      <c r="L468" s="276"/>
      <c r="M468" s="435"/>
      <c r="N468" s="417" t="str">
        <f t="shared" si="55"/>
        <v/>
      </c>
      <c r="O468" s="418" t="str">
        <f>IF('Data Set up'!$G$40="JUNE",IF(OR($N468=7,$N468=8,$N468=9),1,IF(OR($N468=10,$N468=11,$N468=12),2,IF(OR($N468=1,$N468=2,$N468=3),3,IF(OR($N468=4,$N468=5,$N468=6),4,"")))),IF(OR($N468=9,$N468=10,$N468=11),1,IF(OR($N468=12,$N468=1,$N468=2),2,IF(OR($N468=3,$N468=4,$N468=5),3,IF(OR($N468=6,$N468=7,$N468=8),4,"")))))</f>
        <v/>
      </c>
      <c r="P468" s="445"/>
      <c r="Q468" s="291"/>
      <c r="R468" s="291"/>
      <c r="S468" s="275"/>
      <c r="T468" s="275"/>
      <c r="U468" s="275"/>
      <c r="V468" s="275"/>
      <c r="W468" s="275"/>
      <c r="X468" s="275"/>
      <c r="Y468" s="275"/>
      <c r="Z468" s="275"/>
      <c r="AA468" s="275"/>
      <c r="AB468" s="275"/>
      <c r="AC468" s="275"/>
      <c r="AD468" s="275"/>
      <c r="AE468" s="275"/>
      <c r="AF468" s="275"/>
      <c r="AG468" s="275"/>
      <c r="AH468" s="438"/>
      <c r="AI468" s="439">
        <f t="shared" si="56"/>
        <v>0</v>
      </c>
      <c r="AJ468" s="263"/>
      <c r="AK468" s="263"/>
      <c r="AL468" s="263"/>
      <c r="AM468" s="263"/>
      <c r="AN468" s="263"/>
      <c r="AO468" s="263"/>
      <c r="AP468" s="263"/>
      <c r="AQ468" s="436"/>
      <c r="AR468" s="275"/>
      <c r="AS468" s="275"/>
      <c r="AT468" s="275"/>
      <c r="AU468" s="275"/>
      <c r="AV468" s="275"/>
      <c r="AW468" s="275"/>
      <c r="AX468" s="275"/>
      <c r="AY468" s="437"/>
      <c r="AZ468" s="440">
        <f t="shared" si="57"/>
        <v>0</v>
      </c>
      <c r="BA468" s="275"/>
      <c r="BB468" s="275"/>
      <c r="BC468" s="275"/>
      <c r="BD468" s="275"/>
      <c r="BE468" s="275"/>
      <c r="BF468" s="275"/>
      <c r="BG468" s="275"/>
      <c r="BH468" s="436"/>
      <c r="BI468" s="275"/>
      <c r="BJ468" s="275"/>
      <c r="BK468" s="291"/>
      <c r="BL468" s="291"/>
      <c r="BM468" s="275"/>
      <c r="BN468" s="275"/>
      <c r="BO468" s="438"/>
      <c r="BP468" s="436"/>
      <c r="BQ468" s="275"/>
      <c r="BR468" s="275"/>
      <c r="BS468" s="275"/>
      <c r="BT468" s="275"/>
      <c r="BU468" s="275"/>
      <c r="BV468" s="275"/>
      <c r="BW468" s="275"/>
      <c r="BX468" s="438"/>
      <c r="BY468" s="436"/>
      <c r="BZ468" s="275"/>
      <c r="CA468" s="275"/>
      <c r="CB468" s="275"/>
      <c r="CC468" s="275"/>
      <c r="CD468" s="275"/>
      <c r="CE468" s="275"/>
      <c r="CF468" s="275"/>
      <c r="CG468" s="438"/>
      <c r="CH468" s="436"/>
      <c r="CI468" s="275"/>
      <c r="CJ468" s="275"/>
      <c r="CK468" s="275"/>
      <c r="CL468" s="275"/>
      <c r="CM468" s="275"/>
      <c r="CN468" s="275"/>
      <c r="CO468" s="442"/>
      <c r="CP468" s="443"/>
      <c r="CQ468" s="429">
        <f t="shared" si="58"/>
        <v>0</v>
      </c>
      <c r="CR468" s="430"/>
    </row>
    <row r="469" spans="1:96" ht="25.5" customHeight="1" x14ac:dyDescent="0.2">
      <c r="A469" s="410">
        <f t="shared" si="59"/>
        <v>454</v>
      </c>
      <c r="B469" s="280"/>
      <c r="C469" s="453"/>
      <c r="D469" s="411"/>
      <c r="E469" s="254"/>
      <c r="F469" s="277"/>
      <c r="G469" s="450"/>
      <c r="H469" s="451"/>
      <c r="I469" s="433" t="str">
        <f t="shared" si="53"/>
        <v/>
      </c>
      <c r="J469" s="434">
        <f t="shared" si="54"/>
        <v>0</v>
      </c>
      <c r="K469" s="452"/>
      <c r="L469" s="276"/>
      <c r="M469" s="435"/>
      <c r="N469" s="417" t="str">
        <f t="shared" si="55"/>
        <v/>
      </c>
      <c r="O469" s="418" t="str">
        <f>IF('Data Set up'!$G$40="JUNE",IF(OR($N469=7,$N469=8,$N469=9),1,IF(OR($N469=10,$N469=11,$N469=12),2,IF(OR($N469=1,$N469=2,$N469=3),3,IF(OR($N469=4,$N469=5,$N469=6),4,"")))),IF(OR($N469=9,$N469=10,$N469=11),1,IF(OR($N469=12,$N469=1,$N469=2),2,IF(OR($N469=3,$N469=4,$N469=5),3,IF(OR($N469=6,$N469=7,$N469=8),4,"")))))</f>
        <v/>
      </c>
      <c r="P469" s="445"/>
      <c r="Q469" s="291"/>
      <c r="R469" s="291"/>
      <c r="S469" s="275"/>
      <c r="T469" s="275"/>
      <c r="U469" s="275"/>
      <c r="V469" s="275"/>
      <c r="W469" s="275"/>
      <c r="X469" s="275"/>
      <c r="Y469" s="275"/>
      <c r="Z469" s="275"/>
      <c r="AA469" s="275"/>
      <c r="AB469" s="275"/>
      <c r="AC469" s="275"/>
      <c r="AD469" s="275"/>
      <c r="AE469" s="275"/>
      <c r="AF469" s="275"/>
      <c r="AG469" s="275"/>
      <c r="AH469" s="438"/>
      <c r="AI469" s="439">
        <f t="shared" si="56"/>
        <v>0</v>
      </c>
      <c r="AJ469" s="263"/>
      <c r="AK469" s="263"/>
      <c r="AL469" s="263"/>
      <c r="AM469" s="263"/>
      <c r="AN469" s="263"/>
      <c r="AO469" s="263"/>
      <c r="AP469" s="263"/>
      <c r="AQ469" s="436"/>
      <c r="AR469" s="275"/>
      <c r="AS469" s="275"/>
      <c r="AT469" s="275"/>
      <c r="AU469" s="275"/>
      <c r="AV469" s="275"/>
      <c r="AW469" s="275"/>
      <c r="AX469" s="275"/>
      <c r="AY469" s="437"/>
      <c r="AZ469" s="440">
        <f t="shared" si="57"/>
        <v>0</v>
      </c>
      <c r="BA469" s="275"/>
      <c r="BB469" s="275"/>
      <c r="BC469" s="275"/>
      <c r="BD469" s="275"/>
      <c r="BE469" s="275"/>
      <c r="BF469" s="275"/>
      <c r="BG469" s="275"/>
      <c r="BH469" s="436"/>
      <c r="BI469" s="275"/>
      <c r="BJ469" s="275"/>
      <c r="BK469" s="291"/>
      <c r="BL469" s="291"/>
      <c r="BM469" s="275"/>
      <c r="BN469" s="275"/>
      <c r="BO469" s="438"/>
      <c r="BP469" s="436"/>
      <c r="BQ469" s="275"/>
      <c r="BR469" s="275"/>
      <c r="BS469" s="275"/>
      <c r="BT469" s="275"/>
      <c r="BU469" s="275"/>
      <c r="BV469" s="275"/>
      <c r="BW469" s="275"/>
      <c r="BX469" s="438"/>
      <c r="BY469" s="436"/>
      <c r="BZ469" s="275"/>
      <c r="CA469" s="275"/>
      <c r="CB469" s="275"/>
      <c r="CC469" s="275"/>
      <c r="CD469" s="275"/>
      <c r="CE469" s="275"/>
      <c r="CF469" s="275"/>
      <c r="CG469" s="438"/>
      <c r="CH469" s="436"/>
      <c r="CI469" s="275"/>
      <c r="CJ469" s="275"/>
      <c r="CK469" s="275"/>
      <c r="CL469" s="275"/>
      <c r="CM469" s="275"/>
      <c r="CN469" s="275"/>
      <c r="CO469" s="442"/>
      <c r="CP469" s="443"/>
      <c r="CQ469" s="429">
        <f t="shared" si="58"/>
        <v>0</v>
      </c>
      <c r="CR469" s="430"/>
    </row>
    <row r="470" spans="1:96" ht="25.5" customHeight="1" x14ac:dyDescent="0.2">
      <c r="A470" s="410">
        <f t="shared" si="59"/>
        <v>455</v>
      </c>
      <c r="B470" s="280"/>
      <c r="C470" s="453"/>
      <c r="D470" s="411"/>
      <c r="E470" s="254"/>
      <c r="F470" s="277"/>
      <c r="G470" s="450"/>
      <c r="H470" s="451"/>
      <c r="I470" s="433" t="str">
        <f t="shared" si="53"/>
        <v/>
      </c>
      <c r="J470" s="434">
        <f t="shared" si="54"/>
        <v>0</v>
      </c>
      <c r="K470" s="452"/>
      <c r="L470" s="276"/>
      <c r="M470" s="435"/>
      <c r="N470" s="417" t="str">
        <f t="shared" si="55"/>
        <v/>
      </c>
      <c r="O470" s="418" t="str">
        <f>IF('Data Set up'!$G$40="JUNE",IF(OR($N470=7,$N470=8,$N470=9),1,IF(OR($N470=10,$N470=11,$N470=12),2,IF(OR($N470=1,$N470=2,$N470=3),3,IF(OR($N470=4,$N470=5,$N470=6),4,"")))),IF(OR($N470=9,$N470=10,$N470=11),1,IF(OR($N470=12,$N470=1,$N470=2),2,IF(OR($N470=3,$N470=4,$N470=5),3,IF(OR($N470=6,$N470=7,$N470=8),4,"")))))</f>
        <v/>
      </c>
      <c r="P470" s="445"/>
      <c r="Q470" s="291"/>
      <c r="R470" s="291"/>
      <c r="S470" s="275"/>
      <c r="T470" s="275"/>
      <c r="U470" s="275"/>
      <c r="V470" s="275"/>
      <c r="W470" s="275"/>
      <c r="X470" s="275"/>
      <c r="Y470" s="275"/>
      <c r="Z470" s="275"/>
      <c r="AA470" s="275"/>
      <c r="AB470" s="275"/>
      <c r="AC470" s="275"/>
      <c r="AD470" s="275"/>
      <c r="AE470" s="275"/>
      <c r="AF470" s="275"/>
      <c r="AG470" s="275"/>
      <c r="AH470" s="438"/>
      <c r="AI470" s="439">
        <f t="shared" si="56"/>
        <v>0</v>
      </c>
      <c r="AJ470" s="263"/>
      <c r="AK470" s="263"/>
      <c r="AL470" s="263"/>
      <c r="AM470" s="263"/>
      <c r="AN470" s="263"/>
      <c r="AO470" s="263"/>
      <c r="AP470" s="263"/>
      <c r="AQ470" s="436"/>
      <c r="AR470" s="275"/>
      <c r="AS470" s="275"/>
      <c r="AT470" s="275"/>
      <c r="AU470" s="275"/>
      <c r="AV470" s="275"/>
      <c r="AW470" s="275"/>
      <c r="AX470" s="275"/>
      <c r="AY470" s="437"/>
      <c r="AZ470" s="440">
        <f t="shared" si="57"/>
        <v>0</v>
      </c>
      <c r="BA470" s="275"/>
      <c r="BB470" s="275"/>
      <c r="BC470" s="275"/>
      <c r="BD470" s="275"/>
      <c r="BE470" s="275"/>
      <c r="BF470" s="275"/>
      <c r="BG470" s="275"/>
      <c r="BH470" s="436"/>
      <c r="BI470" s="275"/>
      <c r="BJ470" s="275"/>
      <c r="BK470" s="291"/>
      <c r="BL470" s="291"/>
      <c r="BM470" s="275"/>
      <c r="BN470" s="275"/>
      <c r="BO470" s="438"/>
      <c r="BP470" s="436"/>
      <c r="BQ470" s="275"/>
      <c r="BR470" s="275"/>
      <c r="BS470" s="275"/>
      <c r="BT470" s="275"/>
      <c r="BU470" s="275"/>
      <c r="BV470" s="275"/>
      <c r="BW470" s="275"/>
      <c r="BX470" s="438"/>
      <c r="BY470" s="436"/>
      <c r="BZ470" s="275"/>
      <c r="CA470" s="275"/>
      <c r="CB470" s="275"/>
      <c r="CC470" s="275"/>
      <c r="CD470" s="275"/>
      <c r="CE470" s="275"/>
      <c r="CF470" s="275"/>
      <c r="CG470" s="438"/>
      <c r="CH470" s="436"/>
      <c r="CI470" s="275"/>
      <c r="CJ470" s="275"/>
      <c r="CK470" s="275"/>
      <c r="CL470" s="275"/>
      <c r="CM470" s="275"/>
      <c r="CN470" s="275"/>
      <c r="CO470" s="442"/>
      <c r="CP470" s="443"/>
      <c r="CQ470" s="429">
        <f t="shared" si="58"/>
        <v>0</v>
      </c>
      <c r="CR470" s="430"/>
    </row>
    <row r="471" spans="1:96" ht="25.5" customHeight="1" x14ac:dyDescent="0.2">
      <c r="A471" s="410">
        <f t="shared" si="59"/>
        <v>456</v>
      </c>
      <c r="B471" s="280"/>
      <c r="C471" s="453"/>
      <c r="D471" s="411"/>
      <c r="E471" s="254"/>
      <c r="F471" s="277"/>
      <c r="G471" s="450"/>
      <c r="H471" s="451"/>
      <c r="I471" s="433" t="str">
        <f t="shared" si="53"/>
        <v/>
      </c>
      <c r="J471" s="434">
        <f t="shared" si="54"/>
        <v>0</v>
      </c>
      <c r="K471" s="452"/>
      <c r="L471" s="276"/>
      <c r="M471" s="435"/>
      <c r="N471" s="417" t="str">
        <f t="shared" si="55"/>
        <v/>
      </c>
      <c r="O471" s="418" t="str">
        <f>IF('Data Set up'!$G$40="JUNE",IF(OR($N471=7,$N471=8,$N471=9),1,IF(OR($N471=10,$N471=11,$N471=12),2,IF(OR($N471=1,$N471=2,$N471=3),3,IF(OR($N471=4,$N471=5,$N471=6),4,"")))),IF(OR($N471=9,$N471=10,$N471=11),1,IF(OR($N471=12,$N471=1,$N471=2),2,IF(OR($N471=3,$N471=4,$N471=5),3,IF(OR($N471=6,$N471=7,$N471=8),4,"")))))</f>
        <v/>
      </c>
      <c r="P471" s="445"/>
      <c r="Q471" s="291"/>
      <c r="R471" s="291"/>
      <c r="S471" s="275"/>
      <c r="T471" s="275"/>
      <c r="U471" s="275"/>
      <c r="V471" s="275"/>
      <c r="W471" s="275"/>
      <c r="X471" s="275"/>
      <c r="Y471" s="275"/>
      <c r="Z471" s="275"/>
      <c r="AA471" s="275"/>
      <c r="AB471" s="275"/>
      <c r="AC471" s="275"/>
      <c r="AD471" s="275"/>
      <c r="AE471" s="275"/>
      <c r="AF471" s="275"/>
      <c r="AG471" s="275"/>
      <c r="AH471" s="438"/>
      <c r="AI471" s="439">
        <f t="shared" si="56"/>
        <v>0</v>
      </c>
      <c r="AJ471" s="263"/>
      <c r="AK471" s="263"/>
      <c r="AL471" s="263"/>
      <c r="AM471" s="263"/>
      <c r="AN471" s="263"/>
      <c r="AO471" s="263"/>
      <c r="AP471" s="263"/>
      <c r="AQ471" s="436"/>
      <c r="AR471" s="275"/>
      <c r="AS471" s="275"/>
      <c r="AT471" s="275"/>
      <c r="AU471" s="275"/>
      <c r="AV471" s="275"/>
      <c r="AW471" s="275"/>
      <c r="AX471" s="275"/>
      <c r="AY471" s="437"/>
      <c r="AZ471" s="440">
        <f t="shared" si="57"/>
        <v>0</v>
      </c>
      <c r="BA471" s="275"/>
      <c r="BB471" s="275"/>
      <c r="BC471" s="275"/>
      <c r="BD471" s="275"/>
      <c r="BE471" s="275"/>
      <c r="BF471" s="275"/>
      <c r="BG471" s="275"/>
      <c r="BH471" s="436"/>
      <c r="BI471" s="275"/>
      <c r="BJ471" s="275"/>
      <c r="BK471" s="291"/>
      <c r="BL471" s="291"/>
      <c r="BM471" s="275"/>
      <c r="BN471" s="275"/>
      <c r="BO471" s="438"/>
      <c r="BP471" s="436"/>
      <c r="BQ471" s="275"/>
      <c r="BR471" s="275"/>
      <c r="BS471" s="275"/>
      <c r="BT471" s="275"/>
      <c r="BU471" s="275"/>
      <c r="BV471" s="275"/>
      <c r="BW471" s="275"/>
      <c r="BX471" s="438"/>
      <c r="BY471" s="436"/>
      <c r="BZ471" s="275"/>
      <c r="CA471" s="275"/>
      <c r="CB471" s="275"/>
      <c r="CC471" s="275"/>
      <c r="CD471" s="275"/>
      <c r="CE471" s="275"/>
      <c r="CF471" s="275"/>
      <c r="CG471" s="438"/>
      <c r="CH471" s="436"/>
      <c r="CI471" s="275"/>
      <c r="CJ471" s="275"/>
      <c r="CK471" s="275"/>
      <c r="CL471" s="275"/>
      <c r="CM471" s="275"/>
      <c r="CN471" s="275"/>
      <c r="CO471" s="442"/>
      <c r="CP471" s="443"/>
      <c r="CQ471" s="429">
        <f t="shared" si="58"/>
        <v>0</v>
      </c>
      <c r="CR471" s="430"/>
    </row>
    <row r="472" spans="1:96" ht="25.5" customHeight="1" x14ac:dyDescent="0.2">
      <c r="A472" s="410">
        <f t="shared" si="59"/>
        <v>457</v>
      </c>
      <c r="B472" s="280"/>
      <c r="C472" s="453"/>
      <c r="D472" s="411"/>
      <c r="E472" s="254"/>
      <c r="F472" s="277"/>
      <c r="G472" s="450"/>
      <c r="H472" s="451"/>
      <c r="I472" s="433" t="str">
        <f t="shared" si="53"/>
        <v/>
      </c>
      <c r="J472" s="434">
        <f t="shared" si="54"/>
        <v>0</v>
      </c>
      <c r="K472" s="452"/>
      <c r="L472" s="276"/>
      <c r="M472" s="435"/>
      <c r="N472" s="417" t="str">
        <f t="shared" si="55"/>
        <v/>
      </c>
      <c r="O472" s="418" t="str">
        <f>IF('Data Set up'!$G$40="JUNE",IF(OR($N472=7,$N472=8,$N472=9),1,IF(OR($N472=10,$N472=11,$N472=12),2,IF(OR($N472=1,$N472=2,$N472=3),3,IF(OR($N472=4,$N472=5,$N472=6),4,"")))),IF(OR($N472=9,$N472=10,$N472=11),1,IF(OR($N472=12,$N472=1,$N472=2),2,IF(OR($N472=3,$N472=4,$N472=5),3,IF(OR($N472=6,$N472=7,$N472=8),4,"")))))</f>
        <v/>
      </c>
      <c r="P472" s="445"/>
      <c r="Q472" s="291"/>
      <c r="R472" s="291"/>
      <c r="S472" s="275"/>
      <c r="T472" s="275"/>
      <c r="U472" s="275"/>
      <c r="V472" s="275"/>
      <c r="W472" s="275"/>
      <c r="X472" s="275"/>
      <c r="Y472" s="275"/>
      <c r="Z472" s="275"/>
      <c r="AA472" s="275"/>
      <c r="AB472" s="275"/>
      <c r="AC472" s="275"/>
      <c r="AD472" s="275"/>
      <c r="AE472" s="275"/>
      <c r="AF472" s="275"/>
      <c r="AG472" s="275"/>
      <c r="AH472" s="438"/>
      <c r="AI472" s="439">
        <f t="shared" si="56"/>
        <v>0</v>
      </c>
      <c r="AJ472" s="263"/>
      <c r="AK472" s="263"/>
      <c r="AL472" s="263"/>
      <c r="AM472" s="263"/>
      <c r="AN472" s="263"/>
      <c r="AO472" s="263"/>
      <c r="AP472" s="263"/>
      <c r="AQ472" s="436"/>
      <c r="AR472" s="275"/>
      <c r="AS472" s="275"/>
      <c r="AT472" s="275"/>
      <c r="AU472" s="275"/>
      <c r="AV472" s="275"/>
      <c r="AW472" s="275"/>
      <c r="AX472" s="275"/>
      <c r="AY472" s="437"/>
      <c r="AZ472" s="440">
        <f t="shared" si="57"/>
        <v>0</v>
      </c>
      <c r="BA472" s="275"/>
      <c r="BB472" s="275"/>
      <c r="BC472" s="275"/>
      <c r="BD472" s="275"/>
      <c r="BE472" s="275"/>
      <c r="BF472" s="275"/>
      <c r="BG472" s="275"/>
      <c r="BH472" s="436"/>
      <c r="BI472" s="275"/>
      <c r="BJ472" s="275"/>
      <c r="BK472" s="291"/>
      <c r="BL472" s="291"/>
      <c r="BM472" s="275"/>
      <c r="BN472" s="275"/>
      <c r="BO472" s="438"/>
      <c r="BP472" s="436"/>
      <c r="BQ472" s="275"/>
      <c r="BR472" s="275"/>
      <c r="BS472" s="275"/>
      <c r="BT472" s="275"/>
      <c r="BU472" s="275"/>
      <c r="BV472" s="275"/>
      <c r="BW472" s="275"/>
      <c r="BX472" s="438"/>
      <c r="BY472" s="436"/>
      <c r="BZ472" s="275"/>
      <c r="CA472" s="275"/>
      <c r="CB472" s="275"/>
      <c r="CC472" s="275"/>
      <c r="CD472" s="275"/>
      <c r="CE472" s="275"/>
      <c r="CF472" s="275"/>
      <c r="CG472" s="438"/>
      <c r="CH472" s="436"/>
      <c r="CI472" s="275"/>
      <c r="CJ472" s="275"/>
      <c r="CK472" s="275"/>
      <c r="CL472" s="275"/>
      <c r="CM472" s="275"/>
      <c r="CN472" s="275"/>
      <c r="CO472" s="442"/>
      <c r="CP472" s="443"/>
      <c r="CQ472" s="429">
        <f t="shared" si="58"/>
        <v>0</v>
      </c>
      <c r="CR472" s="430"/>
    </row>
    <row r="473" spans="1:96" ht="25.5" customHeight="1" x14ac:dyDescent="0.2">
      <c r="A473" s="410">
        <f t="shared" si="59"/>
        <v>458</v>
      </c>
      <c r="B473" s="280"/>
      <c r="C473" s="453"/>
      <c r="D473" s="411"/>
      <c r="E473" s="254"/>
      <c r="F473" s="277"/>
      <c r="G473" s="450"/>
      <c r="H473" s="451"/>
      <c r="I473" s="433" t="str">
        <f t="shared" si="53"/>
        <v/>
      </c>
      <c r="J473" s="434">
        <f t="shared" si="54"/>
        <v>0</v>
      </c>
      <c r="K473" s="452"/>
      <c r="L473" s="276"/>
      <c r="M473" s="435"/>
      <c r="N473" s="417" t="str">
        <f t="shared" si="55"/>
        <v/>
      </c>
      <c r="O473" s="418" t="str">
        <f>IF('Data Set up'!$G$40="JUNE",IF(OR($N473=7,$N473=8,$N473=9),1,IF(OR($N473=10,$N473=11,$N473=12),2,IF(OR($N473=1,$N473=2,$N473=3),3,IF(OR($N473=4,$N473=5,$N473=6),4,"")))),IF(OR($N473=9,$N473=10,$N473=11),1,IF(OR($N473=12,$N473=1,$N473=2),2,IF(OR($N473=3,$N473=4,$N473=5),3,IF(OR($N473=6,$N473=7,$N473=8),4,"")))))</f>
        <v/>
      </c>
      <c r="P473" s="445"/>
      <c r="Q473" s="291"/>
      <c r="R473" s="291"/>
      <c r="S473" s="275"/>
      <c r="T473" s="275"/>
      <c r="U473" s="275"/>
      <c r="V473" s="275"/>
      <c r="W473" s="275"/>
      <c r="X473" s="275"/>
      <c r="Y473" s="275"/>
      <c r="Z473" s="275"/>
      <c r="AA473" s="275"/>
      <c r="AB473" s="275"/>
      <c r="AC473" s="275"/>
      <c r="AD473" s="275"/>
      <c r="AE473" s="275"/>
      <c r="AF473" s="275"/>
      <c r="AG473" s="275"/>
      <c r="AH473" s="438"/>
      <c r="AI473" s="439">
        <f t="shared" si="56"/>
        <v>0</v>
      </c>
      <c r="AJ473" s="263"/>
      <c r="AK473" s="263"/>
      <c r="AL473" s="263"/>
      <c r="AM473" s="263"/>
      <c r="AN473" s="263"/>
      <c r="AO473" s="263"/>
      <c r="AP473" s="263"/>
      <c r="AQ473" s="436"/>
      <c r="AR473" s="275"/>
      <c r="AS473" s="275"/>
      <c r="AT473" s="275"/>
      <c r="AU473" s="275"/>
      <c r="AV473" s="275"/>
      <c r="AW473" s="275"/>
      <c r="AX473" s="275"/>
      <c r="AY473" s="437"/>
      <c r="AZ473" s="440">
        <f t="shared" si="57"/>
        <v>0</v>
      </c>
      <c r="BA473" s="275"/>
      <c r="BB473" s="275"/>
      <c r="BC473" s="275"/>
      <c r="BD473" s="275"/>
      <c r="BE473" s="275"/>
      <c r="BF473" s="275"/>
      <c r="BG473" s="275"/>
      <c r="BH473" s="436"/>
      <c r="BI473" s="275"/>
      <c r="BJ473" s="275"/>
      <c r="BK473" s="291"/>
      <c r="BL473" s="291"/>
      <c r="BM473" s="275"/>
      <c r="BN473" s="275"/>
      <c r="BO473" s="438"/>
      <c r="BP473" s="436"/>
      <c r="BQ473" s="275"/>
      <c r="BR473" s="275"/>
      <c r="BS473" s="275"/>
      <c r="BT473" s="275"/>
      <c r="BU473" s="275"/>
      <c r="BV473" s="275"/>
      <c r="BW473" s="275"/>
      <c r="BX473" s="438"/>
      <c r="BY473" s="436"/>
      <c r="BZ473" s="275"/>
      <c r="CA473" s="275"/>
      <c r="CB473" s="275"/>
      <c r="CC473" s="275"/>
      <c r="CD473" s="275"/>
      <c r="CE473" s="275"/>
      <c r="CF473" s="275"/>
      <c r="CG473" s="438"/>
      <c r="CH473" s="436"/>
      <c r="CI473" s="275"/>
      <c r="CJ473" s="275"/>
      <c r="CK473" s="275"/>
      <c r="CL473" s="275"/>
      <c r="CM473" s="275"/>
      <c r="CN473" s="275"/>
      <c r="CO473" s="442"/>
      <c r="CP473" s="443"/>
      <c r="CQ473" s="429">
        <f t="shared" si="58"/>
        <v>0</v>
      </c>
      <c r="CR473" s="430"/>
    </row>
    <row r="474" spans="1:96" ht="25.5" customHeight="1" x14ac:dyDescent="0.2">
      <c r="A474" s="410">
        <f t="shared" si="59"/>
        <v>459</v>
      </c>
      <c r="B474" s="280"/>
      <c r="C474" s="453"/>
      <c r="D474" s="411"/>
      <c r="E474" s="254"/>
      <c r="F474" s="277"/>
      <c r="G474" s="450"/>
      <c r="H474" s="451"/>
      <c r="I474" s="433" t="str">
        <f t="shared" si="53"/>
        <v/>
      </c>
      <c r="J474" s="434">
        <f t="shared" si="54"/>
        <v>0</v>
      </c>
      <c r="K474" s="452"/>
      <c r="L474" s="276"/>
      <c r="M474" s="435"/>
      <c r="N474" s="417" t="str">
        <f t="shared" si="55"/>
        <v/>
      </c>
      <c r="O474" s="418" t="str">
        <f>IF('Data Set up'!$G$40="JUNE",IF(OR($N474=7,$N474=8,$N474=9),1,IF(OR($N474=10,$N474=11,$N474=12),2,IF(OR($N474=1,$N474=2,$N474=3),3,IF(OR($N474=4,$N474=5,$N474=6),4,"")))),IF(OR($N474=9,$N474=10,$N474=11),1,IF(OR($N474=12,$N474=1,$N474=2),2,IF(OR($N474=3,$N474=4,$N474=5),3,IF(OR($N474=6,$N474=7,$N474=8),4,"")))))</f>
        <v/>
      </c>
      <c r="P474" s="445"/>
      <c r="Q474" s="291"/>
      <c r="R474" s="291"/>
      <c r="S474" s="275"/>
      <c r="T474" s="275"/>
      <c r="U474" s="275"/>
      <c r="V474" s="275"/>
      <c r="W474" s="275"/>
      <c r="X474" s="275"/>
      <c r="Y474" s="275"/>
      <c r="Z474" s="275"/>
      <c r="AA474" s="275"/>
      <c r="AB474" s="275"/>
      <c r="AC474" s="275"/>
      <c r="AD474" s="275"/>
      <c r="AE474" s="275"/>
      <c r="AF474" s="275"/>
      <c r="AG474" s="275"/>
      <c r="AH474" s="438"/>
      <c r="AI474" s="439">
        <f t="shared" si="56"/>
        <v>0</v>
      </c>
      <c r="AJ474" s="263"/>
      <c r="AK474" s="263"/>
      <c r="AL474" s="263"/>
      <c r="AM474" s="263"/>
      <c r="AN474" s="263"/>
      <c r="AO474" s="263"/>
      <c r="AP474" s="263"/>
      <c r="AQ474" s="436"/>
      <c r="AR474" s="275"/>
      <c r="AS474" s="275"/>
      <c r="AT474" s="275"/>
      <c r="AU474" s="275"/>
      <c r="AV474" s="275"/>
      <c r="AW474" s="275"/>
      <c r="AX474" s="275"/>
      <c r="AY474" s="437"/>
      <c r="AZ474" s="440">
        <f t="shared" si="57"/>
        <v>0</v>
      </c>
      <c r="BA474" s="275"/>
      <c r="BB474" s="275"/>
      <c r="BC474" s="275"/>
      <c r="BD474" s="275"/>
      <c r="BE474" s="275"/>
      <c r="BF474" s="275"/>
      <c r="BG474" s="275"/>
      <c r="BH474" s="436"/>
      <c r="BI474" s="275"/>
      <c r="BJ474" s="275"/>
      <c r="BK474" s="291"/>
      <c r="BL474" s="291"/>
      <c r="BM474" s="275"/>
      <c r="BN474" s="275"/>
      <c r="BO474" s="438"/>
      <c r="BP474" s="436"/>
      <c r="BQ474" s="275"/>
      <c r="BR474" s="275"/>
      <c r="BS474" s="275"/>
      <c r="BT474" s="275"/>
      <c r="BU474" s="275"/>
      <c r="BV474" s="275"/>
      <c r="BW474" s="275"/>
      <c r="BX474" s="438"/>
      <c r="BY474" s="436"/>
      <c r="BZ474" s="275"/>
      <c r="CA474" s="275"/>
      <c r="CB474" s="275"/>
      <c r="CC474" s="275"/>
      <c r="CD474" s="275"/>
      <c r="CE474" s="275"/>
      <c r="CF474" s="275"/>
      <c r="CG474" s="438"/>
      <c r="CH474" s="436"/>
      <c r="CI474" s="275"/>
      <c r="CJ474" s="275"/>
      <c r="CK474" s="275"/>
      <c r="CL474" s="275"/>
      <c r="CM474" s="275"/>
      <c r="CN474" s="275"/>
      <c r="CO474" s="442"/>
      <c r="CP474" s="443"/>
      <c r="CQ474" s="429">
        <f t="shared" si="58"/>
        <v>0</v>
      </c>
      <c r="CR474" s="430"/>
    </row>
    <row r="475" spans="1:96" ht="25.5" customHeight="1" x14ac:dyDescent="0.2">
      <c r="A475" s="410">
        <f t="shared" si="59"/>
        <v>460</v>
      </c>
      <c r="B475" s="280"/>
      <c r="C475" s="453"/>
      <c r="D475" s="411"/>
      <c r="E475" s="254"/>
      <c r="F475" s="277"/>
      <c r="G475" s="450"/>
      <c r="H475" s="451"/>
      <c r="I475" s="433" t="str">
        <f t="shared" si="53"/>
        <v/>
      </c>
      <c r="J475" s="434">
        <f t="shared" si="54"/>
        <v>0</v>
      </c>
      <c r="K475" s="452"/>
      <c r="L475" s="276"/>
      <c r="M475" s="435"/>
      <c r="N475" s="417" t="str">
        <f t="shared" si="55"/>
        <v/>
      </c>
      <c r="O475" s="418" t="str">
        <f>IF('Data Set up'!$G$40="JUNE",IF(OR($N475=7,$N475=8,$N475=9),1,IF(OR($N475=10,$N475=11,$N475=12),2,IF(OR($N475=1,$N475=2,$N475=3),3,IF(OR($N475=4,$N475=5,$N475=6),4,"")))),IF(OR($N475=9,$N475=10,$N475=11),1,IF(OR($N475=12,$N475=1,$N475=2),2,IF(OR($N475=3,$N475=4,$N475=5),3,IF(OR($N475=6,$N475=7,$N475=8),4,"")))))</f>
        <v/>
      </c>
      <c r="P475" s="445"/>
      <c r="Q475" s="291"/>
      <c r="R475" s="291"/>
      <c r="S475" s="275"/>
      <c r="T475" s="275"/>
      <c r="U475" s="275"/>
      <c r="V475" s="275"/>
      <c r="W475" s="275"/>
      <c r="X475" s="275"/>
      <c r="Y475" s="275"/>
      <c r="Z475" s="275"/>
      <c r="AA475" s="275"/>
      <c r="AB475" s="275"/>
      <c r="AC475" s="275"/>
      <c r="AD475" s="275"/>
      <c r="AE475" s="275"/>
      <c r="AF475" s="275"/>
      <c r="AG475" s="275"/>
      <c r="AH475" s="438"/>
      <c r="AI475" s="439">
        <f t="shared" si="56"/>
        <v>0</v>
      </c>
      <c r="AJ475" s="263"/>
      <c r="AK475" s="263"/>
      <c r="AL475" s="263"/>
      <c r="AM475" s="263"/>
      <c r="AN475" s="263"/>
      <c r="AO475" s="263"/>
      <c r="AP475" s="263"/>
      <c r="AQ475" s="436"/>
      <c r="AR475" s="275"/>
      <c r="AS475" s="275"/>
      <c r="AT475" s="275"/>
      <c r="AU475" s="275"/>
      <c r="AV475" s="275"/>
      <c r="AW475" s="275"/>
      <c r="AX475" s="275"/>
      <c r="AY475" s="437"/>
      <c r="AZ475" s="440">
        <f t="shared" si="57"/>
        <v>0</v>
      </c>
      <c r="BA475" s="275"/>
      <c r="BB475" s="275"/>
      <c r="BC475" s="275"/>
      <c r="BD475" s="275"/>
      <c r="BE475" s="275"/>
      <c r="BF475" s="275"/>
      <c r="BG475" s="275"/>
      <c r="BH475" s="436"/>
      <c r="BI475" s="275"/>
      <c r="BJ475" s="275"/>
      <c r="BK475" s="291"/>
      <c r="BL475" s="291"/>
      <c r="BM475" s="275"/>
      <c r="BN475" s="275"/>
      <c r="BO475" s="438"/>
      <c r="BP475" s="436"/>
      <c r="BQ475" s="275"/>
      <c r="BR475" s="275"/>
      <c r="BS475" s="275"/>
      <c r="BT475" s="275"/>
      <c r="BU475" s="275"/>
      <c r="BV475" s="275"/>
      <c r="BW475" s="275"/>
      <c r="BX475" s="438"/>
      <c r="BY475" s="436"/>
      <c r="BZ475" s="275"/>
      <c r="CA475" s="275"/>
      <c r="CB475" s="275"/>
      <c r="CC475" s="275"/>
      <c r="CD475" s="275"/>
      <c r="CE475" s="275"/>
      <c r="CF475" s="275"/>
      <c r="CG475" s="438"/>
      <c r="CH475" s="436"/>
      <c r="CI475" s="275"/>
      <c r="CJ475" s="275"/>
      <c r="CK475" s="275"/>
      <c r="CL475" s="275"/>
      <c r="CM475" s="275"/>
      <c r="CN475" s="275"/>
      <c r="CO475" s="442"/>
      <c r="CP475" s="443"/>
      <c r="CQ475" s="429">
        <f t="shared" si="58"/>
        <v>0</v>
      </c>
      <c r="CR475" s="430"/>
    </row>
    <row r="476" spans="1:96" ht="25.5" customHeight="1" x14ac:dyDescent="0.2">
      <c r="A476" s="410">
        <f t="shared" si="59"/>
        <v>461</v>
      </c>
      <c r="B476" s="280"/>
      <c r="C476" s="453"/>
      <c r="D476" s="411"/>
      <c r="E476" s="254"/>
      <c r="F476" s="277"/>
      <c r="G476" s="450"/>
      <c r="H476" s="451"/>
      <c r="I476" s="433" t="str">
        <f t="shared" si="53"/>
        <v/>
      </c>
      <c r="J476" s="434">
        <f t="shared" si="54"/>
        <v>0</v>
      </c>
      <c r="K476" s="452"/>
      <c r="L476" s="276"/>
      <c r="M476" s="435"/>
      <c r="N476" s="417" t="str">
        <f t="shared" si="55"/>
        <v/>
      </c>
      <c r="O476" s="418" t="str">
        <f>IF('Data Set up'!$G$40="JUNE",IF(OR($N476=7,$N476=8,$N476=9),1,IF(OR($N476=10,$N476=11,$N476=12),2,IF(OR($N476=1,$N476=2,$N476=3),3,IF(OR($N476=4,$N476=5,$N476=6),4,"")))),IF(OR($N476=9,$N476=10,$N476=11),1,IF(OR($N476=12,$N476=1,$N476=2),2,IF(OR($N476=3,$N476=4,$N476=5),3,IF(OR($N476=6,$N476=7,$N476=8),4,"")))))</f>
        <v/>
      </c>
      <c r="P476" s="445"/>
      <c r="Q476" s="291"/>
      <c r="R476" s="291"/>
      <c r="S476" s="275"/>
      <c r="T476" s="275"/>
      <c r="U476" s="275"/>
      <c r="V476" s="275"/>
      <c r="W476" s="275"/>
      <c r="X476" s="275"/>
      <c r="Y476" s="275"/>
      <c r="Z476" s="275"/>
      <c r="AA476" s="275"/>
      <c r="AB476" s="275"/>
      <c r="AC476" s="275"/>
      <c r="AD476" s="275"/>
      <c r="AE476" s="275"/>
      <c r="AF476" s="275"/>
      <c r="AG476" s="275"/>
      <c r="AH476" s="438"/>
      <c r="AI476" s="439">
        <f t="shared" si="56"/>
        <v>0</v>
      </c>
      <c r="AJ476" s="263"/>
      <c r="AK476" s="263"/>
      <c r="AL476" s="263"/>
      <c r="AM476" s="263"/>
      <c r="AN476" s="263"/>
      <c r="AO476" s="263"/>
      <c r="AP476" s="263"/>
      <c r="AQ476" s="436"/>
      <c r="AR476" s="275"/>
      <c r="AS476" s="275"/>
      <c r="AT476" s="275"/>
      <c r="AU476" s="275"/>
      <c r="AV476" s="275"/>
      <c r="AW476" s="275"/>
      <c r="AX476" s="275"/>
      <c r="AY476" s="437"/>
      <c r="AZ476" s="440">
        <f t="shared" si="57"/>
        <v>0</v>
      </c>
      <c r="BA476" s="275"/>
      <c r="BB476" s="275"/>
      <c r="BC476" s="275"/>
      <c r="BD476" s="275"/>
      <c r="BE476" s="275"/>
      <c r="BF476" s="275"/>
      <c r="BG476" s="275"/>
      <c r="BH476" s="436"/>
      <c r="BI476" s="275"/>
      <c r="BJ476" s="275"/>
      <c r="BK476" s="291"/>
      <c r="BL476" s="291"/>
      <c r="BM476" s="275"/>
      <c r="BN476" s="275"/>
      <c r="BO476" s="438"/>
      <c r="BP476" s="436"/>
      <c r="BQ476" s="275"/>
      <c r="BR476" s="275"/>
      <c r="BS476" s="275"/>
      <c r="BT476" s="275"/>
      <c r="BU476" s="275"/>
      <c r="BV476" s="275"/>
      <c r="BW476" s="275"/>
      <c r="BX476" s="438"/>
      <c r="BY476" s="436"/>
      <c r="BZ476" s="275"/>
      <c r="CA476" s="275"/>
      <c r="CB476" s="275"/>
      <c r="CC476" s="275"/>
      <c r="CD476" s="275"/>
      <c r="CE476" s="275"/>
      <c r="CF476" s="275"/>
      <c r="CG476" s="438"/>
      <c r="CH476" s="436"/>
      <c r="CI476" s="275"/>
      <c r="CJ476" s="275"/>
      <c r="CK476" s="275"/>
      <c r="CL476" s="275"/>
      <c r="CM476" s="275"/>
      <c r="CN476" s="275"/>
      <c r="CO476" s="442"/>
      <c r="CP476" s="443"/>
      <c r="CQ476" s="429">
        <f t="shared" si="58"/>
        <v>0</v>
      </c>
      <c r="CR476" s="430"/>
    </row>
    <row r="477" spans="1:96" ht="25.5" customHeight="1" x14ac:dyDescent="0.2">
      <c r="A477" s="410">
        <f t="shared" si="59"/>
        <v>462</v>
      </c>
      <c r="B477" s="280"/>
      <c r="C477" s="453"/>
      <c r="D477" s="411"/>
      <c r="E477" s="254"/>
      <c r="F477" s="277"/>
      <c r="G477" s="450"/>
      <c r="H477" s="451"/>
      <c r="I477" s="433" t="str">
        <f t="shared" si="53"/>
        <v/>
      </c>
      <c r="J477" s="434">
        <f t="shared" si="54"/>
        <v>0</v>
      </c>
      <c r="K477" s="452"/>
      <c r="L477" s="276"/>
      <c r="M477" s="435"/>
      <c r="N477" s="417" t="str">
        <f t="shared" si="55"/>
        <v/>
      </c>
      <c r="O477" s="418" t="str">
        <f>IF('Data Set up'!$G$40="JUNE",IF(OR($N477=7,$N477=8,$N477=9),1,IF(OR($N477=10,$N477=11,$N477=12),2,IF(OR($N477=1,$N477=2,$N477=3),3,IF(OR($N477=4,$N477=5,$N477=6),4,"")))),IF(OR($N477=9,$N477=10,$N477=11),1,IF(OR($N477=12,$N477=1,$N477=2),2,IF(OR($N477=3,$N477=4,$N477=5),3,IF(OR($N477=6,$N477=7,$N477=8),4,"")))))</f>
        <v/>
      </c>
      <c r="P477" s="445"/>
      <c r="Q477" s="291"/>
      <c r="R477" s="291"/>
      <c r="S477" s="275"/>
      <c r="T477" s="275"/>
      <c r="U477" s="275"/>
      <c r="V477" s="275"/>
      <c r="W477" s="275"/>
      <c r="X477" s="275"/>
      <c r="Y477" s="275"/>
      <c r="Z477" s="275"/>
      <c r="AA477" s="275"/>
      <c r="AB477" s="275"/>
      <c r="AC477" s="275"/>
      <c r="AD477" s="275"/>
      <c r="AE477" s="275"/>
      <c r="AF477" s="275"/>
      <c r="AG477" s="275"/>
      <c r="AH477" s="438"/>
      <c r="AI477" s="439">
        <f t="shared" si="56"/>
        <v>0</v>
      </c>
      <c r="AJ477" s="263"/>
      <c r="AK477" s="263"/>
      <c r="AL477" s="263"/>
      <c r="AM477" s="263"/>
      <c r="AN477" s="263"/>
      <c r="AO477" s="263"/>
      <c r="AP477" s="263"/>
      <c r="AQ477" s="436"/>
      <c r="AR477" s="275"/>
      <c r="AS477" s="275"/>
      <c r="AT477" s="275"/>
      <c r="AU477" s="275"/>
      <c r="AV477" s="275"/>
      <c r="AW477" s="275"/>
      <c r="AX477" s="275"/>
      <c r="AY477" s="437"/>
      <c r="AZ477" s="440">
        <f t="shared" si="57"/>
        <v>0</v>
      </c>
      <c r="BA477" s="275"/>
      <c r="BB477" s="275"/>
      <c r="BC477" s="275"/>
      <c r="BD477" s="275"/>
      <c r="BE477" s="275"/>
      <c r="BF477" s="275"/>
      <c r="BG477" s="275"/>
      <c r="BH477" s="436"/>
      <c r="BI477" s="275"/>
      <c r="BJ477" s="275"/>
      <c r="BK477" s="291"/>
      <c r="BL477" s="291"/>
      <c r="BM477" s="275"/>
      <c r="BN477" s="275"/>
      <c r="BO477" s="438"/>
      <c r="BP477" s="436"/>
      <c r="BQ477" s="275"/>
      <c r="BR477" s="275"/>
      <c r="BS477" s="275"/>
      <c r="BT477" s="275"/>
      <c r="BU477" s="275"/>
      <c r="BV477" s="275"/>
      <c r="BW477" s="275"/>
      <c r="BX477" s="438"/>
      <c r="BY477" s="436"/>
      <c r="BZ477" s="275"/>
      <c r="CA477" s="275"/>
      <c r="CB477" s="275"/>
      <c r="CC477" s="275"/>
      <c r="CD477" s="275"/>
      <c r="CE477" s="275"/>
      <c r="CF477" s="275"/>
      <c r="CG477" s="438"/>
      <c r="CH477" s="436"/>
      <c r="CI477" s="275"/>
      <c r="CJ477" s="275"/>
      <c r="CK477" s="275"/>
      <c r="CL477" s="275"/>
      <c r="CM477" s="275"/>
      <c r="CN477" s="275"/>
      <c r="CO477" s="442"/>
      <c r="CP477" s="443"/>
      <c r="CQ477" s="429">
        <f t="shared" si="58"/>
        <v>0</v>
      </c>
      <c r="CR477" s="430"/>
    </row>
    <row r="478" spans="1:96" ht="25.5" customHeight="1" x14ac:dyDescent="0.2">
      <c r="A478" s="410">
        <f t="shared" si="59"/>
        <v>463</v>
      </c>
      <c r="B478" s="280"/>
      <c r="C478" s="453"/>
      <c r="D478" s="411"/>
      <c r="E478" s="254"/>
      <c r="F478" s="277"/>
      <c r="G478" s="450"/>
      <c r="H478" s="451"/>
      <c r="I478" s="433" t="str">
        <f t="shared" si="53"/>
        <v/>
      </c>
      <c r="J478" s="434">
        <f t="shared" si="54"/>
        <v>0</v>
      </c>
      <c r="K478" s="452"/>
      <c r="L478" s="276"/>
      <c r="M478" s="435"/>
      <c r="N478" s="417" t="str">
        <f t="shared" si="55"/>
        <v/>
      </c>
      <c r="O478" s="418" t="str">
        <f>IF('Data Set up'!$G$40="JUNE",IF(OR($N478=7,$N478=8,$N478=9),1,IF(OR($N478=10,$N478=11,$N478=12),2,IF(OR($N478=1,$N478=2,$N478=3),3,IF(OR($N478=4,$N478=5,$N478=6),4,"")))),IF(OR($N478=9,$N478=10,$N478=11),1,IF(OR($N478=12,$N478=1,$N478=2),2,IF(OR($N478=3,$N478=4,$N478=5),3,IF(OR($N478=6,$N478=7,$N478=8),4,"")))))</f>
        <v/>
      </c>
      <c r="P478" s="445"/>
      <c r="Q478" s="291"/>
      <c r="R478" s="291"/>
      <c r="S478" s="275"/>
      <c r="T478" s="275"/>
      <c r="U478" s="275"/>
      <c r="V478" s="275"/>
      <c r="W478" s="275"/>
      <c r="X478" s="275"/>
      <c r="Y478" s="275"/>
      <c r="Z478" s="275"/>
      <c r="AA478" s="275"/>
      <c r="AB478" s="275"/>
      <c r="AC478" s="275"/>
      <c r="AD478" s="275"/>
      <c r="AE478" s="275"/>
      <c r="AF478" s="275"/>
      <c r="AG478" s="275"/>
      <c r="AH478" s="438"/>
      <c r="AI478" s="439">
        <f t="shared" si="56"/>
        <v>0</v>
      </c>
      <c r="AJ478" s="263"/>
      <c r="AK478" s="263"/>
      <c r="AL478" s="263"/>
      <c r="AM478" s="263"/>
      <c r="AN478" s="263"/>
      <c r="AO478" s="263"/>
      <c r="AP478" s="263"/>
      <c r="AQ478" s="436"/>
      <c r="AR478" s="275"/>
      <c r="AS478" s="275"/>
      <c r="AT478" s="275"/>
      <c r="AU478" s="275"/>
      <c r="AV478" s="275"/>
      <c r="AW478" s="275"/>
      <c r="AX478" s="275"/>
      <c r="AY478" s="437"/>
      <c r="AZ478" s="440">
        <f t="shared" si="57"/>
        <v>0</v>
      </c>
      <c r="BA478" s="275"/>
      <c r="BB478" s="275"/>
      <c r="BC478" s="275"/>
      <c r="BD478" s="275"/>
      <c r="BE478" s="275"/>
      <c r="BF478" s="275"/>
      <c r="BG478" s="275"/>
      <c r="BH478" s="436"/>
      <c r="BI478" s="275"/>
      <c r="BJ478" s="275"/>
      <c r="BK478" s="291"/>
      <c r="BL478" s="291"/>
      <c r="BM478" s="275"/>
      <c r="BN478" s="275"/>
      <c r="BO478" s="438"/>
      <c r="BP478" s="436"/>
      <c r="BQ478" s="275"/>
      <c r="BR478" s="275"/>
      <c r="BS478" s="275"/>
      <c r="BT478" s="275"/>
      <c r="BU478" s="275"/>
      <c r="BV478" s="275"/>
      <c r="BW478" s="275"/>
      <c r="BX478" s="438"/>
      <c r="BY478" s="436"/>
      <c r="BZ478" s="275"/>
      <c r="CA478" s="275"/>
      <c r="CB478" s="275"/>
      <c r="CC478" s="275"/>
      <c r="CD478" s="275"/>
      <c r="CE478" s="275"/>
      <c r="CF478" s="275"/>
      <c r="CG478" s="438"/>
      <c r="CH478" s="436"/>
      <c r="CI478" s="275"/>
      <c r="CJ478" s="275"/>
      <c r="CK478" s="275"/>
      <c r="CL478" s="275"/>
      <c r="CM478" s="275"/>
      <c r="CN478" s="275"/>
      <c r="CO478" s="442"/>
      <c r="CP478" s="443"/>
      <c r="CQ478" s="429">
        <f t="shared" si="58"/>
        <v>0</v>
      </c>
      <c r="CR478" s="430"/>
    </row>
    <row r="479" spans="1:96" ht="25.5" customHeight="1" x14ac:dyDescent="0.2">
      <c r="A479" s="410">
        <f t="shared" si="59"/>
        <v>464</v>
      </c>
      <c r="B479" s="280"/>
      <c r="C479" s="453"/>
      <c r="D479" s="411"/>
      <c r="E479" s="254"/>
      <c r="F479" s="277"/>
      <c r="G479" s="450"/>
      <c r="H479" s="451"/>
      <c r="I479" s="433" t="str">
        <f t="shared" si="53"/>
        <v/>
      </c>
      <c r="J479" s="434">
        <f t="shared" si="54"/>
        <v>0</v>
      </c>
      <c r="K479" s="452"/>
      <c r="L479" s="276"/>
      <c r="M479" s="435"/>
      <c r="N479" s="417" t="str">
        <f t="shared" si="55"/>
        <v/>
      </c>
      <c r="O479" s="418" t="str">
        <f>IF('Data Set up'!$G$40="JUNE",IF(OR($N479=7,$N479=8,$N479=9),1,IF(OR($N479=10,$N479=11,$N479=12),2,IF(OR($N479=1,$N479=2,$N479=3),3,IF(OR($N479=4,$N479=5,$N479=6),4,"")))),IF(OR($N479=9,$N479=10,$N479=11),1,IF(OR($N479=12,$N479=1,$N479=2),2,IF(OR($N479=3,$N479=4,$N479=5),3,IF(OR($N479=6,$N479=7,$N479=8),4,"")))))</f>
        <v/>
      </c>
      <c r="P479" s="445"/>
      <c r="Q479" s="291"/>
      <c r="R479" s="291"/>
      <c r="S479" s="275"/>
      <c r="T479" s="275"/>
      <c r="U479" s="275"/>
      <c r="V479" s="275"/>
      <c r="W479" s="275"/>
      <c r="X479" s="275"/>
      <c r="Y479" s="275"/>
      <c r="Z479" s="275"/>
      <c r="AA479" s="275"/>
      <c r="AB479" s="275"/>
      <c r="AC479" s="275"/>
      <c r="AD479" s="275"/>
      <c r="AE479" s="275"/>
      <c r="AF479" s="275"/>
      <c r="AG479" s="275"/>
      <c r="AH479" s="438"/>
      <c r="AI479" s="439">
        <f t="shared" si="56"/>
        <v>0</v>
      </c>
      <c r="AJ479" s="263"/>
      <c r="AK479" s="263"/>
      <c r="AL479" s="263"/>
      <c r="AM479" s="263"/>
      <c r="AN479" s="263"/>
      <c r="AO479" s="263"/>
      <c r="AP479" s="263"/>
      <c r="AQ479" s="436"/>
      <c r="AR479" s="275"/>
      <c r="AS479" s="275"/>
      <c r="AT479" s="275"/>
      <c r="AU479" s="275"/>
      <c r="AV479" s="275"/>
      <c r="AW479" s="275"/>
      <c r="AX479" s="275"/>
      <c r="AY479" s="437"/>
      <c r="AZ479" s="440">
        <f t="shared" si="57"/>
        <v>0</v>
      </c>
      <c r="BA479" s="275"/>
      <c r="BB479" s="275"/>
      <c r="BC479" s="275"/>
      <c r="BD479" s="275"/>
      <c r="BE479" s="275"/>
      <c r="BF479" s="275"/>
      <c r="BG479" s="275"/>
      <c r="BH479" s="436"/>
      <c r="BI479" s="275"/>
      <c r="BJ479" s="275"/>
      <c r="BK479" s="291"/>
      <c r="BL479" s="291"/>
      <c r="BM479" s="275"/>
      <c r="BN479" s="275"/>
      <c r="BO479" s="438"/>
      <c r="BP479" s="436"/>
      <c r="BQ479" s="275"/>
      <c r="BR479" s="275"/>
      <c r="BS479" s="275"/>
      <c r="BT479" s="275"/>
      <c r="BU479" s="275"/>
      <c r="BV479" s="275"/>
      <c r="BW479" s="275"/>
      <c r="BX479" s="438"/>
      <c r="BY479" s="436"/>
      <c r="BZ479" s="275"/>
      <c r="CA479" s="275"/>
      <c r="CB479" s="275"/>
      <c r="CC479" s="275"/>
      <c r="CD479" s="275"/>
      <c r="CE479" s="275"/>
      <c r="CF479" s="275"/>
      <c r="CG479" s="438"/>
      <c r="CH479" s="436"/>
      <c r="CI479" s="275"/>
      <c r="CJ479" s="275"/>
      <c r="CK479" s="275"/>
      <c r="CL479" s="275"/>
      <c r="CM479" s="275"/>
      <c r="CN479" s="275"/>
      <c r="CO479" s="442"/>
      <c r="CP479" s="443"/>
      <c r="CQ479" s="429">
        <f t="shared" si="58"/>
        <v>0</v>
      </c>
      <c r="CR479" s="430"/>
    </row>
    <row r="480" spans="1:96" ht="25.5" customHeight="1" x14ac:dyDescent="0.2">
      <c r="A480" s="410">
        <f t="shared" si="59"/>
        <v>465</v>
      </c>
      <c r="B480" s="280"/>
      <c r="C480" s="453"/>
      <c r="D480" s="411"/>
      <c r="E480" s="254"/>
      <c r="F480" s="277"/>
      <c r="G480" s="450"/>
      <c r="H480" s="451"/>
      <c r="I480" s="433" t="str">
        <f t="shared" si="53"/>
        <v/>
      </c>
      <c r="J480" s="434">
        <f t="shared" si="54"/>
        <v>0</v>
      </c>
      <c r="K480" s="452"/>
      <c r="L480" s="276"/>
      <c r="M480" s="435"/>
      <c r="N480" s="417" t="str">
        <f t="shared" si="55"/>
        <v/>
      </c>
      <c r="O480" s="418" t="str">
        <f>IF('Data Set up'!$G$40="JUNE",IF(OR($N480=7,$N480=8,$N480=9),1,IF(OR($N480=10,$N480=11,$N480=12),2,IF(OR($N480=1,$N480=2,$N480=3),3,IF(OR($N480=4,$N480=5,$N480=6),4,"")))),IF(OR($N480=9,$N480=10,$N480=11),1,IF(OR($N480=12,$N480=1,$N480=2),2,IF(OR($N480=3,$N480=4,$N480=5),3,IF(OR($N480=6,$N480=7,$N480=8),4,"")))))</f>
        <v/>
      </c>
      <c r="P480" s="445"/>
      <c r="Q480" s="291"/>
      <c r="R480" s="291"/>
      <c r="S480" s="275"/>
      <c r="T480" s="275"/>
      <c r="U480" s="275"/>
      <c r="V480" s="275"/>
      <c r="W480" s="275"/>
      <c r="X480" s="275"/>
      <c r="Y480" s="275"/>
      <c r="Z480" s="275"/>
      <c r="AA480" s="275"/>
      <c r="AB480" s="275"/>
      <c r="AC480" s="275"/>
      <c r="AD480" s="275"/>
      <c r="AE480" s="275"/>
      <c r="AF480" s="275"/>
      <c r="AG480" s="275"/>
      <c r="AH480" s="438"/>
      <c r="AI480" s="439">
        <f t="shared" si="56"/>
        <v>0</v>
      </c>
      <c r="AJ480" s="263"/>
      <c r="AK480" s="263"/>
      <c r="AL480" s="263"/>
      <c r="AM480" s="263"/>
      <c r="AN480" s="263"/>
      <c r="AO480" s="263"/>
      <c r="AP480" s="263"/>
      <c r="AQ480" s="436"/>
      <c r="AR480" s="275"/>
      <c r="AS480" s="275"/>
      <c r="AT480" s="275"/>
      <c r="AU480" s="275"/>
      <c r="AV480" s="275"/>
      <c r="AW480" s="275"/>
      <c r="AX480" s="275"/>
      <c r="AY480" s="437"/>
      <c r="AZ480" s="440">
        <f t="shared" si="57"/>
        <v>0</v>
      </c>
      <c r="BA480" s="275"/>
      <c r="BB480" s="275"/>
      <c r="BC480" s="275"/>
      <c r="BD480" s="275"/>
      <c r="BE480" s="275"/>
      <c r="BF480" s="275"/>
      <c r="BG480" s="275"/>
      <c r="BH480" s="436"/>
      <c r="BI480" s="275"/>
      <c r="BJ480" s="275"/>
      <c r="BK480" s="291"/>
      <c r="BL480" s="291"/>
      <c r="BM480" s="275"/>
      <c r="BN480" s="275"/>
      <c r="BO480" s="438"/>
      <c r="BP480" s="436"/>
      <c r="BQ480" s="275"/>
      <c r="BR480" s="275"/>
      <c r="BS480" s="275"/>
      <c r="BT480" s="275"/>
      <c r="BU480" s="275"/>
      <c r="BV480" s="275"/>
      <c r="BW480" s="275"/>
      <c r="BX480" s="438"/>
      <c r="BY480" s="436"/>
      <c r="BZ480" s="275"/>
      <c r="CA480" s="275"/>
      <c r="CB480" s="275"/>
      <c r="CC480" s="275"/>
      <c r="CD480" s="275"/>
      <c r="CE480" s="275"/>
      <c r="CF480" s="275"/>
      <c r="CG480" s="438"/>
      <c r="CH480" s="436"/>
      <c r="CI480" s="275"/>
      <c r="CJ480" s="275"/>
      <c r="CK480" s="275"/>
      <c r="CL480" s="275"/>
      <c r="CM480" s="275"/>
      <c r="CN480" s="275"/>
      <c r="CO480" s="442"/>
      <c r="CP480" s="443"/>
      <c r="CQ480" s="429">
        <f t="shared" si="58"/>
        <v>0</v>
      </c>
      <c r="CR480" s="430"/>
    </row>
    <row r="481" spans="1:96" ht="25.5" customHeight="1" x14ac:dyDescent="0.2">
      <c r="A481" s="410">
        <f t="shared" si="59"/>
        <v>466</v>
      </c>
      <c r="B481" s="280"/>
      <c r="C481" s="453"/>
      <c r="D481" s="411"/>
      <c r="E481" s="254"/>
      <c r="F481" s="277"/>
      <c r="G481" s="450"/>
      <c r="H481" s="451"/>
      <c r="I481" s="433" t="str">
        <f t="shared" si="53"/>
        <v/>
      </c>
      <c r="J481" s="434">
        <f t="shared" si="54"/>
        <v>0</v>
      </c>
      <c r="K481" s="452"/>
      <c r="L481" s="276"/>
      <c r="M481" s="435"/>
      <c r="N481" s="417" t="str">
        <f t="shared" si="55"/>
        <v/>
      </c>
      <c r="O481" s="418" t="str">
        <f>IF('Data Set up'!$G$40="JUNE",IF(OR($N481=7,$N481=8,$N481=9),1,IF(OR($N481=10,$N481=11,$N481=12),2,IF(OR($N481=1,$N481=2,$N481=3),3,IF(OR($N481=4,$N481=5,$N481=6),4,"")))),IF(OR($N481=9,$N481=10,$N481=11),1,IF(OR($N481=12,$N481=1,$N481=2),2,IF(OR($N481=3,$N481=4,$N481=5),3,IF(OR($N481=6,$N481=7,$N481=8),4,"")))))</f>
        <v/>
      </c>
      <c r="P481" s="445"/>
      <c r="Q481" s="291"/>
      <c r="R481" s="291"/>
      <c r="S481" s="275"/>
      <c r="T481" s="275"/>
      <c r="U481" s="275"/>
      <c r="V481" s="275"/>
      <c r="W481" s="275"/>
      <c r="X481" s="275"/>
      <c r="Y481" s="275"/>
      <c r="Z481" s="275"/>
      <c r="AA481" s="275"/>
      <c r="AB481" s="275"/>
      <c r="AC481" s="275"/>
      <c r="AD481" s="275"/>
      <c r="AE481" s="275"/>
      <c r="AF481" s="275"/>
      <c r="AG481" s="275"/>
      <c r="AH481" s="438"/>
      <c r="AI481" s="439">
        <f t="shared" si="56"/>
        <v>0</v>
      </c>
      <c r="AJ481" s="263"/>
      <c r="AK481" s="263"/>
      <c r="AL481" s="263"/>
      <c r="AM481" s="263"/>
      <c r="AN481" s="263"/>
      <c r="AO481" s="263"/>
      <c r="AP481" s="263"/>
      <c r="AQ481" s="436"/>
      <c r="AR481" s="275"/>
      <c r="AS481" s="275"/>
      <c r="AT481" s="275"/>
      <c r="AU481" s="275"/>
      <c r="AV481" s="275"/>
      <c r="AW481" s="275"/>
      <c r="AX481" s="275"/>
      <c r="AY481" s="437"/>
      <c r="AZ481" s="440">
        <f t="shared" si="57"/>
        <v>0</v>
      </c>
      <c r="BA481" s="275"/>
      <c r="BB481" s="275"/>
      <c r="BC481" s="275"/>
      <c r="BD481" s="275"/>
      <c r="BE481" s="275"/>
      <c r="BF481" s="275"/>
      <c r="BG481" s="275"/>
      <c r="BH481" s="436"/>
      <c r="BI481" s="275"/>
      <c r="BJ481" s="275"/>
      <c r="BK481" s="291"/>
      <c r="BL481" s="291"/>
      <c r="BM481" s="275"/>
      <c r="BN481" s="275"/>
      <c r="BO481" s="438"/>
      <c r="BP481" s="436"/>
      <c r="BQ481" s="275"/>
      <c r="BR481" s="275"/>
      <c r="BS481" s="275"/>
      <c r="BT481" s="275"/>
      <c r="BU481" s="275"/>
      <c r="BV481" s="275"/>
      <c r="BW481" s="275"/>
      <c r="BX481" s="438"/>
      <c r="BY481" s="436"/>
      <c r="BZ481" s="275"/>
      <c r="CA481" s="275"/>
      <c r="CB481" s="275"/>
      <c r="CC481" s="275"/>
      <c r="CD481" s="275"/>
      <c r="CE481" s="275"/>
      <c r="CF481" s="275"/>
      <c r="CG481" s="438"/>
      <c r="CH481" s="436"/>
      <c r="CI481" s="275"/>
      <c r="CJ481" s="275"/>
      <c r="CK481" s="275"/>
      <c r="CL481" s="275"/>
      <c r="CM481" s="275"/>
      <c r="CN481" s="275"/>
      <c r="CO481" s="442"/>
      <c r="CP481" s="443"/>
      <c r="CQ481" s="429">
        <f t="shared" si="58"/>
        <v>0</v>
      </c>
      <c r="CR481" s="430"/>
    </row>
    <row r="482" spans="1:96" ht="25.5" customHeight="1" x14ac:dyDescent="0.2">
      <c r="A482" s="410">
        <f t="shared" si="59"/>
        <v>467</v>
      </c>
      <c r="B482" s="280"/>
      <c r="C482" s="453"/>
      <c r="D482" s="411"/>
      <c r="E482" s="254"/>
      <c r="F482" s="277"/>
      <c r="G482" s="450"/>
      <c r="H482" s="451"/>
      <c r="I482" s="433" t="str">
        <f t="shared" si="53"/>
        <v/>
      </c>
      <c r="J482" s="434">
        <f t="shared" si="54"/>
        <v>0</v>
      </c>
      <c r="K482" s="452"/>
      <c r="L482" s="276"/>
      <c r="M482" s="435"/>
      <c r="N482" s="417" t="str">
        <f t="shared" si="55"/>
        <v/>
      </c>
      <c r="O482" s="418" t="str">
        <f>IF('Data Set up'!$G$40="JUNE",IF(OR($N482=7,$N482=8,$N482=9),1,IF(OR($N482=10,$N482=11,$N482=12),2,IF(OR($N482=1,$N482=2,$N482=3),3,IF(OR($N482=4,$N482=5,$N482=6),4,"")))),IF(OR($N482=9,$N482=10,$N482=11),1,IF(OR($N482=12,$N482=1,$N482=2),2,IF(OR($N482=3,$N482=4,$N482=5),3,IF(OR($N482=6,$N482=7,$N482=8),4,"")))))</f>
        <v/>
      </c>
      <c r="P482" s="445"/>
      <c r="Q482" s="291"/>
      <c r="R482" s="291"/>
      <c r="S482" s="275"/>
      <c r="T482" s="275"/>
      <c r="U482" s="275"/>
      <c r="V482" s="275"/>
      <c r="W482" s="275"/>
      <c r="X482" s="275"/>
      <c r="Y482" s="275"/>
      <c r="Z482" s="275"/>
      <c r="AA482" s="275"/>
      <c r="AB482" s="275"/>
      <c r="AC482" s="275"/>
      <c r="AD482" s="275"/>
      <c r="AE482" s="275"/>
      <c r="AF482" s="275"/>
      <c r="AG482" s="275"/>
      <c r="AH482" s="438"/>
      <c r="AI482" s="439">
        <f t="shared" si="56"/>
        <v>0</v>
      </c>
      <c r="AJ482" s="263"/>
      <c r="AK482" s="263"/>
      <c r="AL482" s="263"/>
      <c r="AM482" s="263"/>
      <c r="AN482" s="263"/>
      <c r="AO482" s="263"/>
      <c r="AP482" s="263"/>
      <c r="AQ482" s="436"/>
      <c r="AR482" s="275"/>
      <c r="AS482" s="275"/>
      <c r="AT482" s="275"/>
      <c r="AU482" s="275"/>
      <c r="AV482" s="275"/>
      <c r="AW482" s="275"/>
      <c r="AX482" s="275"/>
      <c r="AY482" s="437"/>
      <c r="AZ482" s="440">
        <f t="shared" si="57"/>
        <v>0</v>
      </c>
      <c r="BA482" s="275"/>
      <c r="BB482" s="275"/>
      <c r="BC482" s="275"/>
      <c r="BD482" s="275"/>
      <c r="BE482" s="275"/>
      <c r="BF482" s="275"/>
      <c r="BG482" s="275"/>
      <c r="BH482" s="436"/>
      <c r="BI482" s="275"/>
      <c r="BJ482" s="275"/>
      <c r="BK482" s="291"/>
      <c r="BL482" s="291"/>
      <c r="BM482" s="275"/>
      <c r="BN482" s="275"/>
      <c r="BO482" s="438"/>
      <c r="BP482" s="436"/>
      <c r="BQ482" s="275"/>
      <c r="BR482" s="275"/>
      <c r="BS482" s="275"/>
      <c r="BT482" s="275"/>
      <c r="BU482" s="275"/>
      <c r="BV482" s="275"/>
      <c r="BW482" s="275"/>
      <c r="BX482" s="438"/>
      <c r="BY482" s="436"/>
      <c r="BZ482" s="275"/>
      <c r="CA482" s="275"/>
      <c r="CB482" s="275"/>
      <c r="CC482" s="275"/>
      <c r="CD482" s="275"/>
      <c r="CE482" s="275"/>
      <c r="CF482" s="275"/>
      <c r="CG482" s="438"/>
      <c r="CH482" s="436"/>
      <c r="CI482" s="275"/>
      <c r="CJ482" s="275"/>
      <c r="CK482" s="275"/>
      <c r="CL482" s="275"/>
      <c r="CM482" s="275"/>
      <c r="CN482" s="275"/>
      <c r="CO482" s="442"/>
      <c r="CP482" s="443"/>
      <c r="CQ482" s="429">
        <f t="shared" si="58"/>
        <v>0</v>
      </c>
      <c r="CR482" s="430"/>
    </row>
    <row r="483" spans="1:96" ht="25.5" customHeight="1" x14ac:dyDescent="0.2">
      <c r="A483" s="410">
        <f t="shared" si="59"/>
        <v>468</v>
      </c>
      <c r="B483" s="280"/>
      <c r="C483" s="453"/>
      <c r="D483" s="411"/>
      <c r="E483" s="254"/>
      <c r="F483" s="277"/>
      <c r="G483" s="450"/>
      <c r="H483" s="451"/>
      <c r="I483" s="433" t="str">
        <f t="shared" si="53"/>
        <v/>
      </c>
      <c r="J483" s="434">
        <f t="shared" si="54"/>
        <v>0</v>
      </c>
      <c r="K483" s="452"/>
      <c r="L483" s="276"/>
      <c r="M483" s="435"/>
      <c r="N483" s="417" t="str">
        <f t="shared" si="55"/>
        <v/>
      </c>
      <c r="O483" s="418" t="str">
        <f>IF('Data Set up'!$G$40="JUNE",IF(OR($N483=7,$N483=8,$N483=9),1,IF(OR($N483=10,$N483=11,$N483=12),2,IF(OR($N483=1,$N483=2,$N483=3),3,IF(OR($N483=4,$N483=5,$N483=6),4,"")))),IF(OR($N483=9,$N483=10,$N483=11),1,IF(OR($N483=12,$N483=1,$N483=2),2,IF(OR($N483=3,$N483=4,$N483=5),3,IF(OR($N483=6,$N483=7,$N483=8),4,"")))))</f>
        <v/>
      </c>
      <c r="P483" s="445"/>
      <c r="Q483" s="291"/>
      <c r="R483" s="291"/>
      <c r="S483" s="275"/>
      <c r="T483" s="275"/>
      <c r="U483" s="275"/>
      <c r="V483" s="275"/>
      <c r="W483" s="275"/>
      <c r="X483" s="275"/>
      <c r="Y483" s="275"/>
      <c r="Z483" s="275"/>
      <c r="AA483" s="275"/>
      <c r="AB483" s="275"/>
      <c r="AC483" s="275"/>
      <c r="AD483" s="275"/>
      <c r="AE483" s="275"/>
      <c r="AF483" s="275"/>
      <c r="AG483" s="275"/>
      <c r="AH483" s="438"/>
      <c r="AI483" s="439">
        <f t="shared" si="56"/>
        <v>0</v>
      </c>
      <c r="AJ483" s="263"/>
      <c r="AK483" s="263"/>
      <c r="AL483" s="263"/>
      <c r="AM483" s="263"/>
      <c r="AN483" s="263"/>
      <c r="AO483" s="263"/>
      <c r="AP483" s="263"/>
      <c r="AQ483" s="436"/>
      <c r="AR483" s="275"/>
      <c r="AS483" s="275"/>
      <c r="AT483" s="275"/>
      <c r="AU483" s="275"/>
      <c r="AV483" s="275"/>
      <c r="AW483" s="275"/>
      <c r="AX483" s="275"/>
      <c r="AY483" s="437"/>
      <c r="AZ483" s="440">
        <f t="shared" si="57"/>
        <v>0</v>
      </c>
      <c r="BA483" s="275"/>
      <c r="BB483" s="275"/>
      <c r="BC483" s="275"/>
      <c r="BD483" s="275"/>
      <c r="BE483" s="275"/>
      <c r="BF483" s="275"/>
      <c r="BG483" s="275"/>
      <c r="BH483" s="436"/>
      <c r="BI483" s="275"/>
      <c r="BJ483" s="275"/>
      <c r="BK483" s="291"/>
      <c r="BL483" s="291"/>
      <c r="BM483" s="275"/>
      <c r="BN483" s="275"/>
      <c r="BO483" s="438"/>
      <c r="BP483" s="436"/>
      <c r="BQ483" s="275"/>
      <c r="BR483" s="275"/>
      <c r="BS483" s="275"/>
      <c r="BT483" s="275"/>
      <c r="BU483" s="275"/>
      <c r="BV483" s="275"/>
      <c r="BW483" s="275"/>
      <c r="BX483" s="438"/>
      <c r="BY483" s="436"/>
      <c r="BZ483" s="275"/>
      <c r="CA483" s="275"/>
      <c r="CB483" s="275"/>
      <c r="CC483" s="275"/>
      <c r="CD483" s="275"/>
      <c r="CE483" s="275"/>
      <c r="CF483" s="275"/>
      <c r="CG483" s="438"/>
      <c r="CH483" s="436"/>
      <c r="CI483" s="275"/>
      <c r="CJ483" s="275"/>
      <c r="CK483" s="275"/>
      <c r="CL483" s="275"/>
      <c r="CM483" s="275"/>
      <c r="CN483" s="275"/>
      <c r="CO483" s="442"/>
      <c r="CP483" s="443"/>
      <c r="CQ483" s="429">
        <f t="shared" si="58"/>
        <v>0</v>
      </c>
      <c r="CR483" s="430"/>
    </row>
    <row r="484" spans="1:96" ht="25.5" customHeight="1" x14ac:dyDescent="0.2">
      <c r="A484" s="410">
        <f t="shared" si="59"/>
        <v>469</v>
      </c>
      <c r="B484" s="280"/>
      <c r="C484" s="453"/>
      <c r="D484" s="411"/>
      <c r="E484" s="254"/>
      <c r="F484" s="277"/>
      <c r="G484" s="450"/>
      <c r="H484" s="451"/>
      <c r="I484" s="433" t="str">
        <f t="shared" si="53"/>
        <v/>
      </c>
      <c r="J484" s="434">
        <f t="shared" si="54"/>
        <v>0</v>
      </c>
      <c r="K484" s="452"/>
      <c r="L484" s="276"/>
      <c r="M484" s="435"/>
      <c r="N484" s="417" t="str">
        <f t="shared" si="55"/>
        <v/>
      </c>
      <c r="O484" s="418" t="str">
        <f>IF('Data Set up'!$G$40="JUNE",IF(OR($N484=7,$N484=8,$N484=9),1,IF(OR($N484=10,$N484=11,$N484=12),2,IF(OR($N484=1,$N484=2,$N484=3),3,IF(OR($N484=4,$N484=5,$N484=6),4,"")))),IF(OR($N484=9,$N484=10,$N484=11),1,IF(OR($N484=12,$N484=1,$N484=2),2,IF(OR($N484=3,$N484=4,$N484=5),3,IF(OR($N484=6,$N484=7,$N484=8),4,"")))))</f>
        <v/>
      </c>
      <c r="P484" s="445"/>
      <c r="Q484" s="291"/>
      <c r="R484" s="291"/>
      <c r="S484" s="275"/>
      <c r="T484" s="275"/>
      <c r="U484" s="275"/>
      <c r="V484" s="275"/>
      <c r="W484" s="275"/>
      <c r="X484" s="275"/>
      <c r="Y484" s="275"/>
      <c r="Z484" s="275"/>
      <c r="AA484" s="275"/>
      <c r="AB484" s="275"/>
      <c r="AC484" s="275"/>
      <c r="AD484" s="275"/>
      <c r="AE484" s="275"/>
      <c r="AF484" s="275"/>
      <c r="AG484" s="275"/>
      <c r="AH484" s="438"/>
      <c r="AI484" s="439">
        <f t="shared" si="56"/>
        <v>0</v>
      </c>
      <c r="AJ484" s="263"/>
      <c r="AK484" s="263"/>
      <c r="AL484" s="263"/>
      <c r="AM484" s="263"/>
      <c r="AN484" s="263"/>
      <c r="AO484" s="263"/>
      <c r="AP484" s="263"/>
      <c r="AQ484" s="436"/>
      <c r="AR484" s="275"/>
      <c r="AS484" s="275"/>
      <c r="AT484" s="275"/>
      <c r="AU484" s="275"/>
      <c r="AV484" s="275"/>
      <c r="AW484" s="275"/>
      <c r="AX484" s="275"/>
      <c r="AY484" s="437"/>
      <c r="AZ484" s="440">
        <f t="shared" si="57"/>
        <v>0</v>
      </c>
      <c r="BA484" s="275"/>
      <c r="BB484" s="275"/>
      <c r="BC484" s="275"/>
      <c r="BD484" s="275"/>
      <c r="BE484" s="275"/>
      <c r="BF484" s="275"/>
      <c r="BG484" s="275"/>
      <c r="BH484" s="436"/>
      <c r="BI484" s="275"/>
      <c r="BJ484" s="275"/>
      <c r="BK484" s="291"/>
      <c r="BL484" s="291"/>
      <c r="BM484" s="275"/>
      <c r="BN484" s="275"/>
      <c r="BO484" s="438"/>
      <c r="BP484" s="436"/>
      <c r="BQ484" s="275"/>
      <c r="BR484" s="275"/>
      <c r="BS484" s="275"/>
      <c r="BT484" s="275"/>
      <c r="BU484" s="275"/>
      <c r="BV484" s="275"/>
      <c r="BW484" s="275"/>
      <c r="BX484" s="438"/>
      <c r="BY484" s="436"/>
      <c r="BZ484" s="275"/>
      <c r="CA484" s="275"/>
      <c r="CB484" s="275"/>
      <c r="CC484" s="275"/>
      <c r="CD484" s="275"/>
      <c r="CE484" s="275"/>
      <c r="CF484" s="275"/>
      <c r="CG484" s="438"/>
      <c r="CH484" s="436"/>
      <c r="CI484" s="275"/>
      <c r="CJ484" s="275"/>
      <c r="CK484" s="275"/>
      <c r="CL484" s="275"/>
      <c r="CM484" s="275"/>
      <c r="CN484" s="275"/>
      <c r="CO484" s="442"/>
      <c r="CP484" s="443"/>
      <c r="CQ484" s="429">
        <f t="shared" si="58"/>
        <v>0</v>
      </c>
      <c r="CR484" s="430"/>
    </row>
    <row r="485" spans="1:96" ht="25.5" customHeight="1" x14ac:dyDescent="0.2">
      <c r="A485" s="410">
        <f t="shared" si="59"/>
        <v>470</v>
      </c>
      <c r="B485" s="280"/>
      <c r="C485" s="453"/>
      <c r="D485" s="411"/>
      <c r="E485" s="254"/>
      <c r="F485" s="277"/>
      <c r="G485" s="450"/>
      <c r="H485" s="451"/>
      <c r="I485" s="433" t="str">
        <f t="shared" si="53"/>
        <v/>
      </c>
      <c r="J485" s="434">
        <f t="shared" si="54"/>
        <v>0</v>
      </c>
      <c r="K485" s="452"/>
      <c r="L485" s="276"/>
      <c r="M485" s="435"/>
      <c r="N485" s="417" t="str">
        <f t="shared" si="55"/>
        <v/>
      </c>
      <c r="O485" s="418" t="str">
        <f>IF('Data Set up'!$G$40="JUNE",IF(OR($N485=7,$N485=8,$N485=9),1,IF(OR($N485=10,$N485=11,$N485=12),2,IF(OR($N485=1,$N485=2,$N485=3),3,IF(OR($N485=4,$N485=5,$N485=6),4,"")))),IF(OR($N485=9,$N485=10,$N485=11),1,IF(OR($N485=12,$N485=1,$N485=2),2,IF(OR($N485=3,$N485=4,$N485=5),3,IF(OR($N485=6,$N485=7,$N485=8),4,"")))))</f>
        <v/>
      </c>
      <c r="P485" s="445"/>
      <c r="Q485" s="291"/>
      <c r="R485" s="291"/>
      <c r="S485" s="275"/>
      <c r="T485" s="275"/>
      <c r="U485" s="275"/>
      <c r="V485" s="275"/>
      <c r="W485" s="275"/>
      <c r="X485" s="275"/>
      <c r="Y485" s="275"/>
      <c r="Z485" s="275"/>
      <c r="AA485" s="275"/>
      <c r="AB485" s="275"/>
      <c r="AC485" s="275"/>
      <c r="AD485" s="275"/>
      <c r="AE485" s="275"/>
      <c r="AF485" s="275"/>
      <c r="AG485" s="275"/>
      <c r="AH485" s="438"/>
      <c r="AI485" s="439">
        <f t="shared" si="56"/>
        <v>0</v>
      </c>
      <c r="AJ485" s="263"/>
      <c r="AK485" s="263"/>
      <c r="AL485" s="263"/>
      <c r="AM485" s="263"/>
      <c r="AN485" s="263"/>
      <c r="AO485" s="263"/>
      <c r="AP485" s="263"/>
      <c r="AQ485" s="436"/>
      <c r="AR485" s="275"/>
      <c r="AS485" s="275"/>
      <c r="AT485" s="275"/>
      <c r="AU485" s="275"/>
      <c r="AV485" s="275"/>
      <c r="AW485" s="275"/>
      <c r="AX485" s="275"/>
      <c r="AY485" s="437"/>
      <c r="AZ485" s="440">
        <f t="shared" si="57"/>
        <v>0</v>
      </c>
      <c r="BA485" s="275"/>
      <c r="BB485" s="275"/>
      <c r="BC485" s="275"/>
      <c r="BD485" s="275"/>
      <c r="BE485" s="275"/>
      <c r="BF485" s="275"/>
      <c r="BG485" s="275"/>
      <c r="BH485" s="436"/>
      <c r="BI485" s="275"/>
      <c r="BJ485" s="275"/>
      <c r="BK485" s="291"/>
      <c r="BL485" s="291"/>
      <c r="BM485" s="275"/>
      <c r="BN485" s="275"/>
      <c r="BO485" s="438"/>
      <c r="BP485" s="436"/>
      <c r="BQ485" s="275"/>
      <c r="BR485" s="275"/>
      <c r="BS485" s="275"/>
      <c r="BT485" s="275"/>
      <c r="BU485" s="275"/>
      <c r="BV485" s="275"/>
      <c r="BW485" s="275"/>
      <c r="BX485" s="438"/>
      <c r="BY485" s="436"/>
      <c r="BZ485" s="275"/>
      <c r="CA485" s="275"/>
      <c r="CB485" s="275"/>
      <c r="CC485" s="275"/>
      <c r="CD485" s="275"/>
      <c r="CE485" s="275"/>
      <c r="CF485" s="275"/>
      <c r="CG485" s="438"/>
      <c r="CH485" s="436"/>
      <c r="CI485" s="275"/>
      <c r="CJ485" s="275"/>
      <c r="CK485" s="275"/>
      <c r="CL485" s="275"/>
      <c r="CM485" s="275"/>
      <c r="CN485" s="275"/>
      <c r="CO485" s="442"/>
      <c r="CP485" s="443"/>
      <c r="CQ485" s="429">
        <f t="shared" si="58"/>
        <v>0</v>
      </c>
      <c r="CR485" s="430"/>
    </row>
    <row r="486" spans="1:96" ht="25.5" customHeight="1" x14ac:dyDescent="0.2">
      <c r="A486" s="410">
        <f t="shared" si="59"/>
        <v>471</v>
      </c>
      <c r="B486" s="280"/>
      <c r="C486" s="453"/>
      <c r="D486" s="411"/>
      <c r="E486" s="254"/>
      <c r="F486" s="277"/>
      <c r="G486" s="450"/>
      <c r="H486" s="451"/>
      <c r="I486" s="433" t="str">
        <f t="shared" si="53"/>
        <v/>
      </c>
      <c r="J486" s="434">
        <f t="shared" si="54"/>
        <v>0</v>
      </c>
      <c r="K486" s="452"/>
      <c r="L486" s="276"/>
      <c r="M486" s="435"/>
      <c r="N486" s="417" t="str">
        <f t="shared" si="55"/>
        <v/>
      </c>
      <c r="O486" s="418" t="str">
        <f>IF('Data Set up'!$G$40="JUNE",IF(OR($N486=7,$N486=8,$N486=9),1,IF(OR($N486=10,$N486=11,$N486=12),2,IF(OR($N486=1,$N486=2,$N486=3),3,IF(OR($N486=4,$N486=5,$N486=6),4,"")))),IF(OR($N486=9,$N486=10,$N486=11),1,IF(OR($N486=12,$N486=1,$N486=2),2,IF(OR($N486=3,$N486=4,$N486=5),3,IF(OR($N486=6,$N486=7,$N486=8),4,"")))))</f>
        <v/>
      </c>
      <c r="P486" s="445"/>
      <c r="Q486" s="291"/>
      <c r="R486" s="291"/>
      <c r="S486" s="275"/>
      <c r="T486" s="275"/>
      <c r="U486" s="275"/>
      <c r="V486" s="275"/>
      <c r="W486" s="275"/>
      <c r="X486" s="275"/>
      <c r="Y486" s="275"/>
      <c r="Z486" s="275"/>
      <c r="AA486" s="275"/>
      <c r="AB486" s="275"/>
      <c r="AC486" s="275"/>
      <c r="AD486" s="275"/>
      <c r="AE486" s="275"/>
      <c r="AF486" s="275"/>
      <c r="AG486" s="275"/>
      <c r="AH486" s="438"/>
      <c r="AI486" s="439">
        <f t="shared" si="56"/>
        <v>0</v>
      </c>
      <c r="AJ486" s="263"/>
      <c r="AK486" s="263"/>
      <c r="AL486" s="263"/>
      <c r="AM486" s="263"/>
      <c r="AN486" s="263"/>
      <c r="AO486" s="263"/>
      <c r="AP486" s="263"/>
      <c r="AQ486" s="436"/>
      <c r="AR486" s="275"/>
      <c r="AS486" s="275"/>
      <c r="AT486" s="275"/>
      <c r="AU486" s="275"/>
      <c r="AV486" s="275"/>
      <c r="AW486" s="275"/>
      <c r="AX486" s="275"/>
      <c r="AY486" s="437"/>
      <c r="AZ486" s="440">
        <f t="shared" si="57"/>
        <v>0</v>
      </c>
      <c r="BA486" s="275"/>
      <c r="BB486" s="275"/>
      <c r="BC486" s="275"/>
      <c r="BD486" s="275"/>
      <c r="BE486" s="275"/>
      <c r="BF486" s="275"/>
      <c r="BG486" s="275"/>
      <c r="BH486" s="436"/>
      <c r="BI486" s="275"/>
      <c r="BJ486" s="275"/>
      <c r="BK486" s="291"/>
      <c r="BL486" s="291"/>
      <c r="BM486" s="275"/>
      <c r="BN486" s="275"/>
      <c r="BO486" s="438"/>
      <c r="BP486" s="436"/>
      <c r="BQ486" s="275"/>
      <c r="BR486" s="275"/>
      <c r="BS486" s="275"/>
      <c r="BT486" s="275"/>
      <c r="BU486" s="275"/>
      <c r="BV486" s="275"/>
      <c r="BW486" s="275"/>
      <c r="BX486" s="438"/>
      <c r="BY486" s="436"/>
      <c r="BZ486" s="275"/>
      <c r="CA486" s="275"/>
      <c r="CB486" s="275"/>
      <c r="CC486" s="275"/>
      <c r="CD486" s="275"/>
      <c r="CE486" s="275"/>
      <c r="CF486" s="275"/>
      <c r="CG486" s="438"/>
      <c r="CH486" s="436"/>
      <c r="CI486" s="275"/>
      <c r="CJ486" s="275"/>
      <c r="CK486" s="275"/>
      <c r="CL486" s="275"/>
      <c r="CM486" s="275"/>
      <c r="CN486" s="275"/>
      <c r="CO486" s="442"/>
      <c r="CP486" s="443"/>
      <c r="CQ486" s="429">
        <f t="shared" si="58"/>
        <v>0</v>
      </c>
      <c r="CR486" s="430"/>
    </row>
    <row r="487" spans="1:96" ht="25.5" customHeight="1" x14ac:dyDescent="0.2">
      <c r="A487" s="410">
        <f t="shared" si="59"/>
        <v>472</v>
      </c>
      <c r="B487" s="280"/>
      <c r="C487" s="453"/>
      <c r="D487" s="411"/>
      <c r="E487" s="254"/>
      <c r="F487" s="277"/>
      <c r="G487" s="450"/>
      <c r="H487" s="451"/>
      <c r="I487" s="433" t="str">
        <f t="shared" si="53"/>
        <v/>
      </c>
      <c r="J487" s="434">
        <f t="shared" si="54"/>
        <v>0</v>
      </c>
      <c r="K487" s="452"/>
      <c r="L487" s="276"/>
      <c r="M487" s="435"/>
      <c r="N487" s="417" t="str">
        <f t="shared" si="55"/>
        <v/>
      </c>
      <c r="O487" s="418" t="str">
        <f>IF('Data Set up'!$G$40="JUNE",IF(OR($N487=7,$N487=8,$N487=9),1,IF(OR($N487=10,$N487=11,$N487=12),2,IF(OR($N487=1,$N487=2,$N487=3),3,IF(OR($N487=4,$N487=5,$N487=6),4,"")))),IF(OR($N487=9,$N487=10,$N487=11),1,IF(OR($N487=12,$N487=1,$N487=2),2,IF(OR($N487=3,$N487=4,$N487=5),3,IF(OR($N487=6,$N487=7,$N487=8),4,"")))))</f>
        <v/>
      </c>
      <c r="P487" s="445"/>
      <c r="Q487" s="291"/>
      <c r="R487" s="291"/>
      <c r="S487" s="275"/>
      <c r="T487" s="275"/>
      <c r="U487" s="275"/>
      <c r="V487" s="275"/>
      <c r="W487" s="275"/>
      <c r="X487" s="275"/>
      <c r="Y487" s="275"/>
      <c r="Z487" s="275"/>
      <c r="AA487" s="275"/>
      <c r="AB487" s="275"/>
      <c r="AC487" s="275"/>
      <c r="AD487" s="275"/>
      <c r="AE487" s="275"/>
      <c r="AF487" s="275"/>
      <c r="AG487" s="275"/>
      <c r="AH487" s="438"/>
      <c r="AI487" s="439">
        <f t="shared" si="56"/>
        <v>0</v>
      </c>
      <c r="AJ487" s="263"/>
      <c r="AK487" s="263"/>
      <c r="AL487" s="263"/>
      <c r="AM487" s="263"/>
      <c r="AN487" s="263"/>
      <c r="AO487" s="263"/>
      <c r="AP487" s="263"/>
      <c r="AQ487" s="436"/>
      <c r="AR487" s="275"/>
      <c r="AS487" s="275"/>
      <c r="AT487" s="275"/>
      <c r="AU487" s="275"/>
      <c r="AV487" s="275"/>
      <c r="AW487" s="275"/>
      <c r="AX487" s="275"/>
      <c r="AY487" s="437"/>
      <c r="AZ487" s="440">
        <f t="shared" si="57"/>
        <v>0</v>
      </c>
      <c r="BA487" s="275"/>
      <c r="BB487" s="275"/>
      <c r="BC487" s="275"/>
      <c r="BD487" s="275"/>
      <c r="BE487" s="275"/>
      <c r="BF487" s="275"/>
      <c r="BG487" s="275"/>
      <c r="BH487" s="436"/>
      <c r="BI487" s="275"/>
      <c r="BJ487" s="275"/>
      <c r="BK487" s="291"/>
      <c r="BL487" s="291"/>
      <c r="BM487" s="275"/>
      <c r="BN487" s="275"/>
      <c r="BO487" s="438"/>
      <c r="BP487" s="436"/>
      <c r="BQ487" s="275"/>
      <c r="BR487" s="275"/>
      <c r="BS487" s="275"/>
      <c r="BT487" s="275"/>
      <c r="BU487" s="275"/>
      <c r="BV487" s="275"/>
      <c r="BW487" s="275"/>
      <c r="BX487" s="438"/>
      <c r="BY487" s="436"/>
      <c r="BZ487" s="275"/>
      <c r="CA487" s="275"/>
      <c r="CB487" s="275"/>
      <c r="CC487" s="275"/>
      <c r="CD487" s="275"/>
      <c r="CE487" s="275"/>
      <c r="CF487" s="275"/>
      <c r="CG487" s="438"/>
      <c r="CH487" s="436"/>
      <c r="CI487" s="275"/>
      <c r="CJ487" s="275"/>
      <c r="CK487" s="275"/>
      <c r="CL487" s="275"/>
      <c r="CM487" s="275"/>
      <c r="CN487" s="275"/>
      <c r="CO487" s="442"/>
      <c r="CP487" s="443"/>
      <c r="CQ487" s="429">
        <f t="shared" si="58"/>
        <v>0</v>
      </c>
      <c r="CR487" s="430"/>
    </row>
    <row r="488" spans="1:96" ht="25.5" customHeight="1" x14ac:dyDescent="0.2">
      <c r="A488" s="410">
        <f t="shared" si="59"/>
        <v>473</v>
      </c>
      <c r="B488" s="280"/>
      <c r="C488" s="453"/>
      <c r="D488" s="411"/>
      <c r="E488" s="254"/>
      <c r="F488" s="277"/>
      <c r="G488" s="450"/>
      <c r="H488" s="451"/>
      <c r="I488" s="433" t="str">
        <f t="shared" si="53"/>
        <v/>
      </c>
      <c r="J488" s="434">
        <f t="shared" si="54"/>
        <v>0</v>
      </c>
      <c r="K488" s="452"/>
      <c r="L488" s="276"/>
      <c r="M488" s="435"/>
      <c r="N488" s="417" t="str">
        <f t="shared" si="55"/>
        <v/>
      </c>
      <c r="O488" s="418" t="str">
        <f>IF('Data Set up'!$G$40="JUNE",IF(OR($N488=7,$N488=8,$N488=9),1,IF(OR($N488=10,$N488=11,$N488=12),2,IF(OR($N488=1,$N488=2,$N488=3),3,IF(OR($N488=4,$N488=5,$N488=6),4,"")))),IF(OR($N488=9,$N488=10,$N488=11),1,IF(OR($N488=12,$N488=1,$N488=2),2,IF(OR($N488=3,$N488=4,$N488=5),3,IF(OR($N488=6,$N488=7,$N488=8),4,"")))))</f>
        <v/>
      </c>
      <c r="P488" s="445"/>
      <c r="Q488" s="291"/>
      <c r="R488" s="291"/>
      <c r="S488" s="275"/>
      <c r="T488" s="275"/>
      <c r="U488" s="275"/>
      <c r="V488" s="275"/>
      <c r="W488" s="275"/>
      <c r="X488" s="275"/>
      <c r="Y488" s="275"/>
      <c r="Z488" s="275"/>
      <c r="AA488" s="275"/>
      <c r="AB488" s="275"/>
      <c r="AC488" s="275"/>
      <c r="AD488" s="275"/>
      <c r="AE488" s="275"/>
      <c r="AF488" s="275"/>
      <c r="AG488" s="275"/>
      <c r="AH488" s="438"/>
      <c r="AI488" s="439">
        <f t="shared" si="56"/>
        <v>0</v>
      </c>
      <c r="AJ488" s="263"/>
      <c r="AK488" s="263"/>
      <c r="AL488" s="263"/>
      <c r="AM488" s="263"/>
      <c r="AN488" s="263"/>
      <c r="AO488" s="263"/>
      <c r="AP488" s="263"/>
      <c r="AQ488" s="436"/>
      <c r="AR488" s="275"/>
      <c r="AS488" s="275"/>
      <c r="AT488" s="275"/>
      <c r="AU488" s="275"/>
      <c r="AV488" s="275"/>
      <c r="AW488" s="275"/>
      <c r="AX488" s="275"/>
      <c r="AY488" s="437"/>
      <c r="AZ488" s="440">
        <f t="shared" si="57"/>
        <v>0</v>
      </c>
      <c r="BA488" s="275"/>
      <c r="BB488" s="275"/>
      <c r="BC488" s="275"/>
      <c r="BD488" s="275"/>
      <c r="BE488" s="275"/>
      <c r="BF488" s="275"/>
      <c r="BG488" s="275"/>
      <c r="BH488" s="436"/>
      <c r="BI488" s="275"/>
      <c r="BJ488" s="275"/>
      <c r="BK488" s="291"/>
      <c r="BL488" s="291"/>
      <c r="BM488" s="275"/>
      <c r="BN488" s="275"/>
      <c r="BO488" s="438"/>
      <c r="BP488" s="436"/>
      <c r="BQ488" s="275"/>
      <c r="BR488" s="275"/>
      <c r="BS488" s="275"/>
      <c r="BT488" s="275"/>
      <c r="BU488" s="275"/>
      <c r="BV488" s="275"/>
      <c r="BW488" s="275"/>
      <c r="BX488" s="438"/>
      <c r="BY488" s="436"/>
      <c r="BZ488" s="275"/>
      <c r="CA488" s="275"/>
      <c r="CB488" s="275"/>
      <c r="CC488" s="275"/>
      <c r="CD488" s="275"/>
      <c r="CE488" s="275"/>
      <c r="CF488" s="275"/>
      <c r="CG488" s="438"/>
      <c r="CH488" s="436"/>
      <c r="CI488" s="275"/>
      <c r="CJ488" s="275"/>
      <c r="CK488" s="275"/>
      <c r="CL488" s="275"/>
      <c r="CM488" s="275"/>
      <c r="CN488" s="275"/>
      <c r="CO488" s="442"/>
      <c r="CP488" s="443"/>
      <c r="CQ488" s="429">
        <f t="shared" si="58"/>
        <v>0</v>
      </c>
      <c r="CR488" s="430"/>
    </row>
    <row r="489" spans="1:96" ht="25.5" customHeight="1" x14ac:dyDescent="0.2">
      <c r="A489" s="410">
        <f t="shared" si="59"/>
        <v>474</v>
      </c>
      <c r="B489" s="280"/>
      <c r="C489" s="453"/>
      <c r="D489" s="411"/>
      <c r="E489" s="254"/>
      <c r="F489" s="277"/>
      <c r="G489" s="450"/>
      <c r="H489" s="451"/>
      <c r="I489" s="433" t="str">
        <f t="shared" si="53"/>
        <v/>
      </c>
      <c r="J489" s="434">
        <f t="shared" si="54"/>
        <v>0</v>
      </c>
      <c r="K489" s="452"/>
      <c r="L489" s="276"/>
      <c r="M489" s="435"/>
      <c r="N489" s="417" t="str">
        <f t="shared" si="55"/>
        <v/>
      </c>
      <c r="O489" s="418" t="str">
        <f>IF('Data Set up'!$G$40="JUNE",IF(OR($N489=7,$N489=8,$N489=9),1,IF(OR($N489=10,$N489=11,$N489=12),2,IF(OR($N489=1,$N489=2,$N489=3),3,IF(OR($N489=4,$N489=5,$N489=6),4,"")))),IF(OR($N489=9,$N489=10,$N489=11),1,IF(OR($N489=12,$N489=1,$N489=2),2,IF(OR($N489=3,$N489=4,$N489=5),3,IF(OR($N489=6,$N489=7,$N489=8),4,"")))))</f>
        <v/>
      </c>
      <c r="P489" s="445"/>
      <c r="Q489" s="291"/>
      <c r="R489" s="291"/>
      <c r="S489" s="275"/>
      <c r="T489" s="275"/>
      <c r="U489" s="275"/>
      <c r="V489" s="275"/>
      <c r="W489" s="275"/>
      <c r="X489" s="275"/>
      <c r="Y489" s="275"/>
      <c r="Z489" s="275"/>
      <c r="AA489" s="275"/>
      <c r="AB489" s="275"/>
      <c r="AC489" s="275"/>
      <c r="AD489" s="275"/>
      <c r="AE489" s="275"/>
      <c r="AF489" s="275"/>
      <c r="AG489" s="275"/>
      <c r="AH489" s="438"/>
      <c r="AI489" s="439">
        <f t="shared" si="56"/>
        <v>0</v>
      </c>
      <c r="AJ489" s="263"/>
      <c r="AK489" s="263"/>
      <c r="AL489" s="263"/>
      <c r="AM489" s="263"/>
      <c r="AN489" s="263"/>
      <c r="AO489" s="263"/>
      <c r="AP489" s="263"/>
      <c r="AQ489" s="436"/>
      <c r="AR489" s="275"/>
      <c r="AS489" s="275"/>
      <c r="AT489" s="275"/>
      <c r="AU489" s="275"/>
      <c r="AV489" s="275"/>
      <c r="AW489" s="275"/>
      <c r="AX489" s="275"/>
      <c r="AY489" s="437"/>
      <c r="AZ489" s="440">
        <f t="shared" si="57"/>
        <v>0</v>
      </c>
      <c r="BA489" s="275"/>
      <c r="BB489" s="275"/>
      <c r="BC489" s="275"/>
      <c r="BD489" s="275"/>
      <c r="BE489" s="275"/>
      <c r="BF489" s="275"/>
      <c r="BG489" s="275"/>
      <c r="BH489" s="436"/>
      <c r="BI489" s="275"/>
      <c r="BJ489" s="275"/>
      <c r="BK489" s="291"/>
      <c r="BL489" s="291"/>
      <c r="BM489" s="275"/>
      <c r="BN489" s="275"/>
      <c r="BO489" s="438"/>
      <c r="BP489" s="436"/>
      <c r="BQ489" s="275"/>
      <c r="BR489" s="275"/>
      <c r="BS489" s="275"/>
      <c r="BT489" s="275"/>
      <c r="BU489" s="275"/>
      <c r="BV489" s="275"/>
      <c r="BW489" s="275"/>
      <c r="BX489" s="438"/>
      <c r="BY489" s="436"/>
      <c r="BZ489" s="275"/>
      <c r="CA489" s="275"/>
      <c r="CB489" s="275"/>
      <c r="CC489" s="275"/>
      <c r="CD489" s="275"/>
      <c r="CE489" s="275"/>
      <c r="CF489" s="275"/>
      <c r="CG489" s="438"/>
      <c r="CH489" s="436"/>
      <c r="CI489" s="275"/>
      <c r="CJ489" s="275"/>
      <c r="CK489" s="275"/>
      <c r="CL489" s="275"/>
      <c r="CM489" s="275"/>
      <c r="CN489" s="275"/>
      <c r="CO489" s="442"/>
      <c r="CP489" s="443"/>
      <c r="CQ489" s="429">
        <f t="shared" si="58"/>
        <v>0</v>
      </c>
      <c r="CR489" s="430"/>
    </row>
    <row r="490" spans="1:96" ht="25.5" customHeight="1" x14ac:dyDescent="0.2">
      <c r="A490" s="410">
        <f t="shared" si="59"/>
        <v>475</v>
      </c>
      <c r="B490" s="280"/>
      <c r="C490" s="453"/>
      <c r="D490" s="411"/>
      <c r="E490" s="254"/>
      <c r="F490" s="277"/>
      <c r="G490" s="450"/>
      <c r="H490" s="451"/>
      <c r="I490" s="433" t="str">
        <f t="shared" si="53"/>
        <v/>
      </c>
      <c r="J490" s="434">
        <f t="shared" si="54"/>
        <v>0</v>
      </c>
      <c r="K490" s="452"/>
      <c r="L490" s="276"/>
      <c r="M490" s="435"/>
      <c r="N490" s="417" t="str">
        <f t="shared" si="55"/>
        <v/>
      </c>
      <c r="O490" s="418" t="str">
        <f>IF('Data Set up'!$G$40="JUNE",IF(OR($N490=7,$N490=8,$N490=9),1,IF(OR($N490=10,$N490=11,$N490=12),2,IF(OR($N490=1,$N490=2,$N490=3),3,IF(OR($N490=4,$N490=5,$N490=6),4,"")))),IF(OR($N490=9,$N490=10,$N490=11),1,IF(OR($N490=12,$N490=1,$N490=2),2,IF(OR($N490=3,$N490=4,$N490=5),3,IF(OR($N490=6,$N490=7,$N490=8),4,"")))))</f>
        <v/>
      </c>
      <c r="P490" s="445"/>
      <c r="Q490" s="291"/>
      <c r="R490" s="291"/>
      <c r="S490" s="275"/>
      <c r="T490" s="275"/>
      <c r="U490" s="275"/>
      <c r="V490" s="275"/>
      <c r="W490" s="275"/>
      <c r="X490" s="275"/>
      <c r="Y490" s="275"/>
      <c r="Z490" s="275"/>
      <c r="AA490" s="275"/>
      <c r="AB490" s="275"/>
      <c r="AC490" s="275"/>
      <c r="AD490" s="275"/>
      <c r="AE490" s="275"/>
      <c r="AF490" s="275"/>
      <c r="AG490" s="275"/>
      <c r="AH490" s="438"/>
      <c r="AI490" s="439">
        <f t="shared" si="56"/>
        <v>0</v>
      </c>
      <c r="AJ490" s="263"/>
      <c r="AK490" s="263"/>
      <c r="AL490" s="263"/>
      <c r="AM490" s="263"/>
      <c r="AN490" s="263"/>
      <c r="AO490" s="263"/>
      <c r="AP490" s="263"/>
      <c r="AQ490" s="436"/>
      <c r="AR490" s="275"/>
      <c r="AS490" s="275"/>
      <c r="AT490" s="275"/>
      <c r="AU490" s="275"/>
      <c r="AV490" s="275"/>
      <c r="AW490" s="275"/>
      <c r="AX490" s="275"/>
      <c r="AY490" s="437"/>
      <c r="AZ490" s="440">
        <f t="shared" si="57"/>
        <v>0</v>
      </c>
      <c r="BA490" s="275"/>
      <c r="BB490" s="275"/>
      <c r="BC490" s="275"/>
      <c r="BD490" s="275"/>
      <c r="BE490" s="275"/>
      <c r="BF490" s="275"/>
      <c r="BG490" s="275"/>
      <c r="BH490" s="436"/>
      <c r="BI490" s="275"/>
      <c r="BJ490" s="275"/>
      <c r="BK490" s="291"/>
      <c r="BL490" s="291"/>
      <c r="BM490" s="275"/>
      <c r="BN490" s="275"/>
      <c r="BO490" s="438"/>
      <c r="BP490" s="436"/>
      <c r="BQ490" s="275"/>
      <c r="BR490" s="275"/>
      <c r="BS490" s="275"/>
      <c r="BT490" s="275"/>
      <c r="BU490" s="275"/>
      <c r="BV490" s="275"/>
      <c r="BW490" s="275"/>
      <c r="BX490" s="438"/>
      <c r="BY490" s="436"/>
      <c r="BZ490" s="275"/>
      <c r="CA490" s="275"/>
      <c r="CB490" s="275"/>
      <c r="CC490" s="275"/>
      <c r="CD490" s="275"/>
      <c r="CE490" s="275"/>
      <c r="CF490" s="275"/>
      <c r="CG490" s="438"/>
      <c r="CH490" s="436"/>
      <c r="CI490" s="275"/>
      <c r="CJ490" s="275"/>
      <c r="CK490" s="275"/>
      <c r="CL490" s="275"/>
      <c r="CM490" s="275"/>
      <c r="CN490" s="275"/>
      <c r="CO490" s="442"/>
      <c r="CP490" s="443"/>
      <c r="CQ490" s="429">
        <f t="shared" si="58"/>
        <v>0</v>
      </c>
      <c r="CR490" s="430"/>
    </row>
    <row r="491" spans="1:96" ht="25.5" customHeight="1" x14ac:dyDescent="0.2">
      <c r="A491" s="410">
        <f t="shared" si="59"/>
        <v>476</v>
      </c>
      <c r="B491" s="280"/>
      <c r="C491" s="453"/>
      <c r="D491" s="411"/>
      <c r="E491" s="254"/>
      <c r="F491" s="277"/>
      <c r="G491" s="450"/>
      <c r="H491" s="451"/>
      <c r="I491" s="433" t="str">
        <f t="shared" si="53"/>
        <v/>
      </c>
      <c r="J491" s="434">
        <f t="shared" si="54"/>
        <v>0</v>
      </c>
      <c r="K491" s="452"/>
      <c r="L491" s="276"/>
      <c r="M491" s="435"/>
      <c r="N491" s="417" t="str">
        <f t="shared" si="55"/>
        <v/>
      </c>
      <c r="O491" s="418" t="str">
        <f>IF('Data Set up'!$G$40="JUNE",IF(OR($N491=7,$N491=8,$N491=9),1,IF(OR($N491=10,$N491=11,$N491=12),2,IF(OR($N491=1,$N491=2,$N491=3),3,IF(OR($N491=4,$N491=5,$N491=6),4,"")))),IF(OR($N491=9,$N491=10,$N491=11),1,IF(OR($N491=12,$N491=1,$N491=2),2,IF(OR($N491=3,$N491=4,$N491=5),3,IF(OR($N491=6,$N491=7,$N491=8),4,"")))))</f>
        <v/>
      </c>
      <c r="P491" s="445"/>
      <c r="Q491" s="291"/>
      <c r="R491" s="291"/>
      <c r="S491" s="275"/>
      <c r="T491" s="275"/>
      <c r="U491" s="275"/>
      <c r="V491" s="275"/>
      <c r="W491" s="275"/>
      <c r="X491" s="275"/>
      <c r="Y491" s="275"/>
      <c r="Z491" s="275"/>
      <c r="AA491" s="275"/>
      <c r="AB491" s="275"/>
      <c r="AC491" s="275"/>
      <c r="AD491" s="275"/>
      <c r="AE491" s="275"/>
      <c r="AF491" s="275"/>
      <c r="AG491" s="275"/>
      <c r="AH491" s="438"/>
      <c r="AI491" s="439">
        <f t="shared" si="56"/>
        <v>0</v>
      </c>
      <c r="AJ491" s="263"/>
      <c r="AK491" s="263"/>
      <c r="AL491" s="263"/>
      <c r="AM491" s="263"/>
      <c r="AN491" s="263"/>
      <c r="AO491" s="263"/>
      <c r="AP491" s="263"/>
      <c r="AQ491" s="436"/>
      <c r="AR491" s="275"/>
      <c r="AS491" s="275"/>
      <c r="AT491" s="275"/>
      <c r="AU491" s="275"/>
      <c r="AV491" s="275"/>
      <c r="AW491" s="275"/>
      <c r="AX491" s="275"/>
      <c r="AY491" s="437"/>
      <c r="AZ491" s="440">
        <f t="shared" si="57"/>
        <v>0</v>
      </c>
      <c r="BA491" s="275"/>
      <c r="BB491" s="275"/>
      <c r="BC491" s="275"/>
      <c r="BD491" s="275"/>
      <c r="BE491" s="275"/>
      <c r="BF491" s="275"/>
      <c r="BG491" s="275"/>
      <c r="BH491" s="436"/>
      <c r="BI491" s="275"/>
      <c r="BJ491" s="275"/>
      <c r="BK491" s="291"/>
      <c r="BL491" s="291"/>
      <c r="BM491" s="275"/>
      <c r="BN491" s="275"/>
      <c r="BO491" s="438"/>
      <c r="BP491" s="436"/>
      <c r="BQ491" s="275"/>
      <c r="BR491" s="275"/>
      <c r="BS491" s="275"/>
      <c r="BT491" s="275"/>
      <c r="BU491" s="275"/>
      <c r="BV491" s="275"/>
      <c r="BW491" s="275"/>
      <c r="BX491" s="438"/>
      <c r="BY491" s="436"/>
      <c r="BZ491" s="275"/>
      <c r="CA491" s="275"/>
      <c r="CB491" s="275"/>
      <c r="CC491" s="275"/>
      <c r="CD491" s="275"/>
      <c r="CE491" s="275"/>
      <c r="CF491" s="275"/>
      <c r="CG491" s="438"/>
      <c r="CH491" s="436"/>
      <c r="CI491" s="275"/>
      <c r="CJ491" s="275"/>
      <c r="CK491" s="275"/>
      <c r="CL491" s="275"/>
      <c r="CM491" s="275"/>
      <c r="CN491" s="275"/>
      <c r="CO491" s="442"/>
      <c r="CP491" s="443"/>
      <c r="CQ491" s="429">
        <f t="shared" si="58"/>
        <v>0</v>
      </c>
      <c r="CR491" s="430"/>
    </row>
    <row r="492" spans="1:96" ht="25.5" customHeight="1" x14ac:dyDescent="0.2">
      <c r="A492" s="410">
        <f t="shared" si="59"/>
        <v>477</v>
      </c>
      <c r="B492" s="280"/>
      <c r="C492" s="453"/>
      <c r="D492" s="411"/>
      <c r="E492" s="254"/>
      <c r="F492" s="277"/>
      <c r="G492" s="450"/>
      <c r="H492" s="451"/>
      <c r="I492" s="433" t="str">
        <f t="shared" si="53"/>
        <v/>
      </c>
      <c r="J492" s="434">
        <f t="shared" si="54"/>
        <v>0</v>
      </c>
      <c r="K492" s="452"/>
      <c r="L492" s="276"/>
      <c r="M492" s="435"/>
      <c r="N492" s="417" t="str">
        <f t="shared" si="55"/>
        <v/>
      </c>
      <c r="O492" s="418" t="str">
        <f>IF('Data Set up'!$G$40="JUNE",IF(OR($N492=7,$N492=8,$N492=9),1,IF(OR($N492=10,$N492=11,$N492=12),2,IF(OR($N492=1,$N492=2,$N492=3),3,IF(OR($N492=4,$N492=5,$N492=6),4,"")))),IF(OR($N492=9,$N492=10,$N492=11),1,IF(OR($N492=12,$N492=1,$N492=2),2,IF(OR($N492=3,$N492=4,$N492=5),3,IF(OR($N492=6,$N492=7,$N492=8),4,"")))))</f>
        <v/>
      </c>
      <c r="P492" s="445"/>
      <c r="Q492" s="291"/>
      <c r="R492" s="291"/>
      <c r="S492" s="275"/>
      <c r="T492" s="275"/>
      <c r="U492" s="275"/>
      <c r="V492" s="275"/>
      <c r="W492" s="275"/>
      <c r="X492" s="275"/>
      <c r="Y492" s="275"/>
      <c r="Z492" s="275"/>
      <c r="AA492" s="275"/>
      <c r="AB492" s="275"/>
      <c r="AC492" s="275"/>
      <c r="AD492" s="275"/>
      <c r="AE492" s="275"/>
      <c r="AF492" s="275"/>
      <c r="AG492" s="275"/>
      <c r="AH492" s="438"/>
      <c r="AI492" s="439">
        <f t="shared" si="56"/>
        <v>0</v>
      </c>
      <c r="AJ492" s="263"/>
      <c r="AK492" s="263"/>
      <c r="AL492" s="263"/>
      <c r="AM492" s="263"/>
      <c r="AN492" s="263"/>
      <c r="AO492" s="263"/>
      <c r="AP492" s="263"/>
      <c r="AQ492" s="436"/>
      <c r="AR492" s="275"/>
      <c r="AS492" s="275"/>
      <c r="AT492" s="275"/>
      <c r="AU492" s="275"/>
      <c r="AV492" s="275"/>
      <c r="AW492" s="275"/>
      <c r="AX492" s="275"/>
      <c r="AY492" s="437"/>
      <c r="AZ492" s="440">
        <f t="shared" si="57"/>
        <v>0</v>
      </c>
      <c r="BA492" s="275"/>
      <c r="BB492" s="275"/>
      <c r="BC492" s="275"/>
      <c r="BD492" s="275"/>
      <c r="BE492" s="275"/>
      <c r="BF492" s="275"/>
      <c r="BG492" s="275"/>
      <c r="BH492" s="436"/>
      <c r="BI492" s="275"/>
      <c r="BJ492" s="275"/>
      <c r="BK492" s="291"/>
      <c r="BL492" s="291"/>
      <c r="BM492" s="275"/>
      <c r="BN492" s="275"/>
      <c r="BO492" s="438"/>
      <c r="BP492" s="436"/>
      <c r="BQ492" s="275"/>
      <c r="BR492" s="275"/>
      <c r="BS492" s="275"/>
      <c r="BT492" s="275"/>
      <c r="BU492" s="275"/>
      <c r="BV492" s="275"/>
      <c r="BW492" s="275"/>
      <c r="BX492" s="438"/>
      <c r="BY492" s="436"/>
      <c r="BZ492" s="275"/>
      <c r="CA492" s="275"/>
      <c r="CB492" s="275"/>
      <c r="CC492" s="275"/>
      <c r="CD492" s="275"/>
      <c r="CE492" s="275"/>
      <c r="CF492" s="275"/>
      <c r="CG492" s="438"/>
      <c r="CH492" s="436"/>
      <c r="CI492" s="275"/>
      <c r="CJ492" s="275"/>
      <c r="CK492" s="275"/>
      <c r="CL492" s="275"/>
      <c r="CM492" s="275"/>
      <c r="CN492" s="275"/>
      <c r="CO492" s="442"/>
      <c r="CP492" s="443"/>
      <c r="CQ492" s="429">
        <f t="shared" si="58"/>
        <v>0</v>
      </c>
      <c r="CR492" s="430"/>
    </row>
    <row r="493" spans="1:96" ht="25.5" customHeight="1" x14ac:dyDescent="0.2">
      <c r="A493" s="410">
        <f t="shared" si="59"/>
        <v>478</v>
      </c>
      <c r="B493" s="280"/>
      <c r="C493" s="453"/>
      <c r="D493" s="411"/>
      <c r="E493" s="254"/>
      <c r="F493" s="277"/>
      <c r="G493" s="450"/>
      <c r="H493" s="451"/>
      <c r="I493" s="433" t="str">
        <f t="shared" si="53"/>
        <v/>
      </c>
      <c r="J493" s="434">
        <f t="shared" si="54"/>
        <v>0</v>
      </c>
      <c r="K493" s="452"/>
      <c r="L493" s="276"/>
      <c r="M493" s="435"/>
      <c r="N493" s="417" t="str">
        <f t="shared" si="55"/>
        <v/>
      </c>
      <c r="O493" s="418" t="str">
        <f>IF('Data Set up'!$G$40="JUNE",IF(OR($N493=7,$N493=8,$N493=9),1,IF(OR($N493=10,$N493=11,$N493=12),2,IF(OR($N493=1,$N493=2,$N493=3),3,IF(OR($N493=4,$N493=5,$N493=6),4,"")))),IF(OR($N493=9,$N493=10,$N493=11),1,IF(OR($N493=12,$N493=1,$N493=2),2,IF(OR($N493=3,$N493=4,$N493=5),3,IF(OR($N493=6,$N493=7,$N493=8),4,"")))))</f>
        <v/>
      </c>
      <c r="P493" s="445"/>
      <c r="Q493" s="291"/>
      <c r="R493" s="291"/>
      <c r="S493" s="275"/>
      <c r="T493" s="275"/>
      <c r="U493" s="275"/>
      <c r="V493" s="275"/>
      <c r="W493" s="275"/>
      <c r="X493" s="275"/>
      <c r="Y493" s="275"/>
      <c r="Z493" s="275"/>
      <c r="AA493" s="275"/>
      <c r="AB493" s="275"/>
      <c r="AC493" s="275"/>
      <c r="AD493" s="275"/>
      <c r="AE493" s="275"/>
      <c r="AF493" s="275"/>
      <c r="AG493" s="275"/>
      <c r="AH493" s="438"/>
      <c r="AI493" s="439">
        <f t="shared" si="56"/>
        <v>0</v>
      </c>
      <c r="AJ493" s="263"/>
      <c r="AK493" s="263"/>
      <c r="AL493" s="263"/>
      <c r="AM493" s="263"/>
      <c r="AN493" s="263"/>
      <c r="AO493" s="263"/>
      <c r="AP493" s="263"/>
      <c r="AQ493" s="436"/>
      <c r="AR493" s="275"/>
      <c r="AS493" s="275"/>
      <c r="AT493" s="275"/>
      <c r="AU493" s="275"/>
      <c r="AV493" s="275"/>
      <c r="AW493" s="275"/>
      <c r="AX493" s="275"/>
      <c r="AY493" s="437"/>
      <c r="AZ493" s="440">
        <f t="shared" si="57"/>
        <v>0</v>
      </c>
      <c r="BA493" s="275"/>
      <c r="BB493" s="275"/>
      <c r="BC493" s="275"/>
      <c r="BD493" s="275"/>
      <c r="BE493" s="275"/>
      <c r="BF493" s="275"/>
      <c r="BG493" s="275"/>
      <c r="BH493" s="436"/>
      <c r="BI493" s="275"/>
      <c r="BJ493" s="275"/>
      <c r="BK493" s="291"/>
      <c r="BL493" s="291"/>
      <c r="BM493" s="275"/>
      <c r="BN493" s="275"/>
      <c r="BO493" s="438"/>
      <c r="BP493" s="436"/>
      <c r="BQ493" s="275"/>
      <c r="BR493" s="275"/>
      <c r="BS493" s="275"/>
      <c r="BT493" s="275"/>
      <c r="BU493" s="275"/>
      <c r="BV493" s="275"/>
      <c r="BW493" s="275"/>
      <c r="BX493" s="438"/>
      <c r="BY493" s="436"/>
      <c r="BZ493" s="275"/>
      <c r="CA493" s="275"/>
      <c r="CB493" s="275"/>
      <c r="CC493" s="275"/>
      <c r="CD493" s="275"/>
      <c r="CE493" s="275"/>
      <c r="CF493" s="275"/>
      <c r="CG493" s="438"/>
      <c r="CH493" s="436"/>
      <c r="CI493" s="275"/>
      <c r="CJ493" s="275"/>
      <c r="CK493" s="275"/>
      <c r="CL493" s="275"/>
      <c r="CM493" s="275"/>
      <c r="CN493" s="275"/>
      <c r="CO493" s="442"/>
      <c r="CP493" s="443"/>
      <c r="CQ493" s="429">
        <f t="shared" si="58"/>
        <v>0</v>
      </c>
      <c r="CR493" s="430"/>
    </row>
    <row r="494" spans="1:96" ht="25.5" customHeight="1" x14ac:dyDescent="0.2">
      <c r="A494" s="410">
        <f t="shared" si="59"/>
        <v>479</v>
      </c>
      <c r="B494" s="280"/>
      <c r="C494" s="453"/>
      <c r="D494" s="411"/>
      <c r="E494" s="254"/>
      <c r="F494" s="277"/>
      <c r="G494" s="450"/>
      <c r="H494" s="451"/>
      <c r="I494" s="433" t="str">
        <f t="shared" si="53"/>
        <v/>
      </c>
      <c r="J494" s="434">
        <f t="shared" si="54"/>
        <v>0</v>
      </c>
      <c r="K494" s="452"/>
      <c r="L494" s="276"/>
      <c r="M494" s="435"/>
      <c r="N494" s="417" t="str">
        <f t="shared" si="55"/>
        <v/>
      </c>
      <c r="O494" s="418" t="str">
        <f>IF('Data Set up'!$G$40="JUNE",IF(OR($N494=7,$N494=8,$N494=9),1,IF(OR($N494=10,$N494=11,$N494=12),2,IF(OR($N494=1,$N494=2,$N494=3),3,IF(OR($N494=4,$N494=5,$N494=6),4,"")))),IF(OR($N494=9,$N494=10,$N494=11),1,IF(OR($N494=12,$N494=1,$N494=2),2,IF(OR($N494=3,$N494=4,$N494=5),3,IF(OR($N494=6,$N494=7,$N494=8),4,"")))))</f>
        <v/>
      </c>
      <c r="P494" s="445"/>
      <c r="Q494" s="291"/>
      <c r="R494" s="291"/>
      <c r="S494" s="275"/>
      <c r="T494" s="275"/>
      <c r="U494" s="275"/>
      <c r="V494" s="275"/>
      <c r="W494" s="275"/>
      <c r="X494" s="275"/>
      <c r="Y494" s="275"/>
      <c r="Z494" s="275"/>
      <c r="AA494" s="275"/>
      <c r="AB494" s="275"/>
      <c r="AC494" s="275"/>
      <c r="AD494" s="275"/>
      <c r="AE494" s="275"/>
      <c r="AF494" s="275"/>
      <c r="AG494" s="275"/>
      <c r="AH494" s="438"/>
      <c r="AI494" s="439">
        <f t="shared" si="56"/>
        <v>0</v>
      </c>
      <c r="AJ494" s="263"/>
      <c r="AK494" s="263"/>
      <c r="AL494" s="263"/>
      <c r="AM494" s="263"/>
      <c r="AN494" s="263"/>
      <c r="AO494" s="263"/>
      <c r="AP494" s="263"/>
      <c r="AQ494" s="436"/>
      <c r="AR494" s="275"/>
      <c r="AS494" s="275"/>
      <c r="AT494" s="275"/>
      <c r="AU494" s="275"/>
      <c r="AV494" s="275"/>
      <c r="AW494" s="275"/>
      <c r="AX494" s="275"/>
      <c r="AY494" s="437"/>
      <c r="AZ494" s="440">
        <f t="shared" si="57"/>
        <v>0</v>
      </c>
      <c r="BA494" s="275"/>
      <c r="BB494" s="275"/>
      <c r="BC494" s="275"/>
      <c r="BD494" s="275"/>
      <c r="BE494" s="275"/>
      <c r="BF494" s="275"/>
      <c r="BG494" s="275"/>
      <c r="BH494" s="436"/>
      <c r="BI494" s="275"/>
      <c r="BJ494" s="275"/>
      <c r="BK494" s="291"/>
      <c r="BL494" s="291"/>
      <c r="BM494" s="275"/>
      <c r="BN494" s="275"/>
      <c r="BO494" s="438"/>
      <c r="BP494" s="436"/>
      <c r="BQ494" s="275"/>
      <c r="BR494" s="275"/>
      <c r="BS494" s="275"/>
      <c r="BT494" s="275"/>
      <c r="BU494" s="275"/>
      <c r="BV494" s="275"/>
      <c r="BW494" s="275"/>
      <c r="BX494" s="438"/>
      <c r="BY494" s="436"/>
      <c r="BZ494" s="275"/>
      <c r="CA494" s="275"/>
      <c r="CB494" s="275"/>
      <c r="CC494" s="275"/>
      <c r="CD494" s="275"/>
      <c r="CE494" s="275"/>
      <c r="CF494" s="275"/>
      <c r="CG494" s="438"/>
      <c r="CH494" s="436"/>
      <c r="CI494" s="275"/>
      <c r="CJ494" s="275"/>
      <c r="CK494" s="275"/>
      <c r="CL494" s="275"/>
      <c r="CM494" s="275"/>
      <c r="CN494" s="275"/>
      <c r="CO494" s="442"/>
      <c r="CP494" s="443"/>
      <c r="CQ494" s="429">
        <f t="shared" si="58"/>
        <v>0</v>
      </c>
      <c r="CR494" s="430"/>
    </row>
    <row r="495" spans="1:96" ht="25.5" customHeight="1" x14ac:dyDescent="0.2">
      <c r="A495" s="410">
        <f t="shared" si="59"/>
        <v>480</v>
      </c>
      <c r="B495" s="280"/>
      <c r="C495" s="453"/>
      <c r="D495" s="411"/>
      <c r="E495" s="254"/>
      <c r="F495" s="277"/>
      <c r="G495" s="450"/>
      <c r="H495" s="451"/>
      <c r="I495" s="433" t="str">
        <f t="shared" si="53"/>
        <v/>
      </c>
      <c r="J495" s="434">
        <f t="shared" si="54"/>
        <v>0</v>
      </c>
      <c r="K495" s="452"/>
      <c r="L495" s="276"/>
      <c r="M495" s="435"/>
      <c r="N495" s="417" t="str">
        <f t="shared" si="55"/>
        <v/>
      </c>
      <c r="O495" s="418" t="str">
        <f>IF('Data Set up'!$G$40="JUNE",IF(OR($N495=7,$N495=8,$N495=9),1,IF(OR($N495=10,$N495=11,$N495=12),2,IF(OR($N495=1,$N495=2,$N495=3),3,IF(OR($N495=4,$N495=5,$N495=6),4,"")))),IF(OR($N495=9,$N495=10,$N495=11),1,IF(OR($N495=12,$N495=1,$N495=2),2,IF(OR($N495=3,$N495=4,$N495=5),3,IF(OR($N495=6,$N495=7,$N495=8),4,"")))))</f>
        <v/>
      </c>
      <c r="P495" s="445"/>
      <c r="Q495" s="291"/>
      <c r="R495" s="291"/>
      <c r="S495" s="275"/>
      <c r="T495" s="275"/>
      <c r="U495" s="275"/>
      <c r="V495" s="275"/>
      <c r="W495" s="275"/>
      <c r="X495" s="275"/>
      <c r="Y495" s="275"/>
      <c r="Z495" s="275"/>
      <c r="AA495" s="275"/>
      <c r="AB495" s="275"/>
      <c r="AC495" s="275"/>
      <c r="AD495" s="275"/>
      <c r="AE495" s="275"/>
      <c r="AF495" s="275"/>
      <c r="AG495" s="275"/>
      <c r="AH495" s="438"/>
      <c r="AI495" s="439">
        <f t="shared" si="56"/>
        <v>0</v>
      </c>
      <c r="AJ495" s="263"/>
      <c r="AK495" s="263"/>
      <c r="AL495" s="263"/>
      <c r="AM495" s="263"/>
      <c r="AN495" s="263"/>
      <c r="AO495" s="263"/>
      <c r="AP495" s="263"/>
      <c r="AQ495" s="436"/>
      <c r="AR495" s="275"/>
      <c r="AS495" s="275"/>
      <c r="AT495" s="275"/>
      <c r="AU495" s="275"/>
      <c r="AV495" s="275"/>
      <c r="AW495" s="275"/>
      <c r="AX495" s="275"/>
      <c r="AY495" s="437"/>
      <c r="AZ495" s="440">
        <f t="shared" si="57"/>
        <v>0</v>
      </c>
      <c r="BA495" s="275"/>
      <c r="BB495" s="275"/>
      <c r="BC495" s="275"/>
      <c r="BD495" s="275"/>
      <c r="BE495" s="275"/>
      <c r="BF495" s="275"/>
      <c r="BG495" s="275"/>
      <c r="BH495" s="436"/>
      <c r="BI495" s="275"/>
      <c r="BJ495" s="275"/>
      <c r="BK495" s="291"/>
      <c r="BL495" s="291"/>
      <c r="BM495" s="275"/>
      <c r="BN495" s="275"/>
      <c r="BO495" s="438"/>
      <c r="BP495" s="436"/>
      <c r="BQ495" s="275"/>
      <c r="BR495" s="275"/>
      <c r="BS495" s="275"/>
      <c r="BT495" s="275"/>
      <c r="BU495" s="275"/>
      <c r="BV495" s="275"/>
      <c r="BW495" s="275"/>
      <c r="BX495" s="438"/>
      <c r="BY495" s="436"/>
      <c r="BZ495" s="275"/>
      <c r="CA495" s="275"/>
      <c r="CB495" s="275"/>
      <c r="CC495" s="275"/>
      <c r="CD495" s="275"/>
      <c r="CE495" s="275"/>
      <c r="CF495" s="275"/>
      <c r="CG495" s="438"/>
      <c r="CH495" s="436"/>
      <c r="CI495" s="275"/>
      <c r="CJ495" s="275"/>
      <c r="CK495" s="275"/>
      <c r="CL495" s="275"/>
      <c r="CM495" s="275"/>
      <c r="CN495" s="275"/>
      <c r="CO495" s="442"/>
      <c r="CP495" s="443"/>
      <c r="CQ495" s="429">
        <f t="shared" si="58"/>
        <v>0</v>
      </c>
      <c r="CR495" s="430"/>
    </row>
    <row r="496" spans="1:96" ht="25.5" customHeight="1" x14ac:dyDescent="0.2">
      <c r="A496" s="410">
        <f t="shared" si="59"/>
        <v>481</v>
      </c>
      <c r="B496" s="280"/>
      <c r="C496" s="453"/>
      <c r="D496" s="411"/>
      <c r="E496" s="254"/>
      <c r="F496" s="277"/>
      <c r="G496" s="450"/>
      <c r="H496" s="451"/>
      <c r="I496" s="433" t="str">
        <f t="shared" si="53"/>
        <v/>
      </c>
      <c r="J496" s="434">
        <f t="shared" si="54"/>
        <v>0</v>
      </c>
      <c r="K496" s="452"/>
      <c r="L496" s="276"/>
      <c r="M496" s="435"/>
      <c r="N496" s="417" t="str">
        <f t="shared" si="55"/>
        <v/>
      </c>
      <c r="O496" s="418" t="str">
        <f>IF('Data Set up'!$G$40="JUNE",IF(OR($N496=7,$N496=8,$N496=9),1,IF(OR($N496=10,$N496=11,$N496=12),2,IF(OR($N496=1,$N496=2,$N496=3),3,IF(OR($N496=4,$N496=5,$N496=6),4,"")))),IF(OR($N496=9,$N496=10,$N496=11),1,IF(OR($N496=12,$N496=1,$N496=2),2,IF(OR($N496=3,$N496=4,$N496=5),3,IF(OR($N496=6,$N496=7,$N496=8),4,"")))))</f>
        <v/>
      </c>
      <c r="P496" s="445"/>
      <c r="Q496" s="291"/>
      <c r="R496" s="291"/>
      <c r="S496" s="275"/>
      <c r="T496" s="275"/>
      <c r="U496" s="275"/>
      <c r="V496" s="275"/>
      <c r="W496" s="275"/>
      <c r="X496" s="275"/>
      <c r="Y496" s="275"/>
      <c r="Z496" s="275"/>
      <c r="AA496" s="275"/>
      <c r="AB496" s="275"/>
      <c r="AC496" s="275"/>
      <c r="AD496" s="275"/>
      <c r="AE496" s="275"/>
      <c r="AF496" s="275"/>
      <c r="AG496" s="275"/>
      <c r="AH496" s="438"/>
      <c r="AI496" s="439">
        <f t="shared" si="56"/>
        <v>0</v>
      </c>
      <c r="AJ496" s="263"/>
      <c r="AK496" s="263"/>
      <c r="AL496" s="263"/>
      <c r="AM496" s="263"/>
      <c r="AN496" s="263"/>
      <c r="AO496" s="263"/>
      <c r="AP496" s="263"/>
      <c r="AQ496" s="436"/>
      <c r="AR496" s="275"/>
      <c r="AS496" s="275"/>
      <c r="AT496" s="275"/>
      <c r="AU496" s="275"/>
      <c r="AV496" s="275"/>
      <c r="AW496" s="275"/>
      <c r="AX496" s="275"/>
      <c r="AY496" s="437"/>
      <c r="AZ496" s="440">
        <f t="shared" si="57"/>
        <v>0</v>
      </c>
      <c r="BA496" s="275"/>
      <c r="BB496" s="275"/>
      <c r="BC496" s="275"/>
      <c r="BD496" s="275"/>
      <c r="BE496" s="275"/>
      <c r="BF496" s="275"/>
      <c r="BG496" s="275"/>
      <c r="BH496" s="436"/>
      <c r="BI496" s="275"/>
      <c r="BJ496" s="275"/>
      <c r="BK496" s="291"/>
      <c r="BL496" s="291"/>
      <c r="BM496" s="275"/>
      <c r="BN496" s="275"/>
      <c r="BO496" s="438"/>
      <c r="BP496" s="436"/>
      <c r="BQ496" s="275"/>
      <c r="BR496" s="275"/>
      <c r="BS496" s="275"/>
      <c r="BT496" s="275"/>
      <c r="BU496" s="275"/>
      <c r="BV496" s="275"/>
      <c r="BW496" s="275"/>
      <c r="BX496" s="438"/>
      <c r="BY496" s="436"/>
      <c r="BZ496" s="275"/>
      <c r="CA496" s="275"/>
      <c r="CB496" s="275"/>
      <c r="CC496" s="275"/>
      <c r="CD496" s="275"/>
      <c r="CE496" s="275"/>
      <c r="CF496" s="275"/>
      <c r="CG496" s="438"/>
      <c r="CH496" s="436"/>
      <c r="CI496" s="275"/>
      <c r="CJ496" s="275"/>
      <c r="CK496" s="275"/>
      <c r="CL496" s="275"/>
      <c r="CM496" s="275"/>
      <c r="CN496" s="275"/>
      <c r="CO496" s="442"/>
      <c r="CP496" s="443"/>
      <c r="CQ496" s="429">
        <f t="shared" si="58"/>
        <v>0</v>
      </c>
      <c r="CR496" s="430"/>
    </row>
    <row r="497" spans="1:96" ht="25.5" customHeight="1" x14ac:dyDescent="0.2">
      <c r="A497" s="410">
        <f t="shared" si="59"/>
        <v>482</v>
      </c>
      <c r="B497" s="280"/>
      <c r="C497" s="453"/>
      <c r="D497" s="411"/>
      <c r="E497" s="254"/>
      <c r="F497" s="277"/>
      <c r="G497" s="450"/>
      <c r="H497" s="451"/>
      <c r="I497" s="433" t="str">
        <f t="shared" si="53"/>
        <v/>
      </c>
      <c r="J497" s="434">
        <f t="shared" si="54"/>
        <v>0</v>
      </c>
      <c r="K497" s="452"/>
      <c r="L497" s="276"/>
      <c r="M497" s="435"/>
      <c r="N497" s="417" t="str">
        <f t="shared" si="55"/>
        <v/>
      </c>
      <c r="O497" s="418" t="str">
        <f>IF('Data Set up'!$G$40="JUNE",IF(OR($N497=7,$N497=8,$N497=9),1,IF(OR($N497=10,$N497=11,$N497=12),2,IF(OR($N497=1,$N497=2,$N497=3),3,IF(OR($N497=4,$N497=5,$N497=6),4,"")))),IF(OR($N497=9,$N497=10,$N497=11),1,IF(OR($N497=12,$N497=1,$N497=2),2,IF(OR($N497=3,$N497=4,$N497=5),3,IF(OR($N497=6,$N497=7,$N497=8),4,"")))))</f>
        <v/>
      </c>
      <c r="P497" s="445"/>
      <c r="Q497" s="291"/>
      <c r="R497" s="291"/>
      <c r="S497" s="275"/>
      <c r="T497" s="275"/>
      <c r="U497" s="275"/>
      <c r="V497" s="275"/>
      <c r="W497" s="275"/>
      <c r="X497" s="275"/>
      <c r="Y497" s="275"/>
      <c r="Z497" s="275"/>
      <c r="AA497" s="275"/>
      <c r="AB497" s="275"/>
      <c r="AC497" s="275"/>
      <c r="AD497" s="275"/>
      <c r="AE497" s="275"/>
      <c r="AF497" s="275"/>
      <c r="AG497" s="275"/>
      <c r="AH497" s="438"/>
      <c r="AI497" s="439">
        <f t="shared" si="56"/>
        <v>0</v>
      </c>
      <c r="AJ497" s="263"/>
      <c r="AK497" s="263"/>
      <c r="AL497" s="263"/>
      <c r="AM497" s="263"/>
      <c r="AN497" s="263"/>
      <c r="AO497" s="263"/>
      <c r="AP497" s="263"/>
      <c r="AQ497" s="436"/>
      <c r="AR497" s="275"/>
      <c r="AS497" s="275"/>
      <c r="AT497" s="275"/>
      <c r="AU497" s="275"/>
      <c r="AV497" s="275"/>
      <c r="AW497" s="275"/>
      <c r="AX497" s="275"/>
      <c r="AY497" s="437"/>
      <c r="AZ497" s="440">
        <f t="shared" si="57"/>
        <v>0</v>
      </c>
      <c r="BA497" s="275"/>
      <c r="BB497" s="275"/>
      <c r="BC497" s="275"/>
      <c r="BD497" s="275"/>
      <c r="BE497" s="275"/>
      <c r="BF497" s="275"/>
      <c r="BG497" s="275"/>
      <c r="BH497" s="436"/>
      <c r="BI497" s="275"/>
      <c r="BJ497" s="275"/>
      <c r="BK497" s="291"/>
      <c r="BL497" s="291"/>
      <c r="BM497" s="275"/>
      <c r="BN497" s="275"/>
      <c r="BO497" s="438"/>
      <c r="BP497" s="436"/>
      <c r="BQ497" s="275"/>
      <c r="BR497" s="275"/>
      <c r="BS497" s="275"/>
      <c r="BT497" s="275"/>
      <c r="BU497" s="275"/>
      <c r="BV497" s="275"/>
      <c r="BW497" s="275"/>
      <c r="BX497" s="438"/>
      <c r="BY497" s="436"/>
      <c r="BZ497" s="275"/>
      <c r="CA497" s="275"/>
      <c r="CB497" s="275"/>
      <c r="CC497" s="275"/>
      <c r="CD497" s="275"/>
      <c r="CE497" s="275"/>
      <c r="CF497" s="275"/>
      <c r="CG497" s="438"/>
      <c r="CH497" s="436"/>
      <c r="CI497" s="275"/>
      <c r="CJ497" s="275"/>
      <c r="CK497" s="275"/>
      <c r="CL497" s="275"/>
      <c r="CM497" s="275"/>
      <c r="CN497" s="275"/>
      <c r="CO497" s="442"/>
      <c r="CP497" s="443"/>
      <c r="CQ497" s="429">
        <f t="shared" si="58"/>
        <v>0</v>
      </c>
      <c r="CR497" s="430"/>
    </row>
    <row r="498" spans="1:96" ht="25.5" customHeight="1" x14ac:dyDescent="0.2">
      <c r="A498" s="410">
        <f t="shared" si="59"/>
        <v>483</v>
      </c>
      <c r="B498" s="280"/>
      <c r="C498" s="453"/>
      <c r="D498" s="411"/>
      <c r="E498" s="254"/>
      <c r="F498" s="277"/>
      <c r="G498" s="450"/>
      <c r="H498" s="451"/>
      <c r="I498" s="433" t="str">
        <f t="shared" si="53"/>
        <v/>
      </c>
      <c r="J498" s="434">
        <f t="shared" si="54"/>
        <v>0</v>
      </c>
      <c r="K498" s="452"/>
      <c r="L498" s="276"/>
      <c r="M498" s="435"/>
      <c r="N498" s="417" t="str">
        <f t="shared" si="55"/>
        <v/>
      </c>
      <c r="O498" s="418" t="str">
        <f>IF('Data Set up'!$G$40="JUNE",IF(OR($N498=7,$N498=8,$N498=9),1,IF(OR($N498=10,$N498=11,$N498=12),2,IF(OR($N498=1,$N498=2,$N498=3),3,IF(OR($N498=4,$N498=5,$N498=6),4,"")))),IF(OR($N498=9,$N498=10,$N498=11),1,IF(OR($N498=12,$N498=1,$N498=2),2,IF(OR($N498=3,$N498=4,$N498=5),3,IF(OR($N498=6,$N498=7,$N498=8),4,"")))))</f>
        <v/>
      </c>
      <c r="P498" s="445"/>
      <c r="Q498" s="291"/>
      <c r="R498" s="291"/>
      <c r="S498" s="275"/>
      <c r="T498" s="275"/>
      <c r="U498" s="275"/>
      <c r="V498" s="275"/>
      <c r="W498" s="275"/>
      <c r="X498" s="275"/>
      <c r="Y498" s="275"/>
      <c r="Z498" s="275"/>
      <c r="AA498" s="275"/>
      <c r="AB498" s="275"/>
      <c r="AC498" s="275"/>
      <c r="AD498" s="275"/>
      <c r="AE498" s="275"/>
      <c r="AF498" s="275"/>
      <c r="AG498" s="275"/>
      <c r="AH498" s="438"/>
      <c r="AI498" s="439">
        <f t="shared" si="56"/>
        <v>0</v>
      </c>
      <c r="AJ498" s="263"/>
      <c r="AK498" s="263"/>
      <c r="AL498" s="263"/>
      <c r="AM498" s="263"/>
      <c r="AN498" s="263"/>
      <c r="AO498" s="263"/>
      <c r="AP498" s="263"/>
      <c r="AQ498" s="436"/>
      <c r="AR498" s="275"/>
      <c r="AS498" s="275"/>
      <c r="AT498" s="275"/>
      <c r="AU498" s="275"/>
      <c r="AV498" s="275"/>
      <c r="AW498" s="275"/>
      <c r="AX498" s="275"/>
      <c r="AY498" s="437"/>
      <c r="AZ498" s="440">
        <f t="shared" si="57"/>
        <v>0</v>
      </c>
      <c r="BA498" s="275"/>
      <c r="BB498" s="275"/>
      <c r="BC498" s="275"/>
      <c r="BD498" s="275"/>
      <c r="BE498" s="275"/>
      <c r="BF498" s="275"/>
      <c r="BG498" s="275"/>
      <c r="BH498" s="436"/>
      <c r="BI498" s="275"/>
      <c r="BJ498" s="275"/>
      <c r="BK498" s="291"/>
      <c r="BL498" s="291"/>
      <c r="BM498" s="275"/>
      <c r="BN498" s="275"/>
      <c r="BO498" s="438"/>
      <c r="BP498" s="436"/>
      <c r="BQ498" s="275"/>
      <c r="BR498" s="275"/>
      <c r="BS498" s="275"/>
      <c r="BT498" s="275"/>
      <c r="BU498" s="275"/>
      <c r="BV498" s="275"/>
      <c r="BW498" s="275"/>
      <c r="BX498" s="438"/>
      <c r="BY498" s="436"/>
      <c r="BZ498" s="275"/>
      <c r="CA498" s="275"/>
      <c r="CB498" s="275"/>
      <c r="CC498" s="275"/>
      <c r="CD498" s="275"/>
      <c r="CE498" s="275"/>
      <c r="CF498" s="275"/>
      <c r="CG498" s="438"/>
      <c r="CH498" s="436"/>
      <c r="CI498" s="275"/>
      <c r="CJ498" s="275"/>
      <c r="CK498" s="275"/>
      <c r="CL498" s="275"/>
      <c r="CM498" s="275"/>
      <c r="CN498" s="275"/>
      <c r="CO498" s="442"/>
      <c r="CP498" s="443"/>
      <c r="CQ498" s="429">
        <f t="shared" si="58"/>
        <v>0</v>
      </c>
      <c r="CR498" s="430"/>
    </row>
    <row r="499" spans="1:96" ht="25.5" customHeight="1" x14ac:dyDescent="0.2">
      <c r="A499" s="410">
        <f t="shared" si="59"/>
        <v>484</v>
      </c>
      <c r="B499" s="280"/>
      <c r="C499" s="453"/>
      <c r="D499" s="411"/>
      <c r="E499" s="254"/>
      <c r="F499" s="277"/>
      <c r="G499" s="450"/>
      <c r="H499" s="451"/>
      <c r="I499" s="433" t="str">
        <f t="shared" si="53"/>
        <v/>
      </c>
      <c r="J499" s="434">
        <f t="shared" si="54"/>
        <v>0</v>
      </c>
      <c r="K499" s="452"/>
      <c r="L499" s="276"/>
      <c r="M499" s="435"/>
      <c r="N499" s="417" t="str">
        <f t="shared" si="55"/>
        <v/>
      </c>
      <c r="O499" s="418" t="str">
        <f>IF('Data Set up'!$G$40="JUNE",IF(OR($N499=7,$N499=8,$N499=9),1,IF(OR($N499=10,$N499=11,$N499=12),2,IF(OR($N499=1,$N499=2,$N499=3),3,IF(OR($N499=4,$N499=5,$N499=6),4,"")))),IF(OR($N499=9,$N499=10,$N499=11),1,IF(OR($N499=12,$N499=1,$N499=2),2,IF(OR($N499=3,$N499=4,$N499=5),3,IF(OR($N499=6,$N499=7,$N499=8),4,"")))))</f>
        <v/>
      </c>
      <c r="P499" s="445"/>
      <c r="Q499" s="291"/>
      <c r="R499" s="291"/>
      <c r="S499" s="275"/>
      <c r="T499" s="275"/>
      <c r="U499" s="275"/>
      <c r="V499" s="275"/>
      <c r="W499" s="275"/>
      <c r="X499" s="275"/>
      <c r="Y499" s="275"/>
      <c r="Z499" s="275"/>
      <c r="AA499" s="275"/>
      <c r="AB499" s="275"/>
      <c r="AC499" s="275"/>
      <c r="AD499" s="275"/>
      <c r="AE499" s="275"/>
      <c r="AF499" s="275"/>
      <c r="AG499" s="275"/>
      <c r="AH499" s="438"/>
      <c r="AI499" s="439">
        <f t="shared" si="56"/>
        <v>0</v>
      </c>
      <c r="AJ499" s="263"/>
      <c r="AK499" s="263"/>
      <c r="AL499" s="263"/>
      <c r="AM499" s="263"/>
      <c r="AN499" s="263"/>
      <c r="AO499" s="263"/>
      <c r="AP499" s="263"/>
      <c r="AQ499" s="436"/>
      <c r="AR499" s="275"/>
      <c r="AS499" s="275"/>
      <c r="AT499" s="275"/>
      <c r="AU499" s="275"/>
      <c r="AV499" s="275"/>
      <c r="AW499" s="275"/>
      <c r="AX499" s="275"/>
      <c r="AY499" s="437"/>
      <c r="AZ499" s="440">
        <f t="shared" si="57"/>
        <v>0</v>
      </c>
      <c r="BA499" s="275"/>
      <c r="BB499" s="275"/>
      <c r="BC499" s="275"/>
      <c r="BD499" s="275"/>
      <c r="BE499" s="275"/>
      <c r="BF499" s="275"/>
      <c r="BG499" s="275"/>
      <c r="BH499" s="436"/>
      <c r="BI499" s="275"/>
      <c r="BJ499" s="275"/>
      <c r="BK499" s="291"/>
      <c r="BL499" s="291"/>
      <c r="BM499" s="275"/>
      <c r="BN499" s="275"/>
      <c r="BO499" s="438"/>
      <c r="BP499" s="436"/>
      <c r="BQ499" s="275"/>
      <c r="BR499" s="275"/>
      <c r="BS499" s="275"/>
      <c r="BT499" s="275"/>
      <c r="BU499" s="275"/>
      <c r="BV499" s="275"/>
      <c r="BW499" s="275"/>
      <c r="BX499" s="438"/>
      <c r="BY499" s="436"/>
      <c r="BZ499" s="275"/>
      <c r="CA499" s="275"/>
      <c r="CB499" s="275"/>
      <c r="CC499" s="275"/>
      <c r="CD499" s="275"/>
      <c r="CE499" s="275"/>
      <c r="CF499" s="275"/>
      <c r="CG499" s="438"/>
      <c r="CH499" s="436"/>
      <c r="CI499" s="275"/>
      <c r="CJ499" s="275"/>
      <c r="CK499" s="275"/>
      <c r="CL499" s="275"/>
      <c r="CM499" s="275"/>
      <c r="CN499" s="275"/>
      <c r="CO499" s="442"/>
      <c r="CP499" s="443"/>
      <c r="CQ499" s="429">
        <f t="shared" si="58"/>
        <v>0</v>
      </c>
      <c r="CR499" s="430"/>
    </row>
    <row r="500" spans="1:96" ht="25.5" customHeight="1" x14ac:dyDescent="0.2">
      <c r="A500" s="410">
        <f t="shared" si="59"/>
        <v>485</v>
      </c>
      <c r="B500" s="280"/>
      <c r="C500" s="453"/>
      <c r="D500" s="411"/>
      <c r="E500" s="254"/>
      <c r="F500" s="277"/>
      <c r="G500" s="450"/>
      <c r="H500" s="451"/>
      <c r="I500" s="433" t="str">
        <f t="shared" si="53"/>
        <v/>
      </c>
      <c r="J500" s="434">
        <f t="shared" si="54"/>
        <v>0</v>
      </c>
      <c r="K500" s="452"/>
      <c r="L500" s="276"/>
      <c r="M500" s="435"/>
      <c r="N500" s="417" t="str">
        <f t="shared" si="55"/>
        <v/>
      </c>
      <c r="O500" s="418" t="str">
        <f>IF('Data Set up'!$G$40="JUNE",IF(OR($N500=7,$N500=8,$N500=9),1,IF(OR($N500=10,$N500=11,$N500=12),2,IF(OR($N500=1,$N500=2,$N500=3),3,IF(OR($N500=4,$N500=5,$N500=6),4,"")))),IF(OR($N500=9,$N500=10,$N500=11),1,IF(OR($N500=12,$N500=1,$N500=2),2,IF(OR($N500=3,$N500=4,$N500=5),3,IF(OR($N500=6,$N500=7,$N500=8),4,"")))))</f>
        <v/>
      </c>
      <c r="P500" s="445"/>
      <c r="Q500" s="291"/>
      <c r="R500" s="291"/>
      <c r="S500" s="275"/>
      <c r="T500" s="275"/>
      <c r="U500" s="275"/>
      <c r="V500" s="275"/>
      <c r="W500" s="275"/>
      <c r="X500" s="275"/>
      <c r="Y500" s="275"/>
      <c r="Z500" s="275"/>
      <c r="AA500" s="275"/>
      <c r="AB500" s="275"/>
      <c r="AC500" s="275"/>
      <c r="AD500" s="275"/>
      <c r="AE500" s="275"/>
      <c r="AF500" s="275"/>
      <c r="AG500" s="275"/>
      <c r="AH500" s="438"/>
      <c r="AI500" s="439">
        <f t="shared" si="56"/>
        <v>0</v>
      </c>
      <c r="AJ500" s="263"/>
      <c r="AK500" s="263"/>
      <c r="AL500" s="263"/>
      <c r="AM500" s="263"/>
      <c r="AN500" s="263"/>
      <c r="AO500" s="263"/>
      <c r="AP500" s="263"/>
      <c r="AQ500" s="436"/>
      <c r="AR500" s="275"/>
      <c r="AS500" s="275"/>
      <c r="AT500" s="275"/>
      <c r="AU500" s="275"/>
      <c r="AV500" s="275"/>
      <c r="AW500" s="275"/>
      <c r="AX500" s="275"/>
      <c r="AY500" s="437"/>
      <c r="AZ500" s="440">
        <f t="shared" si="57"/>
        <v>0</v>
      </c>
      <c r="BA500" s="275"/>
      <c r="BB500" s="275"/>
      <c r="BC500" s="275"/>
      <c r="BD500" s="275"/>
      <c r="BE500" s="275"/>
      <c r="BF500" s="275"/>
      <c r="BG500" s="275"/>
      <c r="BH500" s="436"/>
      <c r="BI500" s="275"/>
      <c r="BJ500" s="275"/>
      <c r="BK500" s="291"/>
      <c r="BL500" s="291"/>
      <c r="BM500" s="275"/>
      <c r="BN500" s="275"/>
      <c r="BO500" s="438"/>
      <c r="BP500" s="436"/>
      <c r="BQ500" s="275"/>
      <c r="BR500" s="275"/>
      <c r="BS500" s="275"/>
      <c r="BT500" s="275"/>
      <c r="BU500" s="275"/>
      <c r="BV500" s="275"/>
      <c r="BW500" s="275"/>
      <c r="BX500" s="438"/>
      <c r="BY500" s="436"/>
      <c r="BZ500" s="275"/>
      <c r="CA500" s="275"/>
      <c r="CB500" s="275"/>
      <c r="CC500" s="275"/>
      <c r="CD500" s="275"/>
      <c r="CE500" s="275"/>
      <c r="CF500" s="275"/>
      <c r="CG500" s="438"/>
      <c r="CH500" s="436"/>
      <c r="CI500" s="275"/>
      <c r="CJ500" s="275"/>
      <c r="CK500" s="275"/>
      <c r="CL500" s="275"/>
      <c r="CM500" s="275"/>
      <c r="CN500" s="275"/>
      <c r="CO500" s="442"/>
      <c r="CP500" s="443"/>
      <c r="CQ500" s="429">
        <f t="shared" si="58"/>
        <v>0</v>
      </c>
      <c r="CR500" s="430"/>
    </row>
    <row r="501" spans="1:96" ht="25.5" customHeight="1" x14ac:dyDescent="0.2">
      <c r="A501" s="410">
        <f t="shared" si="59"/>
        <v>486</v>
      </c>
      <c r="B501" s="280"/>
      <c r="C501" s="453"/>
      <c r="D501" s="411"/>
      <c r="E501" s="254"/>
      <c r="F501" s="277"/>
      <c r="G501" s="450"/>
      <c r="H501" s="451"/>
      <c r="I501" s="433" t="str">
        <f t="shared" si="53"/>
        <v/>
      </c>
      <c r="J501" s="434">
        <f t="shared" si="54"/>
        <v>0</v>
      </c>
      <c r="K501" s="452"/>
      <c r="L501" s="276"/>
      <c r="M501" s="435"/>
      <c r="N501" s="417" t="str">
        <f t="shared" si="55"/>
        <v/>
      </c>
      <c r="O501" s="418" t="str">
        <f>IF('Data Set up'!$G$40="JUNE",IF(OR($N501=7,$N501=8,$N501=9),1,IF(OR($N501=10,$N501=11,$N501=12),2,IF(OR($N501=1,$N501=2,$N501=3),3,IF(OR($N501=4,$N501=5,$N501=6),4,"")))),IF(OR($N501=9,$N501=10,$N501=11),1,IF(OR($N501=12,$N501=1,$N501=2),2,IF(OR($N501=3,$N501=4,$N501=5),3,IF(OR($N501=6,$N501=7,$N501=8),4,"")))))</f>
        <v/>
      </c>
      <c r="P501" s="445"/>
      <c r="Q501" s="291"/>
      <c r="R501" s="291"/>
      <c r="S501" s="275"/>
      <c r="T501" s="275"/>
      <c r="U501" s="275"/>
      <c r="V501" s="275"/>
      <c r="W501" s="275"/>
      <c r="X501" s="275"/>
      <c r="Y501" s="275"/>
      <c r="Z501" s="275"/>
      <c r="AA501" s="275"/>
      <c r="AB501" s="275"/>
      <c r="AC501" s="275"/>
      <c r="AD501" s="275"/>
      <c r="AE501" s="275"/>
      <c r="AF501" s="275"/>
      <c r="AG501" s="275"/>
      <c r="AH501" s="438"/>
      <c r="AI501" s="439">
        <f t="shared" si="56"/>
        <v>0</v>
      </c>
      <c r="AJ501" s="263"/>
      <c r="AK501" s="263"/>
      <c r="AL501" s="263"/>
      <c r="AM501" s="263"/>
      <c r="AN501" s="263"/>
      <c r="AO501" s="263"/>
      <c r="AP501" s="263"/>
      <c r="AQ501" s="436"/>
      <c r="AR501" s="275"/>
      <c r="AS501" s="275"/>
      <c r="AT501" s="275"/>
      <c r="AU501" s="275"/>
      <c r="AV501" s="275"/>
      <c r="AW501" s="275"/>
      <c r="AX501" s="275"/>
      <c r="AY501" s="437"/>
      <c r="AZ501" s="440">
        <f t="shared" si="57"/>
        <v>0</v>
      </c>
      <c r="BA501" s="275"/>
      <c r="BB501" s="275"/>
      <c r="BC501" s="275"/>
      <c r="BD501" s="275"/>
      <c r="BE501" s="275"/>
      <c r="BF501" s="275"/>
      <c r="BG501" s="275"/>
      <c r="BH501" s="436"/>
      <c r="BI501" s="275"/>
      <c r="BJ501" s="275"/>
      <c r="BK501" s="291"/>
      <c r="BL501" s="291"/>
      <c r="BM501" s="275"/>
      <c r="BN501" s="275"/>
      <c r="BO501" s="438"/>
      <c r="BP501" s="436"/>
      <c r="BQ501" s="275"/>
      <c r="BR501" s="275"/>
      <c r="BS501" s="275"/>
      <c r="BT501" s="275"/>
      <c r="BU501" s="275"/>
      <c r="BV501" s="275"/>
      <c r="BW501" s="275"/>
      <c r="BX501" s="438"/>
      <c r="BY501" s="436"/>
      <c r="BZ501" s="275"/>
      <c r="CA501" s="275"/>
      <c r="CB501" s="275"/>
      <c r="CC501" s="275"/>
      <c r="CD501" s="275"/>
      <c r="CE501" s="275"/>
      <c r="CF501" s="275"/>
      <c r="CG501" s="438"/>
      <c r="CH501" s="436"/>
      <c r="CI501" s="275"/>
      <c r="CJ501" s="275"/>
      <c r="CK501" s="275"/>
      <c r="CL501" s="275"/>
      <c r="CM501" s="275"/>
      <c r="CN501" s="275"/>
      <c r="CO501" s="442"/>
      <c r="CP501" s="443"/>
      <c r="CQ501" s="429">
        <f t="shared" si="58"/>
        <v>0</v>
      </c>
      <c r="CR501" s="430"/>
    </row>
    <row r="502" spans="1:96" ht="25.5" customHeight="1" x14ac:dyDescent="0.2">
      <c r="A502" s="410">
        <f t="shared" si="59"/>
        <v>487</v>
      </c>
      <c r="B502" s="280"/>
      <c r="C502" s="453"/>
      <c r="D502" s="411"/>
      <c r="E502" s="254"/>
      <c r="F502" s="277"/>
      <c r="G502" s="450"/>
      <c r="H502" s="451"/>
      <c r="I502" s="433" t="str">
        <f t="shared" si="53"/>
        <v/>
      </c>
      <c r="J502" s="434">
        <f t="shared" si="54"/>
        <v>0</v>
      </c>
      <c r="K502" s="452"/>
      <c r="L502" s="276"/>
      <c r="M502" s="435"/>
      <c r="N502" s="417" t="str">
        <f t="shared" si="55"/>
        <v/>
      </c>
      <c r="O502" s="418" t="str">
        <f>IF('Data Set up'!$G$40="JUNE",IF(OR($N502=7,$N502=8,$N502=9),1,IF(OR($N502=10,$N502=11,$N502=12),2,IF(OR($N502=1,$N502=2,$N502=3),3,IF(OR($N502=4,$N502=5,$N502=6),4,"")))),IF(OR($N502=9,$N502=10,$N502=11),1,IF(OR($N502=12,$N502=1,$N502=2),2,IF(OR($N502=3,$N502=4,$N502=5),3,IF(OR($N502=6,$N502=7,$N502=8),4,"")))))</f>
        <v/>
      </c>
      <c r="P502" s="445"/>
      <c r="Q502" s="291"/>
      <c r="R502" s="291"/>
      <c r="S502" s="275"/>
      <c r="T502" s="275"/>
      <c r="U502" s="275"/>
      <c r="V502" s="275"/>
      <c r="W502" s="275"/>
      <c r="X502" s="275"/>
      <c r="Y502" s="275"/>
      <c r="Z502" s="275"/>
      <c r="AA502" s="275"/>
      <c r="AB502" s="275"/>
      <c r="AC502" s="275"/>
      <c r="AD502" s="275"/>
      <c r="AE502" s="275"/>
      <c r="AF502" s="275"/>
      <c r="AG502" s="275"/>
      <c r="AH502" s="438"/>
      <c r="AI502" s="439">
        <f t="shared" si="56"/>
        <v>0</v>
      </c>
      <c r="AJ502" s="263"/>
      <c r="AK502" s="263"/>
      <c r="AL502" s="263"/>
      <c r="AM502" s="263"/>
      <c r="AN502" s="263"/>
      <c r="AO502" s="263"/>
      <c r="AP502" s="263"/>
      <c r="AQ502" s="436"/>
      <c r="AR502" s="275"/>
      <c r="AS502" s="275"/>
      <c r="AT502" s="275"/>
      <c r="AU502" s="275"/>
      <c r="AV502" s="275"/>
      <c r="AW502" s="275"/>
      <c r="AX502" s="275"/>
      <c r="AY502" s="437"/>
      <c r="AZ502" s="440">
        <f t="shared" si="57"/>
        <v>0</v>
      </c>
      <c r="BA502" s="275"/>
      <c r="BB502" s="275"/>
      <c r="BC502" s="275"/>
      <c r="BD502" s="275"/>
      <c r="BE502" s="275"/>
      <c r="BF502" s="275"/>
      <c r="BG502" s="275"/>
      <c r="BH502" s="436"/>
      <c r="BI502" s="275"/>
      <c r="BJ502" s="275"/>
      <c r="BK502" s="291"/>
      <c r="BL502" s="291"/>
      <c r="BM502" s="275"/>
      <c r="BN502" s="275"/>
      <c r="BO502" s="438"/>
      <c r="BP502" s="436"/>
      <c r="BQ502" s="275"/>
      <c r="BR502" s="275"/>
      <c r="BS502" s="275"/>
      <c r="BT502" s="275"/>
      <c r="BU502" s="275"/>
      <c r="BV502" s="275"/>
      <c r="BW502" s="275"/>
      <c r="BX502" s="438"/>
      <c r="BY502" s="436"/>
      <c r="BZ502" s="275"/>
      <c r="CA502" s="275"/>
      <c r="CB502" s="275"/>
      <c r="CC502" s="275"/>
      <c r="CD502" s="275"/>
      <c r="CE502" s="275"/>
      <c r="CF502" s="275"/>
      <c r="CG502" s="438"/>
      <c r="CH502" s="436"/>
      <c r="CI502" s="275"/>
      <c r="CJ502" s="275"/>
      <c r="CK502" s="275"/>
      <c r="CL502" s="275"/>
      <c r="CM502" s="275"/>
      <c r="CN502" s="275"/>
      <c r="CO502" s="442"/>
      <c r="CP502" s="443"/>
      <c r="CQ502" s="429">
        <f t="shared" si="58"/>
        <v>0</v>
      </c>
      <c r="CR502" s="430"/>
    </row>
    <row r="503" spans="1:96" ht="25.5" customHeight="1" x14ac:dyDescent="0.2">
      <c r="A503" s="410">
        <f t="shared" si="59"/>
        <v>488</v>
      </c>
      <c r="B503" s="280"/>
      <c r="C503" s="453"/>
      <c r="D503" s="411"/>
      <c r="E503" s="254"/>
      <c r="F503" s="277"/>
      <c r="G503" s="450"/>
      <c r="H503" s="451"/>
      <c r="I503" s="433" t="str">
        <f t="shared" si="53"/>
        <v/>
      </c>
      <c r="J503" s="434">
        <f t="shared" si="54"/>
        <v>0</v>
      </c>
      <c r="K503" s="452"/>
      <c r="L503" s="276"/>
      <c r="M503" s="435"/>
      <c r="N503" s="417" t="str">
        <f t="shared" si="55"/>
        <v/>
      </c>
      <c r="O503" s="418" t="str">
        <f>IF('Data Set up'!$G$40="JUNE",IF(OR($N503=7,$N503=8,$N503=9),1,IF(OR($N503=10,$N503=11,$N503=12),2,IF(OR($N503=1,$N503=2,$N503=3),3,IF(OR($N503=4,$N503=5,$N503=6),4,"")))),IF(OR($N503=9,$N503=10,$N503=11),1,IF(OR($N503=12,$N503=1,$N503=2),2,IF(OR($N503=3,$N503=4,$N503=5),3,IF(OR($N503=6,$N503=7,$N503=8),4,"")))))</f>
        <v/>
      </c>
      <c r="P503" s="445"/>
      <c r="Q503" s="291"/>
      <c r="R503" s="291"/>
      <c r="S503" s="275"/>
      <c r="T503" s="275"/>
      <c r="U503" s="275"/>
      <c r="V503" s="275"/>
      <c r="W503" s="275"/>
      <c r="X503" s="275"/>
      <c r="Y503" s="275"/>
      <c r="Z503" s="275"/>
      <c r="AA503" s="275"/>
      <c r="AB503" s="275"/>
      <c r="AC503" s="275"/>
      <c r="AD503" s="275"/>
      <c r="AE503" s="275"/>
      <c r="AF503" s="275"/>
      <c r="AG503" s="275"/>
      <c r="AH503" s="438"/>
      <c r="AI503" s="439">
        <f t="shared" si="56"/>
        <v>0</v>
      </c>
      <c r="AJ503" s="263"/>
      <c r="AK503" s="263"/>
      <c r="AL503" s="263"/>
      <c r="AM503" s="263"/>
      <c r="AN503" s="263"/>
      <c r="AO503" s="263"/>
      <c r="AP503" s="263"/>
      <c r="AQ503" s="436"/>
      <c r="AR503" s="275"/>
      <c r="AS503" s="275"/>
      <c r="AT503" s="275"/>
      <c r="AU503" s="275"/>
      <c r="AV503" s="275"/>
      <c r="AW503" s="275"/>
      <c r="AX503" s="275"/>
      <c r="AY503" s="437"/>
      <c r="AZ503" s="440">
        <f t="shared" si="57"/>
        <v>0</v>
      </c>
      <c r="BA503" s="275"/>
      <c r="BB503" s="275"/>
      <c r="BC503" s="275"/>
      <c r="BD503" s="275"/>
      <c r="BE503" s="275"/>
      <c r="BF503" s="275"/>
      <c r="BG503" s="275"/>
      <c r="BH503" s="436"/>
      <c r="BI503" s="275"/>
      <c r="BJ503" s="275"/>
      <c r="BK503" s="291"/>
      <c r="BL503" s="291"/>
      <c r="BM503" s="275"/>
      <c r="BN503" s="275"/>
      <c r="BO503" s="438"/>
      <c r="BP503" s="436"/>
      <c r="BQ503" s="275"/>
      <c r="BR503" s="275"/>
      <c r="BS503" s="275"/>
      <c r="BT503" s="275"/>
      <c r="BU503" s="275"/>
      <c r="BV503" s="275"/>
      <c r="BW503" s="275"/>
      <c r="BX503" s="438"/>
      <c r="BY503" s="436"/>
      <c r="BZ503" s="275"/>
      <c r="CA503" s="275"/>
      <c r="CB503" s="275"/>
      <c r="CC503" s="275"/>
      <c r="CD503" s="275"/>
      <c r="CE503" s="275"/>
      <c r="CF503" s="275"/>
      <c r="CG503" s="438"/>
      <c r="CH503" s="436"/>
      <c r="CI503" s="275"/>
      <c r="CJ503" s="275"/>
      <c r="CK503" s="275"/>
      <c r="CL503" s="275"/>
      <c r="CM503" s="275"/>
      <c r="CN503" s="275"/>
      <c r="CO503" s="442"/>
      <c r="CP503" s="443"/>
      <c r="CQ503" s="429">
        <f t="shared" si="58"/>
        <v>0</v>
      </c>
      <c r="CR503" s="430"/>
    </row>
    <row r="504" spans="1:96" ht="25.5" customHeight="1" x14ac:dyDescent="0.2">
      <c r="A504" s="410">
        <f t="shared" si="59"/>
        <v>489</v>
      </c>
      <c r="B504" s="280"/>
      <c r="C504" s="453"/>
      <c r="D504" s="411"/>
      <c r="E504" s="254"/>
      <c r="F504" s="277"/>
      <c r="G504" s="450"/>
      <c r="H504" s="451"/>
      <c r="I504" s="433" t="str">
        <f t="shared" si="53"/>
        <v/>
      </c>
      <c r="J504" s="434">
        <f t="shared" si="54"/>
        <v>0</v>
      </c>
      <c r="K504" s="452"/>
      <c r="L504" s="276"/>
      <c r="M504" s="435"/>
      <c r="N504" s="417" t="str">
        <f t="shared" si="55"/>
        <v/>
      </c>
      <c r="O504" s="418" t="str">
        <f>IF('Data Set up'!$G$40="JUNE",IF(OR($N504=7,$N504=8,$N504=9),1,IF(OR($N504=10,$N504=11,$N504=12),2,IF(OR($N504=1,$N504=2,$N504=3),3,IF(OR($N504=4,$N504=5,$N504=6),4,"")))),IF(OR($N504=9,$N504=10,$N504=11),1,IF(OR($N504=12,$N504=1,$N504=2),2,IF(OR($N504=3,$N504=4,$N504=5),3,IF(OR($N504=6,$N504=7,$N504=8),4,"")))))</f>
        <v/>
      </c>
      <c r="P504" s="445"/>
      <c r="Q504" s="291"/>
      <c r="R504" s="291"/>
      <c r="S504" s="275"/>
      <c r="T504" s="275"/>
      <c r="U504" s="275"/>
      <c r="V504" s="275"/>
      <c r="W504" s="275"/>
      <c r="X504" s="275"/>
      <c r="Y504" s="275"/>
      <c r="Z504" s="275"/>
      <c r="AA504" s="275"/>
      <c r="AB504" s="275"/>
      <c r="AC504" s="275"/>
      <c r="AD504" s="275"/>
      <c r="AE504" s="275"/>
      <c r="AF504" s="275"/>
      <c r="AG504" s="275"/>
      <c r="AH504" s="438"/>
      <c r="AI504" s="439">
        <f t="shared" si="56"/>
        <v>0</v>
      </c>
      <c r="AJ504" s="263"/>
      <c r="AK504" s="263"/>
      <c r="AL504" s="263"/>
      <c r="AM504" s="263"/>
      <c r="AN504" s="263"/>
      <c r="AO504" s="263"/>
      <c r="AP504" s="263"/>
      <c r="AQ504" s="436"/>
      <c r="AR504" s="275"/>
      <c r="AS504" s="275"/>
      <c r="AT504" s="275"/>
      <c r="AU504" s="275"/>
      <c r="AV504" s="275"/>
      <c r="AW504" s="275"/>
      <c r="AX504" s="275"/>
      <c r="AY504" s="437"/>
      <c r="AZ504" s="440">
        <f t="shared" si="57"/>
        <v>0</v>
      </c>
      <c r="BA504" s="275"/>
      <c r="BB504" s="275"/>
      <c r="BC504" s="275"/>
      <c r="BD504" s="275"/>
      <c r="BE504" s="275"/>
      <c r="BF504" s="275"/>
      <c r="BG504" s="275"/>
      <c r="BH504" s="436"/>
      <c r="BI504" s="275"/>
      <c r="BJ504" s="275"/>
      <c r="BK504" s="291"/>
      <c r="BL504" s="291"/>
      <c r="BM504" s="275"/>
      <c r="BN504" s="275"/>
      <c r="BO504" s="438"/>
      <c r="BP504" s="436"/>
      <c r="BQ504" s="275"/>
      <c r="BR504" s="275"/>
      <c r="BS504" s="275"/>
      <c r="BT504" s="275"/>
      <c r="BU504" s="275"/>
      <c r="BV504" s="275"/>
      <c r="BW504" s="275"/>
      <c r="BX504" s="438"/>
      <c r="BY504" s="436"/>
      <c r="BZ504" s="275"/>
      <c r="CA504" s="275"/>
      <c r="CB504" s="275"/>
      <c r="CC504" s="275"/>
      <c r="CD504" s="275"/>
      <c r="CE504" s="275"/>
      <c r="CF504" s="275"/>
      <c r="CG504" s="438"/>
      <c r="CH504" s="436"/>
      <c r="CI504" s="275"/>
      <c r="CJ504" s="275"/>
      <c r="CK504" s="275"/>
      <c r="CL504" s="275"/>
      <c r="CM504" s="275"/>
      <c r="CN504" s="275"/>
      <c r="CO504" s="442"/>
      <c r="CP504" s="443"/>
      <c r="CQ504" s="429">
        <f t="shared" si="58"/>
        <v>0</v>
      </c>
      <c r="CR504" s="430"/>
    </row>
    <row r="505" spans="1:96" ht="25.5" customHeight="1" x14ac:dyDescent="0.2">
      <c r="A505" s="410">
        <f t="shared" si="59"/>
        <v>490</v>
      </c>
      <c r="B505" s="280"/>
      <c r="C505" s="453"/>
      <c r="D505" s="411"/>
      <c r="E505" s="254"/>
      <c r="F505" s="277"/>
      <c r="G505" s="450"/>
      <c r="H505" s="451"/>
      <c r="I505" s="433" t="str">
        <f t="shared" si="53"/>
        <v/>
      </c>
      <c r="J505" s="434">
        <f t="shared" si="54"/>
        <v>0</v>
      </c>
      <c r="K505" s="452"/>
      <c r="L505" s="276"/>
      <c r="M505" s="435"/>
      <c r="N505" s="417" t="str">
        <f t="shared" si="55"/>
        <v/>
      </c>
      <c r="O505" s="418" t="str">
        <f>IF('Data Set up'!$G$40="JUNE",IF(OR($N505=7,$N505=8,$N505=9),1,IF(OR($N505=10,$N505=11,$N505=12),2,IF(OR($N505=1,$N505=2,$N505=3),3,IF(OR($N505=4,$N505=5,$N505=6),4,"")))),IF(OR($N505=9,$N505=10,$N505=11),1,IF(OR($N505=12,$N505=1,$N505=2),2,IF(OR($N505=3,$N505=4,$N505=5),3,IF(OR($N505=6,$N505=7,$N505=8),4,"")))))</f>
        <v/>
      </c>
      <c r="P505" s="445"/>
      <c r="Q505" s="291"/>
      <c r="R505" s="291"/>
      <c r="S505" s="275"/>
      <c r="T505" s="275"/>
      <c r="U505" s="275"/>
      <c r="V505" s="275"/>
      <c r="W505" s="275"/>
      <c r="X505" s="275"/>
      <c r="Y505" s="275"/>
      <c r="Z505" s="275"/>
      <c r="AA505" s="275"/>
      <c r="AB505" s="275"/>
      <c r="AC505" s="275"/>
      <c r="AD505" s="275"/>
      <c r="AE505" s="275"/>
      <c r="AF505" s="275"/>
      <c r="AG505" s="275"/>
      <c r="AH505" s="438"/>
      <c r="AI505" s="439">
        <f t="shared" si="56"/>
        <v>0</v>
      </c>
      <c r="AJ505" s="263"/>
      <c r="AK505" s="263"/>
      <c r="AL505" s="263"/>
      <c r="AM505" s="263"/>
      <c r="AN505" s="263"/>
      <c r="AO505" s="263"/>
      <c r="AP505" s="263"/>
      <c r="AQ505" s="436"/>
      <c r="AR505" s="275"/>
      <c r="AS505" s="275"/>
      <c r="AT505" s="275"/>
      <c r="AU505" s="275"/>
      <c r="AV505" s="275"/>
      <c r="AW505" s="275"/>
      <c r="AX505" s="275"/>
      <c r="AY505" s="437"/>
      <c r="AZ505" s="440">
        <f t="shared" si="57"/>
        <v>0</v>
      </c>
      <c r="BA505" s="275"/>
      <c r="BB505" s="275"/>
      <c r="BC505" s="275"/>
      <c r="BD505" s="275"/>
      <c r="BE505" s="275"/>
      <c r="BF505" s="275"/>
      <c r="BG505" s="275"/>
      <c r="BH505" s="436"/>
      <c r="BI505" s="275"/>
      <c r="BJ505" s="275"/>
      <c r="BK505" s="291"/>
      <c r="BL505" s="291"/>
      <c r="BM505" s="275"/>
      <c r="BN505" s="275"/>
      <c r="BO505" s="438"/>
      <c r="BP505" s="436"/>
      <c r="BQ505" s="275"/>
      <c r="BR505" s="275"/>
      <c r="BS505" s="275"/>
      <c r="BT505" s="275"/>
      <c r="BU505" s="275"/>
      <c r="BV505" s="275"/>
      <c r="BW505" s="275"/>
      <c r="BX505" s="438"/>
      <c r="BY505" s="436"/>
      <c r="BZ505" s="275"/>
      <c r="CA505" s="275"/>
      <c r="CB505" s="275"/>
      <c r="CC505" s="275"/>
      <c r="CD505" s="275"/>
      <c r="CE505" s="275"/>
      <c r="CF505" s="275"/>
      <c r="CG505" s="438"/>
      <c r="CH505" s="436"/>
      <c r="CI505" s="275"/>
      <c r="CJ505" s="275"/>
      <c r="CK505" s="275"/>
      <c r="CL505" s="275"/>
      <c r="CM505" s="275"/>
      <c r="CN505" s="275"/>
      <c r="CO505" s="442"/>
      <c r="CP505" s="443"/>
      <c r="CQ505" s="429">
        <f t="shared" si="58"/>
        <v>0</v>
      </c>
      <c r="CR505" s="430"/>
    </row>
    <row r="506" spans="1:96" ht="25.5" customHeight="1" x14ac:dyDescent="0.2">
      <c r="A506" s="410">
        <f t="shared" si="59"/>
        <v>491</v>
      </c>
      <c r="B506" s="280"/>
      <c r="C506" s="453"/>
      <c r="D506" s="411"/>
      <c r="E506" s="254"/>
      <c r="F506" s="277"/>
      <c r="G506" s="450"/>
      <c r="H506" s="451"/>
      <c r="I506" s="433" t="str">
        <f t="shared" si="53"/>
        <v/>
      </c>
      <c r="J506" s="434">
        <f t="shared" si="54"/>
        <v>0</v>
      </c>
      <c r="K506" s="452"/>
      <c r="L506" s="276"/>
      <c r="M506" s="435"/>
      <c r="N506" s="417" t="str">
        <f t="shared" si="55"/>
        <v/>
      </c>
      <c r="O506" s="418" t="str">
        <f>IF('Data Set up'!$G$40="JUNE",IF(OR($N506=7,$N506=8,$N506=9),1,IF(OR($N506=10,$N506=11,$N506=12),2,IF(OR($N506=1,$N506=2,$N506=3),3,IF(OR($N506=4,$N506=5,$N506=6),4,"")))),IF(OR($N506=9,$N506=10,$N506=11),1,IF(OR($N506=12,$N506=1,$N506=2),2,IF(OR($N506=3,$N506=4,$N506=5),3,IF(OR($N506=6,$N506=7,$N506=8),4,"")))))</f>
        <v/>
      </c>
      <c r="P506" s="445"/>
      <c r="Q506" s="291"/>
      <c r="R506" s="291"/>
      <c r="S506" s="275"/>
      <c r="T506" s="275"/>
      <c r="U506" s="275"/>
      <c r="V506" s="275"/>
      <c r="W506" s="275"/>
      <c r="X506" s="275"/>
      <c r="Y506" s="275"/>
      <c r="Z506" s="275"/>
      <c r="AA506" s="275"/>
      <c r="AB506" s="275"/>
      <c r="AC506" s="275"/>
      <c r="AD506" s="275"/>
      <c r="AE506" s="275"/>
      <c r="AF506" s="275"/>
      <c r="AG506" s="275"/>
      <c r="AH506" s="438"/>
      <c r="AI506" s="439">
        <f t="shared" si="56"/>
        <v>0</v>
      </c>
      <c r="AJ506" s="263"/>
      <c r="AK506" s="263"/>
      <c r="AL506" s="263"/>
      <c r="AM506" s="263"/>
      <c r="AN506" s="263"/>
      <c r="AO506" s="263"/>
      <c r="AP506" s="263"/>
      <c r="AQ506" s="436"/>
      <c r="AR506" s="275"/>
      <c r="AS506" s="275"/>
      <c r="AT506" s="275"/>
      <c r="AU506" s="275"/>
      <c r="AV506" s="275"/>
      <c r="AW506" s="275"/>
      <c r="AX506" s="275"/>
      <c r="AY506" s="437"/>
      <c r="AZ506" s="440">
        <f t="shared" si="57"/>
        <v>0</v>
      </c>
      <c r="BA506" s="275"/>
      <c r="BB506" s="275"/>
      <c r="BC506" s="275"/>
      <c r="BD506" s="275"/>
      <c r="BE506" s="275"/>
      <c r="BF506" s="275"/>
      <c r="BG506" s="275"/>
      <c r="BH506" s="436"/>
      <c r="BI506" s="275"/>
      <c r="BJ506" s="275"/>
      <c r="BK506" s="291"/>
      <c r="BL506" s="291"/>
      <c r="BM506" s="275"/>
      <c r="BN506" s="275"/>
      <c r="BO506" s="438"/>
      <c r="BP506" s="436"/>
      <c r="BQ506" s="275"/>
      <c r="BR506" s="275"/>
      <c r="BS506" s="275"/>
      <c r="BT506" s="275"/>
      <c r="BU506" s="275"/>
      <c r="BV506" s="275"/>
      <c r="BW506" s="275"/>
      <c r="BX506" s="438"/>
      <c r="BY506" s="436"/>
      <c r="BZ506" s="275"/>
      <c r="CA506" s="275"/>
      <c r="CB506" s="275"/>
      <c r="CC506" s="275"/>
      <c r="CD506" s="275"/>
      <c r="CE506" s="275"/>
      <c r="CF506" s="275"/>
      <c r="CG506" s="438"/>
      <c r="CH506" s="436"/>
      <c r="CI506" s="275"/>
      <c r="CJ506" s="275"/>
      <c r="CK506" s="275"/>
      <c r="CL506" s="275"/>
      <c r="CM506" s="275"/>
      <c r="CN506" s="275"/>
      <c r="CO506" s="442"/>
      <c r="CP506" s="443"/>
      <c r="CQ506" s="429">
        <f t="shared" si="58"/>
        <v>0</v>
      </c>
      <c r="CR506" s="430"/>
    </row>
    <row r="507" spans="1:96" ht="25.5" customHeight="1" x14ac:dyDescent="0.2">
      <c r="A507" s="410">
        <f t="shared" si="59"/>
        <v>492</v>
      </c>
      <c r="B507" s="280"/>
      <c r="C507" s="453"/>
      <c r="D507" s="411"/>
      <c r="E507" s="254"/>
      <c r="F507" s="277"/>
      <c r="G507" s="450"/>
      <c r="H507" s="451"/>
      <c r="I507" s="433" t="str">
        <f t="shared" si="53"/>
        <v/>
      </c>
      <c r="J507" s="434">
        <f t="shared" si="54"/>
        <v>0</v>
      </c>
      <c r="K507" s="452"/>
      <c r="L507" s="276"/>
      <c r="M507" s="435"/>
      <c r="N507" s="417" t="str">
        <f t="shared" si="55"/>
        <v/>
      </c>
      <c r="O507" s="418" t="str">
        <f>IF('Data Set up'!$G$40="JUNE",IF(OR($N507=7,$N507=8,$N507=9),1,IF(OR($N507=10,$N507=11,$N507=12),2,IF(OR($N507=1,$N507=2,$N507=3),3,IF(OR($N507=4,$N507=5,$N507=6),4,"")))),IF(OR($N507=9,$N507=10,$N507=11),1,IF(OR($N507=12,$N507=1,$N507=2),2,IF(OR($N507=3,$N507=4,$N507=5),3,IF(OR($N507=6,$N507=7,$N507=8),4,"")))))</f>
        <v/>
      </c>
      <c r="P507" s="445"/>
      <c r="Q507" s="291"/>
      <c r="R507" s="291"/>
      <c r="S507" s="275"/>
      <c r="T507" s="275"/>
      <c r="U507" s="275"/>
      <c r="V507" s="275"/>
      <c r="W507" s="275"/>
      <c r="X507" s="275"/>
      <c r="Y507" s="275"/>
      <c r="Z507" s="275"/>
      <c r="AA507" s="275"/>
      <c r="AB507" s="275"/>
      <c r="AC507" s="275"/>
      <c r="AD507" s="275"/>
      <c r="AE507" s="275"/>
      <c r="AF507" s="275"/>
      <c r="AG507" s="275"/>
      <c r="AH507" s="438"/>
      <c r="AI507" s="439">
        <f t="shared" si="56"/>
        <v>0</v>
      </c>
      <c r="AJ507" s="263"/>
      <c r="AK507" s="263"/>
      <c r="AL507" s="263"/>
      <c r="AM507" s="263"/>
      <c r="AN507" s="263"/>
      <c r="AO507" s="263"/>
      <c r="AP507" s="263"/>
      <c r="AQ507" s="436"/>
      <c r="AR507" s="275"/>
      <c r="AS507" s="275"/>
      <c r="AT507" s="275"/>
      <c r="AU507" s="275"/>
      <c r="AV507" s="275"/>
      <c r="AW507" s="275"/>
      <c r="AX507" s="275"/>
      <c r="AY507" s="437"/>
      <c r="AZ507" s="440">
        <f t="shared" si="57"/>
        <v>0</v>
      </c>
      <c r="BA507" s="275"/>
      <c r="BB507" s="275"/>
      <c r="BC507" s="275"/>
      <c r="BD507" s="275"/>
      <c r="BE507" s="275"/>
      <c r="BF507" s="275"/>
      <c r="BG507" s="275"/>
      <c r="BH507" s="436"/>
      <c r="BI507" s="275"/>
      <c r="BJ507" s="275"/>
      <c r="BK507" s="291"/>
      <c r="BL507" s="291"/>
      <c r="BM507" s="275"/>
      <c r="BN507" s="275"/>
      <c r="BO507" s="438"/>
      <c r="BP507" s="436"/>
      <c r="BQ507" s="275"/>
      <c r="BR507" s="275"/>
      <c r="BS507" s="275"/>
      <c r="BT507" s="275"/>
      <c r="BU507" s="275"/>
      <c r="BV507" s="275"/>
      <c r="BW507" s="275"/>
      <c r="BX507" s="438"/>
      <c r="BY507" s="436"/>
      <c r="BZ507" s="275"/>
      <c r="CA507" s="275"/>
      <c r="CB507" s="275"/>
      <c r="CC507" s="275"/>
      <c r="CD507" s="275"/>
      <c r="CE507" s="275"/>
      <c r="CF507" s="275"/>
      <c r="CG507" s="438"/>
      <c r="CH507" s="436"/>
      <c r="CI507" s="275"/>
      <c r="CJ507" s="275"/>
      <c r="CK507" s="275"/>
      <c r="CL507" s="275"/>
      <c r="CM507" s="275"/>
      <c r="CN507" s="275"/>
      <c r="CO507" s="442"/>
      <c r="CP507" s="443"/>
      <c r="CQ507" s="429">
        <f t="shared" si="58"/>
        <v>0</v>
      </c>
      <c r="CR507" s="430"/>
    </row>
    <row r="508" spans="1:96" ht="25.5" customHeight="1" x14ac:dyDescent="0.2">
      <c r="A508" s="410">
        <f t="shared" si="59"/>
        <v>493</v>
      </c>
      <c r="B508" s="280"/>
      <c r="C508" s="453"/>
      <c r="D508" s="411"/>
      <c r="E508" s="254"/>
      <c r="F508" s="277"/>
      <c r="G508" s="450"/>
      <c r="H508" s="451"/>
      <c r="I508" s="433" t="str">
        <f t="shared" si="53"/>
        <v/>
      </c>
      <c r="J508" s="434">
        <f t="shared" si="54"/>
        <v>0</v>
      </c>
      <c r="K508" s="452"/>
      <c r="L508" s="276"/>
      <c r="M508" s="435"/>
      <c r="N508" s="417" t="str">
        <f t="shared" si="55"/>
        <v/>
      </c>
      <c r="O508" s="418" t="str">
        <f>IF('Data Set up'!$G$40="JUNE",IF(OR($N508=7,$N508=8,$N508=9),1,IF(OR($N508=10,$N508=11,$N508=12),2,IF(OR($N508=1,$N508=2,$N508=3),3,IF(OR($N508=4,$N508=5,$N508=6),4,"")))),IF(OR($N508=9,$N508=10,$N508=11),1,IF(OR($N508=12,$N508=1,$N508=2),2,IF(OR($N508=3,$N508=4,$N508=5),3,IF(OR($N508=6,$N508=7,$N508=8),4,"")))))</f>
        <v/>
      </c>
      <c r="P508" s="445"/>
      <c r="Q508" s="291"/>
      <c r="R508" s="291"/>
      <c r="S508" s="275"/>
      <c r="T508" s="275"/>
      <c r="U508" s="275"/>
      <c r="V508" s="275"/>
      <c r="W508" s="275"/>
      <c r="X508" s="275"/>
      <c r="Y508" s="275"/>
      <c r="Z508" s="275"/>
      <c r="AA508" s="275"/>
      <c r="AB508" s="275"/>
      <c r="AC508" s="275"/>
      <c r="AD508" s="275"/>
      <c r="AE508" s="275"/>
      <c r="AF508" s="275"/>
      <c r="AG508" s="275"/>
      <c r="AH508" s="438"/>
      <c r="AI508" s="439">
        <f t="shared" si="56"/>
        <v>0</v>
      </c>
      <c r="AJ508" s="263"/>
      <c r="AK508" s="263"/>
      <c r="AL508" s="263"/>
      <c r="AM508" s="263"/>
      <c r="AN508" s="263"/>
      <c r="AO508" s="263"/>
      <c r="AP508" s="263"/>
      <c r="AQ508" s="436"/>
      <c r="AR508" s="275"/>
      <c r="AS508" s="275"/>
      <c r="AT508" s="275"/>
      <c r="AU508" s="275"/>
      <c r="AV508" s="275"/>
      <c r="AW508" s="275"/>
      <c r="AX508" s="275"/>
      <c r="AY508" s="437"/>
      <c r="AZ508" s="440">
        <f t="shared" si="57"/>
        <v>0</v>
      </c>
      <c r="BA508" s="275"/>
      <c r="BB508" s="275"/>
      <c r="BC508" s="275"/>
      <c r="BD508" s="275"/>
      <c r="BE508" s="275"/>
      <c r="BF508" s="275"/>
      <c r="BG508" s="275"/>
      <c r="BH508" s="436"/>
      <c r="BI508" s="275"/>
      <c r="BJ508" s="275"/>
      <c r="BK508" s="291"/>
      <c r="BL508" s="291"/>
      <c r="BM508" s="275"/>
      <c r="BN508" s="275"/>
      <c r="BO508" s="438"/>
      <c r="BP508" s="436"/>
      <c r="BQ508" s="275"/>
      <c r="BR508" s="275"/>
      <c r="BS508" s="275"/>
      <c r="BT508" s="275"/>
      <c r="BU508" s="275"/>
      <c r="BV508" s="275"/>
      <c r="BW508" s="275"/>
      <c r="BX508" s="438"/>
      <c r="BY508" s="436"/>
      <c r="BZ508" s="275"/>
      <c r="CA508" s="275"/>
      <c r="CB508" s="275"/>
      <c r="CC508" s="275"/>
      <c r="CD508" s="275"/>
      <c r="CE508" s="275"/>
      <c r="CF508" s="275"/>
      <c r="CG508" s="438"/>
      <c r="CH508" s="436"/>
      <c r="CI508" s="275"/>
      <c r="CJ508" s="275"/>
      <c r="CK508" s="275"/>
      <c r="CL508" s="275"/>
      <c r="CM508" s="275"/>
      <c r="CN508" s="275"/>
      <c r="CO508" s="442"/>
      <c r="CP508" s="443"/>
      <c r="CQ508" s="429">
        <f t="shared" si="58"/>
        <v>0</v>
      </c>
      <c r="CR508" s="430"/>
    </row>
    <row r="509" spans="1:96" ht="25.5" customHeight="1" x14ac:dyDescent="0.2">
      <c r="A509" s="410">
        <f t="shared" si="59"/>
        <v>494</v>
      </c>
      <c r="B509" s="280"/>
      <c r="C509" s="453"/>
      <c r="D509" s="411"/>
      <c r="E509" s="254"/>
      <c r="F509" s="277"/>
      <c r="G509" s="450"/>
      <c r="H509" s="451"/>
      <c r="I509" s="433" t="str">
        <f t="shared" si="53"/>
        <v/>
      </c>
      <c r="J509" s="434">
        <f t="shared" si="54"/>
        <v>0</v>
      </c>
      <c r="K509" s="452"/>
      <c r="L509" s="276"/>
      <c r="M509" s="435"/>
      <c r="N509" s="417" t="str">
        <f t="shared" si="55"/>
        <v/>
      </c>
      <c r="O509" s="418" t="str">
        <f>IF('Data Set up'!$G$40="JUNE",IF(OR($N509=7,$N509=8,$N509=9),1,IF(OR($N509=10,$N509=11,$N509=12),2,IF(OR($N509=1,$N509=2,$N509=3),3,IF(OR($N509=4,$N509=5,$N509=6),4,"")))),IF(OR($N509=9,$N509=10,$N509=11),1,IF(OR($N509=12,$N509=1,$N509=2),2,IF(OR($N509=3,$N509=4,$N509=5),3,IF(OR($N509=6,$N509=7,$N509=8),4,"")))))</f>
        <v/>
      </c>
      <c r="P509" s="445"/>
      <c r="Q509" s="291"/>
      <c r="R509" s="291"/>
      <c r="S509" s="275"/>
      <c r="T509" s="275"/>
      <c r="U509" s="275"/>
      <c r="V509" s="275"/>
      <c r="W509" s="275"/>
      <c r="X509" s="275"/>
      <c r="Y509" s="275"/>
      <c r="Z509" s="275"/>
      <c r="AA509" s="275"/>
      <c r="AB509" s="275"/>
      <c r="AC509" s="275"/>
      <c r="AD509" s="275"/>
      <c r="AE509" s="275"/>
      <c r="AF509" s="275"/>
      <c r="AG509" s="275"/>
      <c r="AH509" s="438"/>
      <c r="AI509" s="439">
        <f t="shared" si="56"/>
        <v>0</v>
      </c>
      <c r="AJ509" s="263"/>
      <c r="AK509" s="263"/>
      <c r="AL509" s="263"/>
      <c r="AM509" s="263"/>
      <c r="AN509" s="263"/>
      <c r="AO509" s="263"/>
      <c r="AP509" s="263"/>
      <c r="AQ509" s="436"/>
      <c r="AR509" s="275"/>
      <c r="AS509" s="275"/>
      <c r="AT509" s="275"/>
      <c r="AU509" s="275"/>
      <c r="AV509" s="275"/>
      <c r="AW509" s="275"/>
      <c r="AX509" s="275"/>
      <c r="AY509" s="437"/>
      <c r="AZ509" s="440">
        <f t="shared" si="57"/>
        <v>0</v>
      </c>
      <c r="BA509" s="275"/>
      <c r="BB509" s="275"/>
      <c r="BC509" s="275"/>
      <c r="BD509" s="275"/>
      <c r="BE509" s="275"/>
      <c r="BF509" s="275"/>
      <c r="BG509" s="275"/>
      <c r="BH509" s="436"/>
      <c r="BI509" s="275"/>
      <c r="BJ509" s="275"/>
      <c r="BK509" s="291"/>
      <c r="BL509" s="291"/>
      <c r="BM509" s="275"/>
      <c r="BN509" s="275"/>
      <c r="BO509" s="438"/>
      <c r="BP509" s="436"/>
      <c r="BQ509" s="275"/>
      <c r="BR509" s="275"/>
      <c r="BS509" s="275"/>
      <c r="BT509" s="275"/>
      <c r="BU509" s="275"/>
      <c r="BV509" s="275"/>
      <c r="BW509" s="275"/>
      <c r="BX509" s="438"/>
      <c r="BY509" s="436"/>
      <c r="BZ509" s="275"/>
      <c r="CA509" s="275"/>
      <c r="CB509" s="275"/>
      <c r="CC509" s="275"/>
      <c r="CD509" s="275"/>
      <c r="CE509" s="275"/>
      <c r="CF509" s="275"/>
      <c r="CG509" s="438"/>
      <c r="CH509" s="436"/>
      <c r="CI509" s="275"/>
      <c r="CJ509" s="275"/>
      <c r="CK509" s="275"/>
      <c r="CL509" s="275"/>
      <c r="CM509" s="275"/>
      <c r="CN509" s="275"/>
      <c r="CO509" s="442"/>
      <c r="CP509" s="443"/>
      <c r="CQ509" s="429">
        <f t="shared" si="58"/>
        <v>0</v>
      </c>
      <c r="CR509" s="430"/>
    </row>
    <row r="510" spans="1:96" ht="25.5" customHeight="1" x14ac:dyDescent="0.2">
      <c r="A510" s="410">
        <f t="shared" si="59"/>
        <v>495</v>
      </c>
      <c r="B510" s="280"/>
      <c r="C510" s="453"/>
      <c r="D510" s="411"/>
      <c r="E510" s="254"/>
      <c r="F510" s="277"/>
      <c r="G510" s="450"/>
      <c r="H510" s="451"/>
      <c r="I510" s="433" t="str">
        <f t="shared" si="53"/>
        <v/>
      </c>
      <c r="J510" s="434">
        <f t="shared" si="54"/>
        <v>0</v>
      </c>
      <c r="K510" s="452"/>
      <c r="L510" s="276"/>
      <c r="M510" s="435"/>
      <c r="N510" s="417" t="str">
        <f t="shared" si="55"/>
        <v/>
      </c>
      <c r="O510" s="418" t="str">
        <f>IF('Data Set up'!$G$40="JUNE",IF(OR($N510=7,$N510=8,$N510=9),1,IF(OR($N510=10,$N510=11,$N510=12),2,IF(OR($N510=1,$N510=2,$N510=3),3,IF(OR($N510=4,$N510=5,$N510=6),4,"")))),IF(OR($N510=9,$N510=10,$N510=11),1,IF(OR($N510=12,$N510=1,$N510=2),2,IF(OR($N510=3,$N510=4,$N510=5),3,IF(OR($N510=6,$N510=7,$N510=8),4,"")))))</f>
        <v/>
      </c>
      <c r="P510" s="445"/>
      <c r="Q510" s="291"/>
      <c r="R510" s="291"/>
      <c r="S510" s="275"/>
      <c r="T510" s="275"/>
      <c r="U510" s="275"/>
      <c r="V510" s="275"/>
      <c r="W510" s="275"/>
      <c r="X510" s="275"/>
      <c r="Y510" s="275"/>
      <c r="Z510" s="275"/>
      <c r="AA510" s="275"/>
      <c r="AB510" s="275"/>
      <c r="AC510" s="275"/>
      <c r="AD510" s="275"/>
      <c r="AE510" s="275"/>
      <c r="AF510" s="275"/>
      <c r="AG510" s="275"/>
      <c r="AH510" s="438"/>
      <c r="AI510" s="439">
        <f t="shared" si="56"/>
        <v>0</v>
      </c>
      <c r="AJ510" s="263"/>
      <c r="AK510" s="263"/>
      <c r="AL510" s="263"/>
      <c r="AM510" s="263"/>
      <c r="AN510" s="263"/>
      <c r="AO510" s="263"/>
      <c r="AP510" s="263"/>
      <c r="AQ510" s="436"/>
      <c r="AR510" s="275"/>
      <c r="AS510" s="275"/>
      <c r="AT510" s="275"/>
      <c r="AU510" s="275"/>
      <c r="AV510" s="275"/>
      <c r="AW510" s="275"/>
      <c r="AX510" s="275"/>
      <c r="AY510" s="437"/>
      <c r="AZ510" s="440">
        <f t="shared" si="57"/>
        <v>0</v>
      </c>
      <c r="BA510" s="275"/>
      <c r="BB510" s="275"/>
      <c r="BC510" s="275"/>
      <c r="BD510" s="275"/>
      <c r="BE510" s="275"/>
      <c r="BF510" s="275"/>
      <c r="BG510" s="275"/>
      <c r="BH510" s="436"/>
      <c r="BI510" s="275"/>
      <c r="BJ510" s="275"/>
      <c r="BK510" s="291"/>
      <c r="BL510" s="291"/>
      <c r="BM510" s="275"/>
      <c r="BN510" s="275"/>
      <c r="BO510" s="438"/>
      <c r="BP510" s="436"/>
      <c r="BQ510" s="275"/>
      <c r="BR510" s="275"/>
      <c r="BS510" s="275"/>
      <c r="BT510" s="275"/>
      <c r="BU510" s="275"/>
      <c r="BV510" s="275"/>
      <c r="BW510" s="275"/>
      <c r="BX510" s="438"/>
      <c r="BY510" s="436"/>
      <c r="BZ510" s="275"/>
      <c r="CA510" s="275"/>
      <c r="CB510" s="275"/>
      <c r="CC510" s="275"/>
      <c r="CD510" s="275"/>
      <c r="CE510" s="275"/>
      <c r="CF510" s="275"/>
      <c r="CG510" s="438"/>
      <c r="CH510" s="436"/>
      <c r="CI510" s="275"/>
      <c r="CJ510" s="275"/>
      <c r="CK510" s="275"/>
      <c r="CL510" s="275"/>
      <c r="CM510" s="275"/>
      <c r="CN510" s="275"/>
      <c r="CO510" s="442"/>
      <c r="CP510" s="443"/>
      <c r="CQ510" s="429">
        <f t="shared" si="58"/>
        <v>0</v>
      </c>
      <c r="CR510" s="430"/>
    </row>
    <row r="511" spans="1:96" ht="25.5" customHeight="1" x14ac:dyDescent="0.2">
      <c r="A511" s="410">
        <f t="shared" si="59"/>
        <v>496</v>
      </c>
      <c r="B511" s="280"/>
      <c r="C511" s="453"/>
      <c r="D511" s="411"/>
      <c r="E511" s="254"/>
      <c r="F511" s="277"/>
      <c r="G511" s="450"/>
      <c r="H511" s="451"/>
      <c r="I511" s="433" t="str">
        <f t="shared" si="53"/>
        <v/>
      </c>
      <c r="J511" s="434">
        <f t="shared" si="54"/>
        <v>0</v>
      </c>
      <c r="K511" s="452"/>
      <c r="L511" s="276"/>
      <c r="M511" s="435"/>
      <c r="N511" s="417" t="str">
        <f t="shared" si="55"/>
        <v/>
      </c>
      <c r="O511" s="418" t="str">
        <f>IF('Data Set up'!$G$40="JUNE",IF(OR($N511=7,$N511=8,$N511=9),1,IF(OR($N511=10,$N511=11,$N511=12),2,IF(OR($N511=1,$N511=2,$N511=3),3,IF(OR($N511=4,$N511=5,$N511=6),4,"")))),IF(OR($N511=9,$N511=10,$N511=11),1,IF(OR($N511=12,$N511=1,$N511=2),2,IF(OR($N511=3,$N511=4,$N511=5),3,IF(OR($N511=6,$N511=7,$N511=8),4,"")))))</f>
        <v/>
      </c>
      <c r="P511" s="445"/>
      <c r="Q511" s="291"/>
      <c r="R511" s="291"/>
      <c r="S511" s="275"/>
      <c r="T511" s="275"/>
      <c r="U511" s="275"/>
      <c r="V511" s="275"/>
      <c r="W511" s="275"/>
      <c r="X511" s="275"/>
      <c r="Y511" s="275"/>
      <c r="Z511" s="275"/>
      <c r="AA511" s="275"/>
      <c r="AB511" s="275"/>
      <c r="AC511" s="275"/>
      <c r="AD511" s="275"/>
      <c r="AE511" s="275"/>
      <c r="AF511" s="275"/>
      <c r="AG511" s="275"/>
      <c r="AH511" s="438"/>
      <c r="AI511" s="439">
        <f t="shared" si="56"/>
        <v>0</v>
      </c>
      <c r="AJ511" s="263"/>
      <c r="AK511" s="263"/>
      <c r="AL511" s="263"/>
      <c r="AM511" s="263"/>
      <c r="AN511" s="263"/>
      <c r="AO511" s="263"/>
      <c r="AP511" s="263"/>
      <c r="AQ511" s="436"/>
      <c r="AR511" s="275"/>
      <c r="AS511" s="275"/>
      <c r="AT511" s="275"/>
      <c r="AU511" s="275"/>
      <c r="AV511" s="275"/>
      <c r="AW511" s="275"/>
      <c r="AX511" s="275"/>
      <c r="AY511" s="437"/>
      <c r="AZ511" s="440">
        <f t="shared" si="57"/>
        <v>0</v>
      </c>
      <c r="BA511" s="275"/>
      <c r="BB511" s="275"/>
      <c r="BC511" s="275"/>
      <c r="BD511" s="275"/>
      <c r="BE511" s="275"/>
      <c r="BF511" s="275"/>
      <c r="BG511" s="275"/>
      <c r="BH511" s="436"/>
      <c r="BI511" s="275"/>
      <c r="BJ511" s="275"/>
      <c r="BK511" s="291"/>
      <c r="BL511" s="291"/>
      <c r="BM511" s="275"/>
      <c r="BN511" s="275"/>
      <c r="BO511" s="438"/>
      <c r="BP511" s="436"/>
      <c r="BQ511" s="275"/>
      <c r="BR511" s="275"/>
      <c r="BS511" s="275"/>
      <c r="BT511" s="275"/>
      <c r="BU511" s="275"/>
      <c r="BV511" s="275"/>
      <c r="BW511" s="275"/>
      <c r="BX511" s="438"/>
      <c r="BY511" s="436"/>
      <c r="BZ511" s="275"/>
      <c r="CA511" s="275"/>
      <c r="CB511" s="275"/>
      <c r="CC511" s="275"/>
      <c r="CD511" s="275"/>
      <c r="CE511" s="275"/>
      <c r="CF511" s="275"/>
      <c r="CG511" s="438"/>
      <c r="CH511" s="436"/>
      <c r="CI511" s="275"/>
      <c r="CJ511" s="275"/>
      <c r="CK511" s="275"/>
      <c r="CL511" s="275"/>
      <c r="CM511" s="275"/>
      <c r="CN511" s="275"/>
      <c r="CO511" s="442"/>
      <c r="CP511" s="443"/>
      <c r="CQ511" s="429">
        <f t="shared" si="58"/>
        <v>0</v>
      </c>
      <c r="CR511" s="430"/>
    </row>
    <row r="512" spans="1:96" ht="25.5" customHeight="1" x14ac:dyDescent="0.2">
      <c r="A512" s="410">
        <f t="shared" si="59"/>
        <v>497</v>
      </c>
      <c r="B512" s="280"/>
      <c r="C512" s="453"/>
      <c r="D512" s="411"/>
      <c r="E512" s="254"/>
      <c r="F512" s="277"/>
      <c r="G512" s="450"/>
      <c r="H512" s="451"/>
      <c r="I512" s="433" t="str">
        <f t="shared" si="53"/>
        <v/>
      </c>
      <c r="J512" s="434">
        <f t="shared" si="54"/>
        <v>0</v>
      </c>
      <c r="K512" s="452"/>
      <c r="L512" s="276"/>
      <c r="M512" s="435"/>
      <c r="N512" s="417" t="str">
        <f t="shared" si="55"/>
        <v/>
      </c>
      <c r="O512" s="418" t="str">
        <f>IF('Data Set up'!$G$40="JUNE",IF(OR($N512=7,$N512=8,$N512=9),1,IF(OR($N512=10,$N512=11,$N512=12),2,IF(OR($N512=1,$N512=2,$N512=3),3,IF(OR($N512=4,$N512=5,$N512=6),4,"")))),IF(OR($N512=9,$N512=10,$N512=11),1,IF(OR($N512=12,$N512=1,$N512=2),2,IF(OR($N512=3,$N512=4,$N512=5),3,IF(OR($N512=6,$N512=7,$N512=8),4,"")))))</f>
        <v/>
      </c>
      <c r="P512" s="445"/>
      <c r="Q512" s="291"/>
      <c r="R512" s="291"/>
      <c r="S512" s="275"/>
      <c r="T512" s="275"/>
      <c r="U512" s="275"/>
      <c r="V512" s="275"/>
      <c r="W512" s="275"/>
      <c r="X512" s="275"/>
      <c r="Y512" s="275"/>
      <c r="Z512" s="275"/>
      <c r="AA512" s="275"/>
      <c r="AB512" s="275"/>
      <c r="AC512" s="275"/>
      <c r="AD512" s="275"/>
      <c r="AE512" s="275"/>
      <c r="AF512" s="275"/>
      <c r="AG512" s="275"/>
      <c r="AH512" s="438"/>
      <c r="AI512" s="439">
        <f t="shared" si="56"/>
        <v>0</v>
      </c>
      <c r="AJ512" s="263"/>
      <c r="AK512" s="263"/>
      <c r="AL512" s="263"/>
      <c r="AM512" s="263"/>
      <c r="AN512" s="263"/>
      <c r="AO512" s="263"/>
      <c r="AP512" s="263"/>
      <c r="AQ512" s="436"/>
      <c r="AR512" s="275"/>
      <c r="AS512" s="275"/>
      <c r="AT512" s="275"/>
      <c r="AU512" s="275"/>
      <c r="AV512" s="275"/>
      <c r="AW512" s="275"/>
      <c r="AX512" s="275"/>
      <c r="AY512" s="437"/>
      <c r="AZ512" s="440">
        <f t="shared" si="57"/>
        <v>0</v>
      </c>
      <c r="BA512" s="275"/>
      <c r="BB512" s="275"/>
      <c r="BC512" s="275"/>
      <c r="BD512" s="275"/>
      <c r="BE512" s="275"/>
      <c r="BF512" s="275"/>
      <c r="BG512" s="275"/>
      <c r="BH512" s="436"/>
      <c r="BI512" s="275"/>
      <c r="BJ512" s="275"/>
      <c r="BK512" s="291"/>
      <c r="BL512" s="291"/>
      <c r="BM512" s="275"/>
      <c r="BN512" s="275"/>
      <c r="BO512" s="438"/>
      <c r="BP512" s="436"/>
      <c r="BQ512" s="275"/>
      <c r="BR512" s="275"/>
      <c r="BS512" s="275"/>
      <c r="BT512" s="275"/>
      <c r="BU512" s="275"/>
      <c r="BV512" s="275"/>
      <c r="BW512" s="275"/>
      <c r="BX512" s="438"/>
      <c r="BY512" s="436"/>
      <c r="BZ512" s="275"/>
      <c r="CA512" s="275"/>
      <c r="CB512" s="275"/>
      <c r="CC512" s="275"/>
      <c r="CD512" s="275"/>
      <c r="CE512" s="275"/>
      <c r="CF512" s="275"/>
      <c r="CG512" s="438"/>
      <c r="CH512" s="436"/>
      <c r="CI512" s="275"/>
      <c r="CJ512" s="275"/>
      <c r="CK512" s="275"/>
      <c r="CL512" s="275"/>
      <c r="CM512" s="275"/>
      <c r="CN512" s="275"/>
      <c r="CO512" s="442"/>
      <c r="CP512" s="443"/>
      <c r="CQ512" s="429">
        <f t="shared" si="58"/>
        <v>0</v>
      </c>
      <c r="CR512" s="430"/>
    </row>
    <row r="513" spans="1:96" ht="25.5" customHeight="1" x14ac:dyDescent="0.2">
      <c r="A513" s="410">
        <f t="shared" si="59"/>
        <v>498</v>
      </c>
      <c r="B513" s="280"/>
      <c r="C513" s="453"/>
      <c r="D513" s="411"/>
      <c r="E513" s="254"/>
      <c r="F513" s="277"/>
      <c r="G513" s="450"/>
      <c r="H513" s="451"/>
      <c r="I513" s="433" t="str">
        <f t="shared" si="53"/>
        <v/>
      </c>
      <c r="J513" s="434">
        <f t="shared" si="54"/>
        <v>0</v>
      </c>
      <c r="K513" s="452"/>
      <c r="L513" s="276"/>
      <c r="M513" s="435"/>
      <c r="N513" s="417" t="str">
        <f t="shared" si="55"/>
        <v/>
      </c>
      <c r="O513" s="418" t="str">
        <f>IF('Data Set up'!$G$40="JUNE",IF(OR($N513=7,$N513=8,$N513=9),1,IF(OR($N513=10,$N513=11,$N513=12),2,IF(OR($N513=1,$N513=2,$N513=3),3,IF(OR($N513=4,$N513=5,$N513=6),4,"")))),IF(OR($N513=9,$N513=10,$N513=11),1,IF(OR($N513=12,$N513=1,$N513=2),2,IF(OR($N513=3,$N513=4,$N513=5),3,IF(OR($N513=6,$N513=7,$N513=8),4,"")))))</f>
        <v/>
      </c>
      <c r="P513" s="445"/>
      <c r="Q513" s="291"/>
      <c r="R513" s="291"/>
      <c r="S513" s="275"/>
      <c r="T513" s="275"/>
      <c r="U513" s="275"/>
      <c r="V513" s="275"/>
      <c r="W513" s="275"/>
      <c r="X513" s="275"/>
      <c r="Y513" s="275"/>
      <c r="Z513" s="275"/>
      <c r="AA513" s="275"/>
      <c r="AB513" s="275"/>
      <c r="AC513" s="275"/>
      <c r="AD513" s="275"/>
      <c r="AE513" s="275"/>
      <c r="AF513" s="275"/>
      <c r="AG513" s="275"/>
      <c r="AH513" s="438"/>
      <c r="AI513" s="439">
        <f t="shared" si="56"/>
        <v>0</v>
      </c>
      <c r="AJ513" s="263"/>
      <c r="AK513" s="263"/>
      <c r="AL513" s="263"/>
      <c r="AM513" s="263"/>
      <c r="AN513" s="263"/>
      <c r="AO513" s="263"/>
      <c r="AP513" s="263"/>
      <c r="AQ513" s="436"/>
      <c r="AR513" s="275"/>
      <c r="AS513" s="275"/>
      <c r="AT513" s="275"/>
      <c r="AU513" s="275"/>
      <c r="AV513" s="275"/>
      <c r="AW513" s="275"/>
      <c r="AX513" s="275"/>
      <c r="AY513" s="437"/>
      <c r="AZ513" s="440">
        <f t="shared" si="57"/>
        <v>0</v>
      </c>
      <c r="BA513" s="275"/>
      <c r="BB513" s="275"/>
      <c r="BC513" s="275"/>
      <c r="BD513" s="275"/>
      <c r="BE513" s="275"/>
      <c r="BF513" s="275"/>
      <c r="BG513" s="275"/>
      <c r="BH513" s="436"/>
      <c r="BI513" s="275"/>
      <c r="BJ513" s="275"/>
      <c r="BK513" s="291"/>
      <c r="BL513" s="291"/>
      <c r="BM513" s="275"/>
      <c r="BN513" s="275"/>
      <c r="BO513" s="438"/>
      <c r="BP513" s="436"/>
      <c r="BQ513" s="275"/>
      <c r="BR513" s="275"/>
      <c r="BS513" s="275"/>
      <c r="BT513" s="275"/>
      <c r="BU513" s="275"/>
      <c r="BV513" s="275"/>
      <c r="BW513" s="275"/>
      <c r="BX513" s="438"/>
      <c r="BY513" s="436"/>
      <c r="BZ513" s="275"/>
      <c r="CA513" s="275"/>
      <c r="CB513" s="275"/>
      <c r="CC513" s="275"/>
      <c r="CD513" s="275"/>
      <c r="CE513" s="275"/>
      <c r="CF513" s="275"/>
      <c r="CG513" s="438"/>
      <c r="CH513" s="436"/>
      <c r="CI513" s="275"/>
      <c r="CJ513" s="275"/>
      <c r="CK513" s="275"/>
      <c r="CL513" s="275"/>
      <c r="CM513" s="275"/>
      <c r="CN513" s="275"/>
      <c r="CO513" s="442"/>
      <c r="CP513" s="443"/>
      <c r="CQ513" s="429">
        <f t="shared" si="58"/>
        <v>0</v>
      </c>
      <c r="CR513" s="430"/>
    </row>
    <row r="514" spans="1:96" ht="25.5" customHeight="1" x14ac:dyDescent="0.2">
      <c r="A514" s="410">
        <f t="shared" si="59"/>
        <v>499</v>
      </c>
      <c r="B514" s="280"/>
      <c r="C514" s="453"/>
      <c r="D514" s="411"/>
      <c r="E514" s="254"/>
      <c r="F514" s="277"/>
      <c r="G514" s="450"/>
      <c r="H514" s="451"/>
      <c r="I514" s="433" t="str">
        <f t="shared" si="53"/>
        <v/>
      </c>
      <c r="J514" s="434">
        <f t="shared" si="54"/>
        <v>0</v>
      </c>
      <c r="K514" s="452"/>
      <c r="L514" s="276"/>
      <c r="M514" s="435"/>
      <c r="N514" s="417" t="str">
        <f t="shared" si="55"/>
        <v/>
      </c>
      <c r="O514" s="418" t="str">
        <f>IF('Data Set up'!$G$40="JUNE",IF(OR($N514=7,$N514=8,$N514=9),1,IF(OR($N514=10,$N514=11,$N514=12),2,IF(OR($N514=1,$N514=2,$N514=3),3,IF(OR($N514=4,$N514=5,$N514=6),4,"")))),IF(OR($N514=9,$N514=10,$N514=11),1,IF(OR($N514=12,$N514=1,$N514=2),2,IF(OR($N514=3,$N514=4,$N514=5),3,IF(OR($N514=6,$N514=7,$N514=8),4,"")))))</f>
        <v/>
      </c>
      <c r="P514" s="445"/>
      <c r="Q514" s="291"/>
      <c r="R514" s="291"/>
      <c r="S514" s="275"/>
      <c r="T514" s="275"/>
      <c r="U514" s="275"/>
      <c r="V514" s="275"/>
      <c r="W514" s="275"/>
      <c r="X514" s="275"/>
      <c r="Y514" s="275"/>
      <c r="Z514" s="275"/>
      <c r="AA514" s="275"/>
      <c r="AB514" s="275"/>
      <c r="AC514" s="275"/>
      <c r="AD514" s="275"/>
      <c r="AE514" s="275"/>
      <c r="AF514" s="275"/>
      <c r="AG514" s="275"/>
      <c r="AH514" s="438"/>
      <c r="AI514" s="439">
        <f t="shared" si="56"/>
        <v>0</v>
      </c>
      <c r="AJ514" s="263"/>
      <c r="AK514" s="263"/>
      <c r="AL514" s="263"/>
      <c r="AM514" s="263"/>
      <c r="AN514" s="263"/>
      <c r="AO514" s="263"/>
      <c r="AP514" s="263"/>
      <c r="AQ514" s="436"/>
      <c r="AR514" s="275"/>
      <c r="AS514" s="275"/>
      <c r="AT514" s="275"/>
      <c r="AU514" s="275"/>
      <c r="AV514" s="275"/>
      <c r="AW514" s="275"/>
      <c r="AX514" s="275"/>
      <c r="AY514" s="437"/>
      <c r="AZ514" s="440">
        <f t="shared" si="57"/>
        <v>0</v>
      </c>
      <c r="BA514" s="275"/>
      <c r="BB514" s="275"/>
      <c r="BC514" s="275"/>
      <c r="BD514" s="275"/>
      <c r="BE514" s="275"/>
      <c r="BF514" s="275"/>
      <c r="BG514" s="275"/>
      <c r="BH514" s="436"/>
      <c r="BI514" s="275"/>
      <c r="BJ514" s="275"/>
      <c r="BK514" s="291"/>
      <c r="BL514" s="291"/>
      <c r="BM514" s="275"/>
      <c r="BN514" s="275"/>
      <c r="BO514" s="438"/>
      <c r="BP514" s="436"/>
      <c r="BQ514" s="275"/>
      <c r="BR514" s="275"/>
      <c r="BS514" s="275"/>
      <c r="BT514" s="275"/>
      <c r="BU514" s="275"/>
      <c r="BV514" s="275"/>
      <c r="BW514" s="275"/>
      <c r="BX514" s="438"/>
      <c r="BY514" s="436"/>
      <c r="BZ514" s="275"/>
      <c r="CA514" s="275"/>
      <c r="CB514" s="275"/>
      <c r="CC514" s="275"/>
      <c r="CD514" s="275"/>
      <c r="CE514" s="275"/>
      <c r="CF514" s="275"/>
      <c r="CG514" s="438"/>
      <c r="CH514" s="436"/>
      <c r="CI514" s="275"/>
      <c r="CJ514" s="275"/>
      <c r="CK514" s="275"/>
      <c r="CL514" s="275"/>
      <c r="CM514" s="275"/>
      <c r="CN514" s="275"/>
      <c r="CO514" s="442"/>
      <c r="CP514" s="443"/>
      <c r="CQ514" s="429">
        <f t="shared" si="58"/>
        <v>0</v>
      </c>
      <c r="CR514" s="430"/>
    </row>
    <row r="515" spans="1:96" ht="25.5" customHeight="1" x14ac:dyDescent="0.2">
      <c r="A515" s="410">
        <f t="shared" si="59"/>
        <v>500</v>
      </c>
      <c r="B515" s="280"/>
      <c r="C515" s="453"/>
      <c r="D515" s="411"/>
      <c r="E515" s="254"/>
      <c r="F515" s="277"/>
      <c r="G515" s="450"/>
      <c r="H515" s="451"/>
      <c r="I515" s="454" t="str">
        <f t="shared" si="53"/>
        <v/>
      </c>
      <c r="J515" s="434">
        <f t="shared" si="54"/>
        <v>0</v>
      </c>
      <c r="K515" s="452"/>
      <c r="L515" s="276"/>
      <c r="M515" s="435"/>
      <c r="N515" s="417" t="str">
        <f t="shared" si="55"/>
        <v/>
      </c>
      <c r="O515" s="418" t="str">
        <f>IF('Data Set up'!$G$40="JUNE",IF(OR($N515=7,$N515=8,$N515=9),1,IF(OR($N515=10,$N515=11,$N515=12),2,IF(OR($N515=1,$N515=2,$N515=3),3,IF(OR($N515=4,$N515=5,$N515=6),4,"")))),IF(OR($N515=9,$N515=10,$N515=11),1,IF(OR($N515=12,$N515=1,$N515=2),2,IF(OR($N515=3,$N515=4,$N515=5),3,IF(OR($N515=6,$N515=7,$N515=8),4,"")))))</f>
        <v/>
      </c>
      <c r="P515" s="445"/>
      <c r="Q515" s="291"/>
      <c r="R515" s="291"/>
      <c r="S515" s="275"/>
      <c r="T515" s="275"/>
      <c r="U515" s="275"/>
      <c r="V515" s="275"/>
      <c r="W515" s="275"/>
      <c r="X515" s="275"/>
      <c r="Y515" s="275"/>
      <c r="Z515" s="275"/>
      <c r="AA515" s="275"/>
      <c r="AB515" s="275"/>
      <c r="AC515" s="275"/>
      <c r="AD515" s="275"/>
      <c r="AE515" s="275"/>
      <c r="AF515" s="275"/>
      <c r="AG515" s="275"/>
      <c r="AH515" s="438"/>
      <c r="AI515" s="439">
        <f t="shared" si="56"/>
        <v>0</v>
      </c>
      <c r="AJ515" s="263"/>
      <c r="AK515" s="263"/>
      <c r="AL515" s="263"/>
      <c r="AM515" s="263"/>
      <c r="AN515" s="263"/>
      <c r="AO515" s="263"/>
      <c r="AP515" s="263"/>
      <c r="AQ515" s="436"/>
      <c r="AR515" s="275"/>
      <c r="AS515" s="275"/>
      <c r="AT515" s="275"/>
      <c r="AU515" s="275"/>
      <c r="AV515" s="275"/>
      <c r="AW515" s="275"/>
      <c r="AX515" s="275"/>
      <c r="AY515" s="437"/>
      <c r="AZ515" s="440">
        <f t="shared" si="57"/>
        <v>0</v>
      </c>
      <c r="BA515" s="275"/>
      <c r="BB515" s="275"/>
      <c r="BC515" s="275"/>
      <c r="BD515" s="275"/>
      <c r="BE515" s="275"/>
      <c r="BF515" s="275"/>
      <c r="BG515" s="275"/>
      <c r="BH515" s="436"/>
      <c r="BI515" s="275"/>
      <c r="BJ515" s="275"/>
      <c r="BK515" s="291"/>
      <c r="BL515" s="291"/>
      <c r="BM515" s="275"/>
      <c r="BN515" s="275"/>
      <c r="BO515" s="455"/>
      <c r="BP515" s="456"/>
      <c r="BQ515" s="457"/>
      <c r="BR515" s="457"/>
      <c r="BS515" s="457"/>
      <c r="BT515" s="457"/>
      <c r="BU515" s="457"/>
      <c r="BV515" s="457"/>
      <c r="BW515" s="457"/>
      <c r="BX515" s="458"/>
      <c r="BY515" s="436"/>
      <c r="BZ515" s="275"/>
      <c r="CA515" s="275"/>
      <c r="CB515" s="275"/>
      <c r="CC515" s="275"/>
      <c r="CD515" s="275"/>
      <c r="CE515" s="275"/>
      <c r="CF515" s="275"/>
      <c r="CG515" s="438"/>
      <c r="CH515" s="436"/>
      <c r="CI515" s="275"/>
      <c r="CJ515" s="275"/>
      <c r="CK515" s="275"/>
      <c r="CL515" s="275"/>
      <c r="CM515" s="275"/>
      <c r="CN515" s="275"/>
      <c r="CO515" s="442"/>
      <c r="CP515" s="443"/>
      <c r="CQ515" s="429">
        <f t="shared" si="58"/>
        <v>0</v>
      </c>
      <c r="CR515" s="398"/>
    </row>
    <row r="516" spans="1:96" x14ac:dyDescent="0.2">
      <c r="D516" s="1505" t="str">
        <f>IF(D4=2,"TOTAUX","TOTALS")</f>
        <v>TOTALS</v>
      </c>
      <c r="E516" s="1505"/>
      <c r="F516" s="1505"/>
      <c r="G516" s="318">
        <f>SUM(G16:G515)</f>
        <v>0</v>
      </c>
      <c r="H516" s="459"/>
      <c r="I516" s="460"/>
      <c r="J516" s="461">
        <f>+SUM(J16:J515)</f>
        <v>0</v>
      </c>
      <c r="K516" s="462">
        <f>+SUM(K16:K515)</f>
        <v>0</v>
      </c>
      <c r="L516" s="462">
        <f>+SUM(L16:L515)</f>
        <v>0</v>
      </c>
      <c r="M516" s="463">
        <f>+SUM(M16:M515)</f>
        <v>0</v>
      </c>
      <c r="N516" s="464"/>
      <c r="O516" s="464"/>
      <c r="P516" s="465">
        <f t="shared" ref="P516:AU516" si="60">+SUM(P16:P515)</f>
        <v>0</v>
      </c>
      <c r="Q516" s="466">
        <f t="shared" si="60"/>
        <v>0</v>
      </c>
      <c r="R516" s="466">
        <f t="shared" si="60"/>
        <v>0</v>
      </c>
      <c r="S516" s="466">
        <f t="shared" si="60"/>
        <v>0</v>
      </c>
      <c r="T516" s="466">
        <f t="shared" si="60"/>
        <v>0</v>
      </c>
      <c r="U516" s="466">
        <f t="shared" si="60"/>
        <v>0</v>
      </c>
      <c r="V516" s="466">
        <f t="shared" si="60"/>
        <v>0</v>
      </c>
      <c r="W516" s="466">
        <f t="shared" si="60"/>
        <v>0</v>
      </c>
      <c r="X516" s="466">
        <f t="shared" si="60"/>
        <v>0</v>
      </c>
      <c r="Y516" s="466">
        <f t="shared" si="60"/>
        <v>0</v>
      </c>
      <c r="Z516" s="466">
        <f t="shared" si="60"/>
        <v>0</v>
      </c>
      <c r="AA516" s="466">
        <f t="shared" si="60"/>
        <v>0</v>
      </c>
      <c r="AB516" s="466">
        <f t="shared" si="60"/>
        <v>0</v>
      </c>
      <c r="AC516" s="466">
        <f t="shared" si="60"/>
        <v>0</v>
      </c>
      <c r="AD516" s="466">
        <f t="shared" si="60"/>
        <v>0</v>
      </c>
      <c r="AE516" s="466">
        <f t="shared" si="60"/>
        <v>0</v>
      </c>
      <c r="AF516" s="466">
        <f t="shared" si="60"/>
        <v>0</v>
      </c>
      <c r="AG516" s="466">
        <f t="shared" si="60"/>
        <v>0</v>
      </c>
      <c r="AH516" s="467">
        <f t="shared" si="60"/>
        <v>0</v>
      </c>
      <c r="AI516" s="468">
        <f t="shared" si="60"/>
        <v>0</v>
      </c>
      <c r="AJ516" s="327">
        <f t="shared" si="60"/>
        <v>0</v>
      </c>
      <c r="AK516" s="327">
        <f t="shared" si="60"/>
        <v>0</v>
      </c>
      <c r="AL516" s="327">
        <f t="shared" si="60"/>
        <v>0</v>
      </c>
      <c r="AM516" s="327">
        <f t="shared" si="60"/>
        <v>0</v>
      </c>
      <c r="AN516" s="327">
        <f t="shared" si="60"/>
        <v>0</v>
      </c>
      <c r="AO516" s="327">
        <f t="shared" si="60"/>
        <v>0</v>
      </c>
      <c r="AP516" s="327">
        <f t="shared" si="60"/>
        <v>0</v>
      </c>
      <c r="AQ516" s="465">
        <f t="shared" si="60"/>
        <v>0</v>
      </c>
      <c r="AR516" s="466">
        <f t="shared" si="60"/>
        <v>0</v>
      </c>
      <c r="AS516" s="466">
        <f t="shared" si="60"/>
        <v>0</v>
      </c>
      <c r="AT516" s="466">
        <f t="shared" si="60"/>
        <v>0</v>
      </c>
      <c r="AU516" s="466">
        <f t="shared" si="60"/>
        <v>0</v>
      </c>
      <c r="AV516" s="466">
        <f t="shared" ref="AV516:CA516" si="61">+SUM(AV16:AV515)</f>
        <v>0</v>
      </c>
      <c r="AW516" s="466">
        <f t="shared" si="61"/>
        <v>0</v>
      </c>
      <c r="AX516" s="466">
        <f t="shared" si="61"/>
        <v>0</v>
      </c>
      <c r="AY516" s="466">
        <f t="shared" si="61"/>
        <v>0</v>
      </c>
      <c r="AZ516" s="469">
        <f t="shared" si="61"/>
        <v>0</v>
      </c>
      <c r="BA516" s="466">
        <f t="shared" si="61"/>
        <v>0</v>
      </c>
      <c r="BB516" s="466">
        <f t="shared" si="61"/>
        <v>0</v>
      </c>
      <c r="BC516" s="466">
        <f t="shared" si="61"/>
        <v>0</v>
      </c>
      <c r="BD516" s="466">
        <f t="shared" si="61"/>
        <v>0</v>
      </c>
      <c r="BE516" s="466">
        <f t="shared" si="61"/>
        <v>0</v>
      </c>
      <c r="BF516" s="466">
        <f t="shared" si="61"/>
        <v>0</v>
      </c>
      <c r="BG516" s="466">
        <f t="shared" si="61"/>
        <v>0</v>
      </c>
      <c r="BH516" s="465">
        <f t="shared" si="61"/>
        <v>0</v>
      </c>
      <c r="BI516" s="466">
        <f t="shared" si="61"/>
        <v>0</v>
      </c>
      <c r="BJ516" s="466">
        <f t="shared" si="61"/>
        <v>0</v>
      </c>
      <c r="BK516" s="466">
        <f t="shared" si="61"/>
        <v>0</v>
      </c>
      <c r="BL516" s="466">
        <f t="shared" si="61"/>
        <v>0</v>
      </c>
      <c r="BM516" s="466">
        <f t="shared" si="61"/>
        <v>0</v>
      </c>
      <c r="BN516" s="466">
        <f t="shared" si="61"/>
        <v>0</v>
      </c>
      <c r="BO516" s="467">
        <f t="shared" si="61"/>
        <v>0</v>
      </c>
      <c r="BP516" s="465">
        <f t="shared" si="61"/>
        <v>0</v>
      </c>
      <c r="BQ516" s="466">
        <f t="shared" si="61"/>
        <v>0</v>
      </c>
      <c r="BR516" s="466">
        <f t="shared" si="61"/>
        <v>0</v>
      </c>
      <c r="BS516" s="466">
        <f t="shared" si="61"/>
        <v>0</v>
      </c>
      <c r="BT516" s="466">
        <f t="shared" si="61"/>
        <v>0</v>
      </c>
      <c r="BU516" s="466">
        <f t="shared" si="61"/>
        <v>0</v>
      </c>
      <c r="BV516" s="466">
        <f t="shared" si="61"/>
        <v>0</v>
      </c>
      <c r="BW516" s="466">
        <f t="shared" si="61"/>
        <v>0</v>
      </c>
      <c r="BX516" s="466">
        <f t="shared" si="61"/>
        <v>0</v>
      </c>
      <c r="BY516" s="465">
        <f t="shared" si="61"/>
        <v>0</v>
      </c>
      <c r="BZ516" s="466">
        <f t="shared" si="61"/>
        <v>0</v>
      </c>
      <c r="CA516" s="466">
        <f t="shared" si="61"/>
        <v>0</v>
      </c>
      <c r="CB516" s="466">
        <f t="shared" ref="CB516:CP516" si="62">+SUM(CB16:CB515)</f>
        <v>0</v>
      </c>
      <c r="CC516" s="466">
        <f t="shared" si="62"/>
        <v>0</v>
      </c>
      <c r="CD516" s="466">
        <f t="shared" si="62"/>
        <v>0</v>
      </c>
      <c r="CE516" s="466">
        <f t="shared" si="62"/>
        <v>0</v>
      </c>
      <c r="CF516" s="466">
        <f t="shared" si="62"/>
        <v>0</v>
      </c>
      <c r="CG516" s="466">
        <f t="shared" si="62"/>
        <v>0</v>
      </c>
      <c r="CH516" s="465">
        <f t="shared" si="62"/>
        <v>0</v>
      </c>
      <c r="CI516" s="466">
        <f t="shared" si="62"/>
        <v>0</v>
      </c>
      <c r="CJ516" s="466">
        <f t="shared" si="62"/>
        <v>0</v>
      </c>
      <c r="CK516" s="466">
        <f t="shared" si="62"/>
        <v>0</v>
      </c>
      <c r="CL516" s="466">
        <f t="shared" si="62"/>
        <v>0</v>
      </c>
      <c r="CM516" s="466">
        <f t="shared" si="62"/>
        <v>0</v>
      </c>
      <c r="CN516" s="466">
        <f t="shared" si="62"/>
        <v>0</v>
      </c>
      <c r="CO516" s="466">
        <f t="shared" si="62"/>
        <v>0</v>
      </c>
      <c r="CP516" s="470">
        <f t="shared" si="62"/>
        <v>0</v>
      </c>
      <c r="CQ516" s="1"/>
      <c r="CR516" s="398"/>
    </row>
    <row r="517" spans="1:96" x14ac:dyDescent="0.2">
      <c r="D517" s="1506"/>
      <c r="E517" s="1506"/>
      <c r="F517" s="1506"/>
      <c r="G517" s="355"/>
      <c r="H517" s="143"/>
      <c r="I517" s="143"/>
      <c r="J517" s="143"/>
      <c r="K517" s="143"/>
      <c r="L517" s="143"/>
      <c r="M517" s="143"/>
      <c r="N517" s="143"/>
      <c r="O517" s="143"/>
      <c r="P517" s="333"/>
      <c r="AS517" s="1516"/>
      <c r="AT517" s="1516"/>
      <c r="AU517" s="1516"/>
      <c r="AV517" s="1516"/>
      <c r="AW517" s="1516"/>
      <c r="AX517" s="1516"/>
      <c r="AY517" s="1516"/>
      <c r="BA517" s="471"/>
      <c r="BB517" s="471"/>
      <c r="BC517" s="471"/>
      <c r="BD517" s="471"/>
      <c r="BE517" s="471"/>
      <c r="BF517" s="471"/>
      <c r="BG517" s="471"/>
      <c r="BH517" s="471"/>
      <c r="BI517" s="471"/>
      <c r="BJ517" s="471"/>
      <c r="BK517" s="471"/>
      <c r="BL517" s="471"/>
      <c r="BM517" s="471"/>
      <c r="BN517" s="471"/>
      <c r="BO517" s="471"/>
      <c r="BP517" s="471"/>
      <c r="BQ517" s="471"/>
      <c r="BR517" s="471"/>
      <c r="BS517" s="471"/>
      <c r="BT517" s="471"/>
      <c r="BU517" s="471"/>
      <c r="BV517" s="471"/>
      <c r="BW517" s="471"/>
      <c r="BX517" s="471"/>
      <c r="BY517" s="471"/>
      <c r="CQ517" s="334"/>
    </row>
    <row r="518" spans="1:96" ht="12.75" customHeight="1" x14ac:dyDescent="0.2">
      <c r="E518" s="1507" t="str">
        <f>IF(D4=2,"Montant total réconcilié","RECONCILED TOTAL")</f>
        <v>RECONCILED TOTAL</v>
      </c>
      <c r="F518" s="1507"/>
      <c r="G518" s="335">
        <f>SUMIF(B16:B515,B6,G16:G515)</f>
        <v>0</v>
      </c>
      <c r="H518" s="472"/>
    </row>
    <row r="519" spans="1:96" x14ac:dyDescent="0.2">
      <c r="E519" s="80"/>
      <c r="G519" s="473"/>
    </row>
    <row r="520" spans="1:96" ht="15.75" customHeight="1" x14ac:dyDescent="0.2">
      <c r="E520" s="1507" t="str">
        <f>IF(D4=2,"Montant total non réconcilié","UNRECONCILED TOTAL")</f>
        <v>UNRECONCILED TOTAL</v>
      </c>
      <c r="F520" s="1507"/>
      <c r="G520" s="335">
        <f>G516-G518</f>
        <v>0</v>
      </c>
      <c r="H520" s="472"/>
      <c r="M520" s="474"/>
      <c r="N520" s="1"/>
      <c r="O520" s="1"/>
      <c r="P520" s="1"/>
    </row>
    <row r="521" spans="1:96" ht="12.75" customHeight="1" x14ac:dyDescent="0.2">
      <c r="E521" s="80"/>
      <c r="G521" s="144"/>
      <c r="H521" s="1517" t="str">
        <f>IF(D4=2,"Montants non-réconciliés","Unreconciled Amounts")</f>
        <v>Unreconciled Amounts</v>
      </c>
      <c r="M521" s="474"/>
      <c r="N521" s="1"/>
      <c r="O521" s="1"/>
      <c r="P521" s="1"/>
    </row>
    <row r="522" spans="1:96" ht="12.75" customHeight="1" x14ac:dyDescent="0.2">
      <c r="E522" s="1518" t="str">
        <f>'Data Set up'!H17</f>
        <v>Asset Accounts</v>
      </c>
      <c r="F522" s="1518"/>
      <c r="G522" s="475">
        <v>988</v>
      </c>
      <c r="H522" s="1517"/>
      <c r="N522" s="1"/>
      <c r="P522" s="1"/>
    </row>
    <row r="523" spans="1:96" ht="16.5" customHeight="1" x14ac:dyDescent="0.2">
      <c r="E523" s="1510" t="str">
        <f>K523&amp;" "&amp;"-"&amp;" "&amp;'Data Set up'!I18</f>
        <v>1010 - Other Cash in hand</v>
      </c>
      <c r="F523" s="1510"/>
      <c r="G523" s="476">
        <f t="shared" ref="G523:G540" si="63">SUMIF($I$16:$I$515,$K523,G$16:G$515)</f>
        <v>0</v>
      </c>
      <c r="H523" s="341">
        <f t="shared" ref="H523:H540" si="64">SUMIFS($G$16:$G$515,$B$16:$B$515,"",$I$16:$I$515,$K523)</f>
        <v>0</v>
      </c>
      <c r="I523" s="1"/>
      <c r="J523" s="1"/>
      <c r="K523" s="207" t="str">
        <f>'Data Set up'!L15</f>
        <v>1010</v>
      </c>
      <c r="M523" s="208"/>
      <c r="N523" s="1"/>
      <c r="O523" s="1" t="str">
        <f t="shared" ref="O523:O540" si="65">E523</f>
        <v>1010 - Other Cash in hand</v>
      </c>
      <c r="P523" s="1"/>
    </row>
    <row r="524" spans="1:96" ht="15.75" x14ac:dyDescent="0.2">
      <c r="E524" s="1510" t="str">
        <f>K524&amp;" "&amp;"-"&amp;" "&amp;'Data Set up'!I19</f>
        <v>1020 - Main Bank Account</v>
      </c>
      <c r="F524" s="1510"/>
      <c r="G524" s="476">
        <f t="shared" si="63"/>
        <v>0</v>
      </c>
      <c r="H524" s="341">
        <f t="shared" si="64"/>
        <v>0</v>
      </c>
      <c r="I524" s="1"/>
      <c r="J524" s="1"/>
      <c r="K524" s="207" t="str">
        <f>'Data Set up'!L16</f>
        <v>1020</v>
      </c>
      <c r="M524" s="208"/>
      <c r="N524" s="1"/>
      <c r="O524" s="1" t="str">
        <f t="shared" si="65"/>
        <v>1020 - Main Bank Account</v>
      </c>
      <c r="P524" s="1"/>
    </row>
    <row r="525" spans="1:96" ht="15.75" x14ac:dyDescent="0.2">
      <c r="E525" s="1510" t="str">
        <f>K525&amp;" "&amp;"-"&amp;" "&amp;'Data Set up'!I20</f>
        <v>1030 - Canteen</v>
      </c>
      <c r="F525" s="1510"/>
      <c r="G525" s="476">
        <f t="shared" si="63"/>
        <v>0</v>
      </c>
      <c r="H525" s="341">
        <f t="shared" si="64"/>
        <v>0</v>
      </c>
      <c r="I525" s="1"/>
      <c r="J525" s="1"/>
      <c r="K525" s="207" t="str">
        <f>'Data Set up'!L17</f>
        <v>1030</v>
      </c>
      <c r="M525" s="208"/>
      <c r="N525" s="1"/>
      <c r="O525" s="1" t="str">
        <f t="shared" si="65"/>
        <v>1030 - Canteen</v>
      </c>
      <c r="P525" s="1"/>
    </row>
    <row r="526" spans="1:96" ht="15.75" x14ac:dyDescent="0.2">
      <c r="E526" s="1510" t="str">
        <f>K526&amp;" "&amp;"-"&amp;" "&amp;'Data Set up'!I21</f>
        <v>1040 - Petty Cash</v>
      </c>
      <c r="F526" s="1510"/>
      <c r="G526" s="476">
        <f t="shared" si="63"/>
        <v>0</v>
      </c>
      <c r="H526" s="341">
        <f t="shared" si="64"/>
        <v>0</v>
      </c>
      <c r="I526" s="1"/>
      <c r="J526" s="1"/>
      <c r="K526" s="207" t="str">
        <f>'Data Set up'!L18</f>
        <v>1040</v>
      </c>
      <c r="M526" s="208"/>
      <c r="N526" s="1"/>
      <c r="O526" s="1" t="str">
        <f t="shared" si="65"/>
        <v>1040 - Petty Cash</v>
      </c>
      <c r="P526" s="1"/>
    </row>
    <row r="527" spans="1:96" ht="15.75" x14ac:dyDescent="0.2">
      <c r="E527" s="1510" t="str">
        <f>K527&amp;" "&amp;"-"&amp;" "&amp;'Data Set up'!I22</f>
        <v>1050 - Available (Rename)</v>
      </c>
      <c r="F527" s="1510"/>
      <c r="G527" s="476">
        <f t="shared" si="63"/>
        <v>0</v>
      </c>
      <c r="H527" s="341">
        <f t="shared" si="64"/>
        <v>0</v>
      </c>
      <c r="I527" s="1"/>
      <c r="J527" s="1"/>
      <c r="K527" s="207" t="str">
        <f>'Data Set up'!L19</f>
        <v>1050</v>
      </c>
      <c r="M527" s="208"/>
      <c r="N527" s="1"/>
      <c r="O527" s="1" t="str">
        <f t="shared" si="65"/>
        <v>1050 - Available (Rename)</v>
      </c>
      <c r="P527" s="1"/>
    </row>
    <row r="528" spans="1:96" ht="15.75" x14ac:dyDescent="0.2">
      <c r="E528" s="1510" t="str">
        <f>K528&amp;" "&amp;"-"&amp;" "&amp;'Data Set up'!I23</f>
        <v>1060 - Available (Rename)</v>
      </c>
      <c r="F528" s="1510"/>
      <c r="G528" s="476">
        <f t="shared" si="63"/>
        <v>0</v>
      </c>
      <c r="H528" s="341">
        <f t="shared" si="64"/>
        <v>0</v>
      </c>
      <c r="I528" s="1"/>
      <c r="J528" s="1"/>
      <c r="K528" s="207" t="str">
        <f>'Data Set up'!L20</f>
        <v>1060</v>
      </c>
      <c r="M528" s="208"/>
      <c r="N528" s="1"/>
      <c r="O528" s="1" t="str">
        <f t="shared" si="65"/>
        <v>1060 - Available (Rename)</v>
      </c>
      <c r="P528" s="1"/>
    </row>
    <row r="529" spans="2:16" ht="15.75" x14ac:dyDescent="0.2">
      <c r="E529" s="1510" t="str">
        <f>K529&amp;" "&amp;"-"&amp;" "&amp;'Data Set up'!I24</f>
        <v>1070 - Available (Rename)</v>
      </c>
      <c r="F529" s="1510"/>
      <c r="G529" s="476">
        <f t="shared" si="63"/>
        <v>0</v>
      </c>
      <c r="H529" s="341">
        <f t="shared" si="64"/>
        <v>0</v>
      </c>
      <c r="I529" s="1"/>
      <c r="J529" s="1"/>
      <c r="K529" s="207" t="str">
        <f>'Data Set up'!L21</f>
        <v>1070</v>
      </c>
      <c r="M529" s="208"/>
      <c r="N529" s="1"/>
      <c r="O529" s="1" t="str">
        <f t="shared" si="65"/>
        <v>1070 - Available (Rename)</v>
      </c>
      <c r="P529" s="1"/>
    </row>
    <row r="530" spans="2:16" ht="15.75" x14ac:dyDescent="0.2">
      <c r="E530" s="1510" t="str">
        <f>K530&amp;" "&amp;"-"&amp;" "&amp;'Data Set up'!I25</f>
        <v>1210 - Investments GICs</v>
      </c>
      <c r="F530" s="1510"/>
      <c r="G530" s="476">
        <f t="shared" si="63"/>
        <v>0</v>
      </c>
      <c r="H530" s="341">
        <f t="shared" si="64"/>
        <v>0</v>
      </c>
      <c r="I530" s="1"/>
      <c r="J530" s="1"/>
      <c r="K530" s="207" t="str">
        <f>'Data Set up'!L22</f>
        <v>1210</v>
      </c>
      <c r="M530" s="208"/>
      <c r="N530" s="1"/>
      <c r="O530" s="1" t="str">
        <f t="shared" si="65"/>
        <v>1210 - Investments GICs</v>
      </c>
      <c r="P530" s="1"/>
    </row>
    <row r="531" spans="2:16" ht="15.75" x14ac:dyDescent="0.2">
      <c r="E531" s="1510" t="str">
        <f>K531&amp;" "&amp;"-"&amp;" "&amp;'Data Set up'!I26</f>
        <v>1220 - Investments (Mutual Funds and such)</v>
      </c>
      <c r="F531" s="1510"/>
      <c r="G531" s="476">
        <f t="shared" si="63"/>
        <v>0</v>
      </c>
      <c r="H531" s="341">
        <f t="shared" si="64"/>
        <v>0</v>
      </c>
      <c r="I531" s="1"/>
      <c r="J531" s="1"/>
      <c r="K531" s="207" t="str">
        <f>'Data Set up'!L23</f>
        <v>1220</v>
      </c>
      <c r="M531" s="208"/>
      <c r="N531" s="1"/>
      <c r="O531" s="1" t="str">
        <f t="shared" si="65"/>
        <v>1220 - Investments (Mutual Funds and such)</v>
      </c>
      <c r="P531" s="1"/>
    </row>
    <row r="532" spans="2:16" ht="15.75" x14ac:dyDescent="0.2">
      <c r="E532" s="1510" t="str">
        <f>K532&amp;" "&amp;"-"&amp;" "&amp;'Data Set up'!I27</f>
        <v>1230 - Available (Rename)</v>
      </c>
      <c r="F532" s="1510"/>
      <c r="G532" s="476">
        <f t="shared" si="63"/>
        <v>0</v>
      </c>
      <c r="H532" s="341">
        <f t="shared" si="64"/>
        <v>0</v>
      </c>
      <c r="I532" s="1"/>
      <c r="J532" s="1"/>
      <c r="K532" s="207" t="str">
        <f>'Data Set up'!L24</f>
        <v>1230</v>
      </c>
      <c r="M532" s="208"/>
      <c r="N532" s="1"/>
      <c r="O532" s="1" t="str">
        <f t="shared" si="65"/>
        <v>1230 - Available (Rename)</v>
      </c>
      <c r="P532" s="1"/>
    </row>
    <row r="533" spans="2:16" ht="15.75" x14ac:dyDescent="0.2">
      <c r="E533" s="1510" t="str">
        <f>K533&amp;" "&amp;"-"&amp;" "&amp;'Data Set up'!I28</f>
        <v>1240 - Available (Rename)</v>
      </c>
      <c r="F533" s="1510"/>
      <c r="G533" s="476">
        <f t="shared" si="63"/>
        <v>0</v>
      </c>
      <c r="H533" s="341">
        <f t="shared" si="64"/>
        <v>0</v>
      </c>
      <c r="I533" s="1"/>
      <c r="J533" s="1"/>
      <c r="K533" s="207" t="str">
        <f>'Data Set up'!L25</f>
        <v>1240</v>
      </c>
      <c r="M533" s="208"/>
      <c r="N533" s="1"/>
      <c r="O533" s="1" t="str">
        <f t="shared" si="65"/>
        <v>1240 - Available (Rename)</v>
      </c>
      <c r="P533" s="1"/>
    </row>
    <row r="534" spans="2:16" ht="15.75" x14ac:dyDescent="0.2">
      <c r="E534" s="1510" t="str">
        <f>K534&amp;" "&amp;"-"&amp;" "&amp;'Data Set up'!I30</f>
        <v>2010 - Bank Credit Card</v>
      </c>
      <c r="F534" s="1510"/>
      <c r="G534" s="476">
        <f t="shared" si="63"/>
        <v>0</v>
      </c>
      <c r="H534" s="341">
        <f t="shared" si="64"/>
        <v>0</v>
      </c>
      <c r="I534" s="1"/>
      <c r="J534" s="1"/>
      <c r="K534" s="207" t="str">
        <f>'Data Set up'!L26</f>
        <v>2010</v>
      </c>
      <c r="O534" s="1" t="str">
        <f t="shared" si="65"/>
        <v>2010 - Bank Credit Card</v>
      </c>
    </row>
    <row r="535" spans="2:16" ht="15.75" x14ac:dyDescent="0.2">
      <c r="E535" s="1510" t="str">
        <f>K535&amp;" "&amp;"-"&amp;" "&amp;'Data Set up'!I31</f>
        <v>2020 - Available (Rename)</v>
      </c>
      <c r="F535" s="1510"/>
      <c r="G535" s="476">
        <f t="shared" si="63"/>
        <v>0</v>
      </c>
      <c r="H535" s="341">
        <f t="shared" si="64"/>
        <v>0</v>
      </c>
      <c r="K535" s="207" t="str">
        <f>'Data Set up'!L27</f>
        <v>2020</v>
      </c>
      <c r="O535" s="1" t="str">
        <f t="shared" si="65"/>
        <v>2020 - Available (Rename)</v>
      </c>
    </row>
    <row r="536" spans="2:16" ht="15.75" x14ac:dyDescent="0.2">
      <c r="E536" s="1510" t="str">
        <f>K536&amp;" "&amp;"-"&amp;" "&amp;'Data Set up'!I32</f>
        <v>2030 - Available (Rename)</v>
      </c>
      <c r="F536" s="1510"/>
      <c r="G536" s="476">
        <f t="shared" si="63"/>
        <v>0</v>
      </c>
      <c r="H536" s="341">
        <f t="shared" si="64"/>
        <v>0</v>
      </c>
      <c r="K536" s="207" t="str">
        <f>'Data Set up'!L28</f>
        <v>2030</v>
      </c>
      <c r="O536" s="1" t="str">
        <f t="shared" si="65"/>
        <v>2030 - Available (Rename)</v>
      </c>
    </row>
    <row r="537" spans="2:16" ht="15.75" x14ac:dyDescent="0.2">
      <c r="E537" s="1510" t="str">
        <f>K537&amp;" "&amp;"-"&amp;" "&amp;'Data Set up'!I33</f>
        <v>2040 - Available (Rename)</v>
      </c>
      <c r="F537" s="1510"/>
      <c r="G537" s="476">
        <f t="shared" si="63"/>
        <v>0</v>
      </c>
      <c r="H537" s="341">
        <f t="shared" si="64"/>
        <v>0</v>
      </c>
      <c r="K537" s="207" t="str">
        <f>'Data Set up'!L29</f>
        <v>2040</v>
      </c>
      <c r="O537" s="1" t="str">
        <f t="shared" si="65"/>
        <v>2040 - Available (Rename)</v>
      </c>
    </row>
    <row r="538" spans="2:16" ht="15.75" x14ac:dyDescent="0.2">
      <c r="E538" s="1510" t="str">
        <f>K538&amp;" "&amp;"-"&amp;" "&amp;'Data Set up'!I34</f>
        <v>2210 - Available (Rename)</v>
      </c>
      <c r="F538" s="1510"/>
      <c r="G538" s="476">
        <f t="shared" si="63"/>
        <v>0</v>
      </c>
      <c r="H538" s="341">
        <f t="shared" si="64"/>
        <v>0</v>
      </c>
      <c r="K538" s="207" t="str">
        <f>'Data Set up'!L30</f>
        <v>2210</v>
      </c>
      <c r="O538" s="1" t="str">
        <f t="shared" si="65"/>
        <v>2210 - Available (Rename)</v>
      </c>
    </row>
    <row r="539" spans="2:16" ht="15.75" x14ac:dyDescent="0.2">
      <c r="E539" s="1510" t="str">
        <f>K539&amp;" "&amp;"-"&amp;" "&amp;'Data Set up'!I35</f>
        <v>2220 - Mortgage</v>
      </c>
      <c r="F539" s="1510"/>
      <c r="G539" s="476">
        <f t="shared" si="63"/>
        <v>0</v>
      </c>
      <c r="H539" s="341">
        <f t="shared" si="64"/>
        <v>0</v>
      </c>
      <c r="K539" s="207" t="str">
        <f>'Data Set up'!L31</f>
        <v>2220</v>
      </c>
      <c r="O539" s="1" t="str">
        <f t="shared" si="65"/>
        <v>2220 - Mortgage</v>
      </c>
    </row>
    <row r="540" spans="2:16" ht="15.75" x14ac:dyDescent="0.2">
      <c r="E540" s="1510" t="str">
        <f>K540&amp;" "&amp;"-"&amp;" "&amp;'Data Set up'!I36</f>
        <v>2230 - Available (Rename)</v>
      </c>
      <c r="F540" s="1510"/>
      <c r="G540" s="476">
        <f t="shared" si="63"/>
        <v>0</v>
      </c>
      <c r="H540" s="341">
        <f t="shared" si="64"/>
        <v>0</v>
      </c>
      <c r="K540" s="207" t="str">
        <f>'Data Set up'!L32</f>
        <v>2230</v>
      </c>
      <c r="O540" s="1" t="str">
        <f t="shared" si="65"/>
        <v>2230 - Available (Rename)</v>
      </c>
    </row>
    <row r="544" spans="2:16" ht="15.75" hidden="1" customHeight="1" x14ac:dyDescent="0.2">
      <c r="B544" s="344" t="s">
        <v>265</v>
      </c>
      <c r="C544" s="1511" t="s">
        <v>272</v>
      </c>
      <c r="D544" s="1511"/>
      <c r="E544" s="1511"/>
      <c r="K544" s="1"/>
    </row>
    <row r="545" spans="2:12" ht="15.75" hidden="1" customHeight="1" x14ac:dyDescent="0.2">
      <c r="B545" s="345" t="s">
        <v>266</v>
      </c>
      <c r="C545" s="1512" t="s">
        <v>273</v>
      </c>
      <c r="D545" s="1512"/>
      <c r="E545" s="1512"/>
      <c r="K545" s="1"/>
    </row>
    <row r="546" spans="2:12" ht="15.75" hidden="1" customHeight="1" x14ac:dyDescent="0.2">
      <c r="B546" s="345" t="s">
        <v>267</v>
      </c>
      <c r="C546" s="1512" t="s">
        <v>274</v>
      </c>
      <c r="D546" s="1512"/>
      <c r="E546" s="1512"/>
      <c r="K546" s="1"/>
    </row>
    <row r="547" spans="2:12" ht="15.75" hidden="1" customHeight="1" x14ac:dyDescent="0.2">
      <c r="B547" s="345" t="s">
        <v>358</v>
      </c>
      <c r="C547" s="1512" t="s">
        <v>359</v>
      </c>
      <c r="D547" s="1512"/>
      <c r="E547" s="1512"/>
      <c r="K547" s="1"/>
    </row>
    <row r="548" spans="2:12" ht="15.75" hidden="1" customHeight="1" x14ac:dyDescent="0.2">
      <c r="B548" s="345" t="s">
        <v>270</v>
      </c>
      <c r="C548" s="1512" t="s">
        <v>277</v>
      </c>
      <c r="D548" s="1512"/>
      <c r="E548" s="1512"/>
      <c r="K548" s="1"/>
    </row>
    <row r="549" spans="2:12" ht="15.75" hidden="1" customHeight="1" x14ac:dyDescent="0.2">
      <c r="B549" s="346" t="s">
        <v>357</v>
      </c>
      <c r="C549" s="1513" t="s">
        <v>360</v>
      </c>
      <c r="D549" s="1513"/>
      <c r="E549" s="1513"/>
      <c r="K549" s="1"/>
    </row>
    <row r="550" spans="2:12" hidden="1" x14ac:dyDescent="0.2">
      <c r="B550" s="144" t="s">
        <v>361</v>
      </c>
    </row>
    <row r="551" spans="2:12" ht="9.75" customHeight="1" x14ac:dyDescent="0.2">
      <c r="L551" s="477"/>
    </row>
  </sheetData>
  <sheetProtection algorithmName="SHA-512" hashValue="/riqTNHbTgNn13cRua1UIH3bTzMPaZmQjrSYzQGB6RE4/B8i3Febf/MOnPdExw1DILuUVQ3e7+748E877VK6zg==" saltValue="SPx8E3iEM7U5YX1LqIZOAw==" spinCount="100000" sheet="1" objects="1" scenarios="1" selectLockedCells="1"/>
  <protectedRanges>
    <protectedRange sqref="F84:G84" name="revenue journal"/>
    <protectedRange sqref="N16:O515" name="revenue journal_1"/>
  </protectedRanges>
  <mergeCells count="47">
    <mergeCell ref="C548:E548"/>
    <mergeCell ref="C549:E549"/>
    <mergeCell ref="E540:F540"/>
    <mergeCell ref="C544:E544"/>
    <mergeCell ref="C545:E545"/>
    <mergeCell ref="C546:E546"/>
    <mergeCell ref="C547:E547"/>
    <mergeCell ref="E535:F535"/>
    <mergeCell ref="E536:F536"/>
    <mergeCell ref="E537:F537"/>
    <mergeCell ref="E538:F538"/>
    <mergeCell ref="E539:F539"/>
    <mergeCell ref="E530:F530"/>
    <mergeCell ref="E531:F531"/>
    <mergeCell ref="E532:F532"/>
    <mergeCell ref="E533:F533"/>
    <mergeCell ref="E534:F534"/>
    <mergeCell ref="E525:F525"/>
    <mergeCell ref="E526:F526"/>
    <mergeCell ref="E527:F527"/>
    <mergeCell ref="E528:F528"/>
    <mergeCell ref="E529:F529"/>
    <mergeCell ref="E520:F520"/>
    <mergeCell ref="H521:H522"/>
    <mergeCell ref="E522:F522"/>
    <mergeCell ref="E523:F523"/>
    <mergeCell ref="E524:F524"/>
    <mergeCell ref="K6:M7"/>
    <mergeCell ref="D516:F516"/>
    <mergeCell ref="D517:F517"/>
    <mergeCell ref="AS517:AY517"/>
    <mergeCell ref="E518:F518"/>
    <mergeCell ref="P5:AH5"/>
    <mergeCell ref="AI5:BO5"/>
    <mergeCell ref="BP5:BX5"/>
    <mergeCell ref="BY5:CG5"/>
    <mergeCell ref="CH5:CO5"/>
    <mergeCell ref="P4:AH4"/>
    <mergeCell ref="AI4:BO4"/>
    <mergeCell ref="BP4:BX4"/>
    <mergeCell ref="BY4:CG4"/>
    <mergeCell ref="CH4:CO4"/>
    <mergeCell ref="B1:J1"/>
    <mergeCell ref="B2:J2"/>
    <mergeCell ref="B3:J3"/>
    <mergeCell ref="F4:F7"/>
    <mergeCell ref="G4:G7"/>
  </mergeCells>
  <conditionalFormatting sqref="J16:J515">
    <cfRule type="cellIs" dxfId="125" priority="2" operator="notEqual">
      <formula>0</formula>
    </cfRule>
  </conditionalFormatting>
  <conditionalFormatting sqref="W8:Z8">
    <cfRule type="expression" dxfId="124" priority="3">
      <formula>W$8="Disponible (Renommez)"</formula>
    </cfRule>
    <cfRule type="expression" dxfId="123" priority="4">
      <formula>W$8="Available (Rename)"</formula>
    </cfRule>
  </conditionalFormatting>
  <conditionalFormatting sqref="AJ8:AP8 BA8:BG8">
    <cfRule type="expression" dxfId="122" priority="5">
      <formula>AJ8="Available (Rename)"</formula>
    </cfRule>
  </conditionalFormatting>
  <conditionalFormatting sqref="CI8 AD8:AH8 CD8:CG8 CK8:CN8 BI8:BY8">
    <cfRule type="expression" dxfId="121" priority="6">
      <formula>AD8="Available (Rename)"</formula>
    </cfRule>
    <cfRule type="expression" dxfId="120" priority="7">
      <formula>AD8="Available (Rename)"</formula>
    </cfRule>
  </conditionalFormatting>
  <conditionalFormatting sqref="B16:H515">
    <cfRule type="expression" dxfId="119" priority="8">
      <formula>$B16=$B$6</formula>
    </cfRule>
    <cfRule type="expression" dxfId="118" priority="9">
      <formula>$F16="Void Cheque"</formula>
    </cfRule>
  </conditionalFormatting>
  <conditionalFormatting sqref="CJ8">
    <cfRule type="expression" dxfId="117" priority="10">
      <formula>CJ8="Available (Rename) Disponible (Renommez)"</formula>
    </cfRule>
    <cfRule type="expression" dxfId="116" priority="11">
      <formula>CJ8="Available (Rename) Disponible (Renommez)"</formula>
    </cfRule>
  </conditionalFormatting>
  <conditionalFormatting sqref="T42 R43">
    <cfRule type="expression" dxfId="115" priority="12">
      <formula>$B42=$B$6</formula>
    </cfRule>
  </conditionalFormatting>
  <conditionalFormatting sqref="T42 R43">
    <cfRule type="expression" dxfId="114" priority="13">
      <formula>$F42="Chèque annulé"</formula>
    </cfRule>
    <cfRule type="expression" dxfId="113" priority="14">
      <formula>$F42="Void Cheque"</formula>
    </cfRule>
  </conditionalFormatting>
  <conditionalFormatting sqref="AA8:AC8">
    <cfRule type="expression" dxfId="112" priority="15">
      <formula>AA8="Disponible (Renommez)"</formula>
    </cfRule>
    <cfRule type="expression" dxfId="111" priority="16">
      <formula>AA8="Disponible (Renommez)"</formula>
    </cfRule>
  </conditionalFormatting>
  <conditionalFormatting sqref="BZ8:CC8">
    <cfRule type="expression" dxfId="110" priority="17">
      <formula>BZ8="Available (Rename)"</formula>
    </cfRule>
    <cfRule type="expression" dxfId="109" priority="18">
      <formula>BZ8="Available (Rename)"</formula>
    </cfRule>
  </conditionalFormatting>
  <dataValidations count="5">
    <dataValidation type="list" allowBlank="1" showInputMessage="1" showErrorMessage="1" sqref="R544">
      <formula1>#REF!</formula1>
      <formula2>0</formula2>
    </dataValidation>
    <dataValidation type="list" allowBlank="1" showInputMessage="1" showErrorMessage="1" sqref="B16:B515">
      <formula1>$B$5:$B$6</formula1>
      <formula2>0</formula2>
    </dataValidation>
    <dataValidation type="list" allowBlank="1" showInputMessage="1" showErrorMessage="1" sqref="H16:H515">
      <formula1>$O$523:$O$540</formula1>
      <formula2>0</formula2>
    </dataValidation>
    <dataValidation type="date" operator="greaterThan" allowBlank="1" showInputMessage="1" showErrorMessage="1" sqref="E16:E515">
      <formula1>42917</formula1>
      <formula2>0</formula2>
    </dataValidation>
    <dataValidation type="list" allowBlank="1" showInputMessage="1" showErrorMessage="1" sqref="C16:C515">
      <formula1>$B$544:$B$550</formula1>
      <formula2>0</formula2>
    </dataValidation>
  </dataValidations>
  <printOptions horizontalCentered="1"/>
  <pageMargins left="0.78749999999999998" right="0.15763888888888899" top="1.0236111111111099" bottom="0.45972222222222198" header="0.8" footer="0.15763888888888899"/>
  <pageSetup paperSize="3" fitToWidth="0" orientation="landscape" horizontalDpi="300" verticalDpi="300"/>
  <headerFooter>
    <oddHeader>&amp;C&amp;16</oddHeader>
    <oddFooter>&amp;R&amp;D</oddFooter>
  </headerFooter>
  <colBreaks count="3" manualBreakCount="3">
    <brk id="35" max="1048575" man="1"/>
    <brk id="59" max="1048575" man="1"/>
    <brk id="86" max="1048575"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tabColor theme="9" tint="-0.249977111117893"/>
    <pageSetUpPr fitToPage="1"/>
  </sheetPr>
  <dimension ref="A1:V1166"/>
  <sheetViews>
    <sheetView showGridLines="0" showRowColHeaders="0" showZeros="0" zoomScale="85" zoomScaleNormal="85" workbookViewId="0">
      <pane ySplit="8" topLeftCell="A9" activePane="bottomLeft" state="frozen"/>
      <selection pane="bottomLeft" activeCell="E3" sqref="E3"/>
    </sheetView>
  </sheetViews>
  <sheetFormatPr defaultColWidth="11.42578125" defaultRowHeight="12.75" x14ac:dyDescent="0.2"/>
  <cols>
    <col min="1" max="1" width="13.28515625" customWidth="1"/>
    <col min="2" max="2" width="7.7109375" hidden="1" customWidth="1"/>
    <col min="3" max="3" width="17" style="478" customWidth="1"/>
    <col min="4" max="4" width="15.42578125" style="478" customWidth="1"/>
    <col min="5" max="5" width="47.42578125" style="479" customWidth="1"/>
    <col min="6" max="6" width="6.85546875" style="479" customWidth="1"/>
    <col min="7" max="7" width="17.7109375" style="480" customWidth="1"/>
    <col min="8" max="8" width="30" style="480" customWidth="1"/>
    <col min="9" max="9" width="8.5703125" style="480" hidden="1" customWidth="1"/>
    <col min="10" max="10" width="10.42578125" style="480" hidden="1" customWidth="1"/>
    <col min="11" max="11" width="17.7109375" style="481" customWidth="1"/>
    <col min="12" max="12" width="17.7109375" style="478" customWidth="1"/>
    <col min="13" max="13" width="11.7109375" style="478" hidden="1" customWidth="1"/>
    <col min="14" max="14" width="7.7109375" hidden="1" customWidth="1"/>
    <col min="15" max="15" width="2.140625" customWidth="1"/>
    <col min="16" max="16" width="13" customWidth="1"/>
    <col min="17" max="17" width="9.140625" customWidth="1"/>
    <col min="18" max="18" width="17" customWidth="1"/>
    <col min="19" max="19" width="16.5703125" customWidth="1"/>
    <col min="20" max="20" width="13" customWidth="1"/>
    <col min="21" max="21" width="18.42578125" customWidth="1"/>
    <col min="22" max="257" width="9.140625" customWidth="1"/>
  </cols>
  <sheetData>
    <row r="1" spans="1:22" ht="33.75" customHeight="1" x14ac:dyDescent="0.4">
      <c r="B1" s="348"/>
      <c r="C1" s="1452" t="str">
        <f>IF(A3=2,"Liste des transactions","Transactions Listing")</f>
        <v>Transactions Listing</v>
      </c>
      <c r="D1" s="1452"/>
      <c r="E1" s="1452"/>
      <c r="F1" s="1452"/>
      <c r="G1" s="1452"/>
      <c r="H1" s="1452"/>
      <c r="I1" s="1452"/>
      <c r="J1" s="1452"/>
      <c r="K1" s="1452"/>
      <c r="L1" s="1452"/>
      <c r="M1" s="348"/>
      <c r="N1" s="348"/>
    </row>
    <row r="2" spans="1:22" ht="35.25" customHeight="1" x14ac:dyDescent="0.2">
      <c r="B2" s="482"/>
      <c r="C2" s="1514">
        <f>'Data Set up'!B2</f>
        <v>0</v>
      </c>
      <c r="D2" s="1514"/>
      <c r="E2" s="1514"/>
      <c r="F2" s="1514"/>
      <c r="G2" s="1514"/>
      <c r="H2" s="1514"/>
      <c r="I2" s="1514"/>
      <c r="J2" s="1514"/>
      <c r="K2" s="1514"/>
      <c r="L2" s="1514"/>
      <c r="M2" s="483"/>
      <c r="N2" s="484"/>
    </row>
    <row r="3" spans="1:22" ht="27" customHeight="1" x14ac:dyDescent="0.2">
      <c r="A3" s="152">
        <f>'Data Set up'!K10</f>
        <v>1</v>
      </c>
      <c r="C3" s="1519" t="str">
        <f>IF($A$3=2,"Pour la période du ","Period from ")</f>
        <v xml:space="preserve">Period from </v>
      </c>
      <c r="D3" s="1519"/>
      <c r="E3" s="485"/>
      <c r="F3" s="486" t="str">
        <f>IF($A$3=2,"Au ","To ")</f>
        <v xml:space="preserve">To </v>
      </c>
      <c r="G3" s="1520"/>
      <c r="H3" s="1520"/>
      <c r="I3" s="487"/>
      <c r="J3" s="487"/>
      <c r="K3" s="488"/>
      <c r="L3" s="488"/>
      <c r="M3" s="489"/>
      <c r="N3" s="489"/>
    </row>
    <row r="4" spans="1:22" ht="13.5" customHeight="1" x14ac:dyDescent="0.2">
      <c r="A4" s="152"/>
      <c r="C4" s="490"/>
      <c r="D4" s="490"/>
      <c r="E4" s="491" t="str">
        <f>IF($A$3=2,"Insérez date de début de période (jj/mm/aaaa)","Insert Start Date Period (dd/mm/yyyy)")</f>
        <v>Insert Start Date Period (dd/mm/yyyy)</v>
      </c>
      <c r="F4" s="492"/>
      <c r="G4" s="1521" t="str">
        <f>IF($A$3=2,"Insérez date de fin de période (jj/mm/aaaa)","Insert End Date Period (dd/mm/yyyy))")</f>
        <v>Insert End Date Period (dd/mm/yyyy))</v>
      </c>
      <c r="H4" s="1521"/>
      <c r="I4" s="487"/>
      <c r="J4" s="487"/>
      <c r="K4" s="493"/>
      <c r="L4" s="493"/>
      <c r="M4" s="494"/>
      <c r="N4" s="494"/>
    </row>
    <row r="5" spans="1:22" ht="13.5" customHeight="1" x14ac:dyDescent="0.2">
      <c r="A5" s="152"/>
      <c r="C5" s="495"/>
      <c r="D5" s="495"/>
      <c r="E5" s="496"/>
      <c r="F5" s="497"/>
      <c r="G5" s="496"/>
      <c r="H5" s="496"/>
      <c r="I5" s="487"/>
      <c r="J5" s="487"/>
      <c r="K5" s="498"/>
      <c r="L5" s="498"/>
      <c r="M5" s="494"/>
      <c r="N5" s="494"/>
    </row>
    <row r="6" spans="1:22" ht="13.5" customHeight="1" x14ac:dyDescent="0.2">
      <c r="A6" s="152"/>
      <c r="C6" s="495"/>
      <c r="D6" s="495"/>
      <c r="E6" s="496"/>
      <c r="F6" s="497"/>
      <c r="G6" s="1522" t="str">
        <f>IF($A$3=2,"Filtrez la période et comptes visés","Filter the required Period and Accounts")</f>
        <v>Filter the required Period and Accounts</v>
      </c>
      <c r="H6" s="1522"/>
      <c r="I6" s="487"/>
      <c r="J6" s="487"/>
      <c r="K6" s="498"/>
      <c r="L6" s="498"/>
      <c r="M6" s="494"/>
      <c r="N6" s="494"/>
    </row>
    <row r="7" spans="1:22" ht="33.75" customHeight="1" x14ac:dyDescent="0.2">
      <c r="B7" s="499" t="s">
        <v>362</v>
      </c>
      <c r="C7" s="500" t="str">
        <f>IF(A3=2,"Type TX","TX Type")</f>
        <v>TX Type</v>
      </c>
      <c r="D7" s="501" t="s">
        <v>363</v>
      </c>
      <c r="E7" s="501" t="str">
        <f>IF(A3=2,"Description","Description")</f>
        <v>Description</v>
      </c>
      <c r="F7" s="499"/>
      <c r="G7" s="501" t="s">
        <v>364</v>
      </c>
      <c r="H7" s="501" t="str">
        <f>IF(A3=2,"Compte","Account")</f>
        <v>Account</v>
      </c>
      <c r="I7" s="501"/>
      <c r="J7" s="501"/>
      <c r="K7" s="499" t="str">
        <f>IF(A3=2,"Revenu","Revenue")</f>
        <v>Revenue</v>
      </c>
      <c r="L7" s="502" t="str">
        <f>IF(A3=2,"Dépense","Expenditure")</f>
        <v>Expenditure</v>
      </c>
      <c r="M7" s="502" t="str">
        <f>IF(A3="FR","Mois","Month")</f>
        <v>Month</v>
      </c>
      <c r="N7" s="502" t="str">
        <f>IF(A3="FR","Compte","Account")</f>
        <v>Account</v>
      </c>
    </row>
    <row r="8" spans="1:22" ht="11.25" customHeight="1" x14ac:dyDescent="0.2">
      <c r="B8" s="503">
        <v>1</v>
      </c>
      <c r="C8" s="500"/>
      <c r="D8" s="504"/>
      <c r="E8" s="505"/>
      <c r="F8" s="506"/>
      <c r="G8" s="505"/>
      <c r="H8" s="505"/>
      <c r="I8" s="507"/>
      <c r="J8" s="507"/>
      <c r="K8" s="504"/>
      <c r="L8" s="508"/>
      <c r="M8" s="508"/>
      <c r="N8" s="509"/>
    </row>
    <row r="9" spans="1:22" ht="30" customHeight="1" x14ac:dyDescent="0.25">
      <c r="B9" s="510">
        <v>1</v>
      </c>
      <c r="C9" s="511" t="s">
        <v>268</v>
      </c>
      <c r="D9" s="512" t="str">
        <f>IF(A3=2,"REVENUS","REVENUES")</f>
        <v>REVENUES</v>
      </c>
      <c r="E9" s="512"/>
      <c r="F9" s="513"/>
      <c r="G9" s="514"/>
      <c r="H9" s="514"/>
      <c r="I9" s="514"/>
      <c r="J9" s="514"/>
      <c r="K9" s="512"/>
      <c r="L9" s="512"/>
      <c r="M9" s="515"/>
      <c r="N9" s="516"/>
    </row>
    <row r="10" spans="1:22" s="1" customFormat="1" ht="30" hidden="1" customHeight="1" x14ac:dyDescent="0.2">
      <c r="B10" s="517">
        <f>IF(AND('Revenue Jrnl'!G16&lt;&gt;"",'Revenue Jrnl'!C16&lt;&gt;""),1,0)</f>
        <v>0</v>
      </c>
      <c r="C10" s="517">
        <f>'Revenue Jrnl'!$C16</f>
        <v>0</v>
      </c>
      <c r="D10" s="518">
        <f>'Revenue Jrnl'!$D16</f>
        <v>0</v>
      </c>
      <c r="E10" s="1523">
        <f>'Revenue Jrnl'!$F16</f>
        <v>0</v>
      </c>
      <c r="F10" s="1523"/>
      <c r="G10" s="519" t="str">
        <f>IF('Revenue Jrnl'!$E16="","",'Revenue Jrnl'!$E16)</f>
        <v/>
      </c>
      <c r="H10" s="518">
        <f>'Revenue Jrnl'!H16</f>
        <v>0</v>
      </c>
      <c r="I10" s="518" t="str">
        <f t="shared" ref="I10:I73" si="0">LEFT(H10,4)</f>
        <v>0</v>
      </c>
      <c r="J10" s="520" t="b">
        <f>IF($I10="1020",IF($G10&gt;=$E$3,IF($G10&lt;=$G$3,$K10,0)))</f>
        <v>0</v>
      </c>
      <c r="K10" s="521">
        <f>'Revenue Jrnl'!$G16</f>
        <v>0</v>
      </c>
      <c r="L10" s="522"/>
      <c r="M10" s="523">
        <f>'Revenue Jrnl'!E16</f>
        <v>0</v>
      </c>
      <c r="N10" s="524">
        <f>'Revenue Jrnl'!$H16</f>
        <v>0</v>
      </c>
    </row>
    <row r="11" spans="1:22" s="1" customFormat="1" ht="30" hidden="1" customHeight="1" x14ac:dyDescent="0.2">
      <c r="B11" s="517">
        <f>IF(AND('Revenue Jrnl'!G17&lt;&gt;"",'Revenue Jrnl'!C17&lt;&gt;""),1,0)</f>
        <v>0</v>
      </c>
      <c r="C11" s="517">
        <f>'Revenue Jrnl'!$C17</f>
        <v>0</v>
      </c>
      <c r="D11" s="518">
        <f>'Revenue Jrnl'!$D17</f>
        <v>0</v>
      </c>
      <c r="E11" s="1523">
        <f>'Revenue Jrnl'!$F17</f>
        <v>0</v>
      </c>
      <c r="F11" s="1523"/>
      <c r="G11" s="519" t="str">
        <f>IF('Revenue Jrnl'!$E17="","",'Revenue Jrnl'!$E17)</f>
        <v/>
      </c>
      <c r="H11" s="518">
        <f>'Revenue Jrnl'!H17</f>
        <v>0</v>
      </c>
      <c r="I11" s="518" t="str">
        <f t="shared" si="0"/>
        <v>0</v>
      </c>
      <c r="J11" s="520" t="b">
        <f t="shared" ref="J11:J74" si="1">IF(I11="1020",IF(G11&gt;=$E$3,IF(G11&lt;=$G$3,K11,0)))</f>
        <v>0</v>
      </c>
      <c r="K11" s="521">
        <f>'Revenue Jrnl'!$G17</f>
        <v>0</v>
      </c>
      <c r="L11" s="522"/>
      <c r="M11" s="523">
        <f>'Revenue Jrnl'!E17</f>
        <v>0</v>
      </c>
      <c r="N11" s="524">
        <f>'Revenue Jrnl'!$H17</f>
        <v>0</v>
      </c>
    </row>
    <row r="12" spans="1:22" s="1" customFormat="1" ht="30" hidden="1" customHeight="1" x14ac:dyDescent="0.2">
      <c r="B12" s="517">
        <f>IF(AND('Revenue Jrnl'!G18&lt;&gt;"",'Revenue Jrnl'!C18&lt;&gt;""),1,0)</f>
        <v>0</v>
      </c>
      <c r="C12" s="517">
        <f>'Revenue Jrnl'!$C18</f>
        <v>0</v>
      </c>
      <c r="D12" s="518">
        <f>'Revenue Jrnl'!$D18</f>
        <v>0</v>
      </c>
      <c r="E12" s="1523">
        <f>'Revenue Jrnl'!$F18</f>
        <v>0</v>
      </c>
      <c r="F12" s="1523"/>
      <c r="G12" s="519" t="str">
        <f>IF('Revenue Jrnl'!$E18="","",'Revenue Jrnl'!$E18)</f>
        <v/>
      </c>
      <c r="H12" s="518">
        <f>'Revenue Jrnl'!H18</f>
        <v>0</v>
      </c>
      <c r="I12" s="518" t="str">
        <f t="shared" si="0"/>
        <v>0</v>
      </c>
      <c r="J12" s="520" t="b">
        <f t="shared" si="1"/>
        <v>0</v>
      </c>
      <c r="K12" s="521">
        <f>'Revenue Jrnl'!$G18</f>
        <v>0</v>
      </c>
      <c r="L12" s="522"/>
      <c r="M12" s="523">
        <f>'Revenue Jrnl'!E18</f>
        <v>0</v>
      </c>
      <c r="N12" s="524">
        <f>'Revenue Jrnl'!$H18</f>
        <v>0</v>
      </c>
      <c r="R12" s="250"/>
    </row>
    <row r="13" spans="1:22" s="1" customFormat="1" ht="30" hidden="1" customHeight="1" x14ac:dyDescent="0.2">
      <c r="B13" s="517">
        <f>IF(AND('Revenue Jrnl'!G19&lt;&gt;"",'Revenue Jrnl'!C19&lt;&gt;""),1,0)</f>
        <v>0</v>
      </c>
      <c r="C13" s="517">
        <f>'Revenue Jrnl'!$C19</f>
        <v>0</v>
      </c>
      <c r="D13" s="518">
        <f>'Revenue Jrnl'!$D19</f>
        <v>0</v>
      </c>
      <c r="E13" s="1523">
        <f>'Revenue Jrnl'!$F19</f>
        <v>0</v>
      </c>
      <c r="F13" s="1523"/>
      <c r="G13" s="519" t="str">
        <f>IF('Revenue Jrnl'!$E19="","",'Revenue Jrnl'!$E19)</f>
        <v/>
      </c>
      <c r="H13" s="518">
        <f>'Revenue Jrnl'!H19</f>
        <v>0</v>
      </c>
      <c r="I13" s="518" t="str">
        <f t="shared" si="0"/>
        <v>0</v>
      </c>
      <c r="J13" s="520" t="b">
        <f t="shared" si="1"/>
        <v>0</v>
      </c>
      <c r="K13" s="521">
        <f>'Revenue Jrnl'!$G19</f>
        <v>0</v>
      </c>
      <c r="L13" s="522"/>
      <c r="M13" s="523">
        <f>'Revenue Jrnl'!E19</f>
        <v>0</v>
      </c>
      <c r="N13" s="524">
        <f>'Revenue Jrnl'!$H19</f>
        <v>0</v>
      </c>
    </row>
    <row r="14" spans="1:22" s="1" customFormat="1" ht="30" hidden="1" customHeight="1" x14ac:dyDescent="0.2">
      <c r="B14" s="517">
        <f>IF(AND('Revenue Jrnl'!G20&lt;&gt;"",'Revenue Jrnl'!C20&lt;&gt;""),1,0)</f>
        <v>0</v>
      </c>
      <c r="C14" s="517">
        <f>'Revenue Jrnl'!$C20</f>
        <v>0</v>
      </c>
      <c r="D14" s="518">
        <f>'Revenue Jrnl'!$D20</f>
        <v>0</v>
      </c>
      <c r="E14" s="1523">
        <f>'Revenue Jrnl'!$F20</f>
        <v>0</v>
      </c>
      <c r="F14" s="1523"/>
      <c r="G14" s="519" t="str">
        <f>IF('Revenue Jrnl'!$E20="","",'Revenue Jrnl'!$E20)</f>
        <v/>
      </c>
      <c r="H14" s="518">
        <f>'Revenue Jrnl'!H20</f>
        <v>0</v>
      </c>
      <c r="I14" s="518" t="str">
        <f t="shared" si="0"/>
        <v>0</v>
      </c>
      <c r="J14" s="520" t="b">
        <f t="shared" si="1"/>
        <v>0</v>
      </c>
      <c r="K14" s="521">
        <f>'Revenue Jrnl'!$G20</f>
        <v>0</v>
      </c>
      <c r="L14" s="522"/>
      <c r="M14" s="523">
        <f>'Revenue Jrnl'!E20</f>
        <v>0</v>
      </c>
      <c r="N14" s="524">
        <f>'Revenue Jrnl'!$H20</f>
        <v>0</v>
      </c>
      <c r="R14" s="525"/>
      <c r="S14" s="526"/>
      <c r="T14" s="527"/>
      <c r="U14" s="527"/>
      <c r="V14" s="527"/>
    </row>
    <row r="15" spans="1:22" s="1" customFormat="1" ht="30" hidden="1" customHeight="1" x14ac:dyDescent="0.2">
      <c r="B15" s="517">
        <f>IF(AND('Revenue Jrnl'!G21&lt;&gt;"",'Revenue Jrnl'!C21&lt;&gt;""),1,0)</f>
        <v>0</v>
      </c>
      <c r="C15" s="517">
        <f>'Revenue Jrnl'!$C21</f>
        <v>0</v>
      </c>
      <c r="D15" s="518">
        <f>'Revenue Jrnl'!$D21</f>
        <v>0</v>
      </c>
      <c r="E15" s="1523">
        <f>'Revenue Jrnl'!$F21</f>
        <v>0</v>
      </c>
      <c r="F15" s="1523"/>
      <c r="G15" s="519" t="str">
        <f>IF('Revenue Jrnl'!$E21="","",'Revenue Jrnl'!$E21)</f>
        <v/>
      </c>
      <c r="H15" s="518">
        <f>'Revenue Jrnl'!H21</f>
        <v>0</v>
      </c>
      <c r="I15" s="518" t="str">
        <f t="shared" si="0"/>
        <v>0</v>
      </c>
      <c r="J15" s="520" t="b">
        <f t="shared" si="1"/>
        <v>0</v>
      </c>
      <c r="K15" s="521">
        <f>'Revenue Jrnl'!$G21</f>
        <v>0</v>
      </c>
      <c r="L15" s="522"/>
      <c r="M15" s="523">
        <f>'Revenue Jrnl'!E21</f>
        <v>0</v>
      </c>
      <c r="N15" s="524">
        <f>'Revenue Jrnl'!$H21</f>
        <v>0</v>
      </c>
      <c r="R15" s="525"/>
      <c r="S15" s="526"/>
    </row>
    <row r="16" spans="1:22" s="1" customFormat="1" ht="30" hidden="1" customHeight="1" x14ac:dyDescent="0.2">
      <c r="B16" s="517">
        <f>IF(AND('Revenue Jrnl'!G22&lt;&gt;"",'Revenue Jrnl'!C22&lt;&gt;""),1,0)</f>
        <v>0</v>
      </c>
      <c r="C16" s="517">
        <f>'Revenue Jrnl'!$C22</f>
        <v>0</v>
      </c>
      <c r="D16" s="518">
        <f>'Revenue Jrnl'!$D22</f>
        <v>0</v>
      </c>
      <c r="E16" s="1523">
        <f>'Revenue Jrnl'!$F22</f>
        <v>0</v>
      </c>
      <c r="F16" s="1523"/>
      <c r="G16" s="519" t="str">
        <f>IF('Revenue Jrnl'!$E22="","",'Revenue Jrnl'!$E22)</f>
        <v/>
      </c>
      <c r="H16" s="518">
        <f>'Revenue Jrnl'!H22</f>
        <v>0</v>
      </c>
      <c r="I16" s="518" t="str">
        <f t="shared" si="0"/>
        <v>0</v>
      </c>
      <c r="J16" s="520" t="b">
        <f t="shared" si="1"/>
        <v>0</v>
      </c>
      <c r="K16" s="521">
        <f>'Revenue Jrnl'!$G22</f>
        <v>0</v>
      </c>
      <c r="L16" s="522"/>
      <c r="M16" s="523">
        <f>'Revenue Jrnl'!E22</f>
        <v>0</v>
      </c>
      <c r="N16" s="524">
        <f>'Revenue Jrnl'!$H22</f>
        <v>0</v>
      </c>
    </row>
    <row r="17" spans="2:14" s="1" customFormat="1" ht="30" hidden="1" customHeight="1" x14ac:dyDescent="0.2">
      <c r="B17" s="517">
        <f>IF(AND('Revenue Jrnl'!G23&lt;&gt;"",'Revenue Jrnl'!C23&lt;&gt;""),1,0)</f>
        <v>0</v>
      </c>
      <c r="C17" s="517">
        <f>'Revenue Jrnl'!$C23</f>
        <v>0</v>
      </c>
      <c r="D17" s="518">
        <f>'Revenue Jrnl'!$D23</f>
        <v>0</v>
      </c>
      <c r="E17" s="1523">
        <f>'Revenue Jrnl'!$F23</f>
        <v>0</v>
      </c>
      <c r="F17" s="1523"/>
      <c r="G17" s="519" t="str">
        <f>IF('Revenue Jrnl'!$E23="","",'Revenue Jrnl'!$E23)</f>
        <v/>
      </c>
      <c r="H17" s="518">
        <f>'Revenue Jrnl'!H23</f>
        <v>0</v>
      </c>
      <c r="I17" s="518" t="str">
        <f t="shared" si="0"/>
        <v>0</v>
      </c>
      <c r="J17" s="520" t="b">
        <f t="shared" si="1"/>
        <v>0</v>
      </c>
      <c r="K17" s="521">
        <f>'Revenue Jrnl'!$G23</f>
        <v>0</v>
      </c>
      <c r="L17" s="522"/>
      <c r="M17" s="523">
        <f>'Revenue Jrnl'!E23</f>
        <v>0</v>
      </c>
      <c r="N17" s="524">
        <f>'Revenue Jrnl'!$H23</f>
        <v>0</v>
      </c>
    </row>
    <row r="18" spans="2:14" s="1" customFormat="1" ht="30" hidden="1" customHeight="1" x14ac:dyDescent="0.2">
      <c r="B18" s="517">
        <f>IF(AND('Revenue Jrnl'!G24&lt;&gt;"",'Revenue Jrnl'!C24&lt;&gt;""),1,0)</f>
        <v>0</v>
      </c>
      <c r="C18" s="517">
        <f>'Revenue Jrnl'!$C24</f>
        <v>0</v>
      </c>
      <c r="D18" s="518">
        <f>'Revenue Jrnl'!$D24</f>
        <v>0</v>
      </c>
      <c r="E18" s="1523">
        <f>'Revenue Jrnl'!$F24</f>
        <v>0</v>
      </c>
      <c r="F18" s="1523"/>
      <c r="G18" s="519" t="str">
        <f>IF('Revenue Jrnl'!$E24="","",'Revenue Jrnl'!$E24)</f>
        <v/>
      </c>
      <c r="H18" s="518">
        <f>'Revenue Jrnl'!H24</f>
        <v>0</v>
      </c>
      <c r="I18" s="518" t="str">
        <f t="shared" si="0"/>
        <v>0</v>
      </c>
      <c r="J18" s="520" t="b">
        <f t="shared" si="1"/>
        <v>0</v>
      </c>
      <c r="K18" s="521">
        <f>'Revenue Jrnl'!$G24</f>
        <v>0</v>
      </c>
      <c r="L18" s="522"/>
      <c r="M18" s="523">
        <f>'Revenue Jrnl'!E24</f>
        <v>0</v>
      </c>
      <c r="N18" s="524">
        <f>'Revenue Jrnl'!$H24</f>
        <v>0</v>
      </c>
    </row>
    <row r="19" spans="2:14" s="1" customFormat="1" ht="30" hidden="1" customHeight="1" x14ac:dyDescent="0.2">
      <c r="B19" s="517">
        <f>IF(AND('Revenue Jrnl'!G25&lt;&gt;"",'Revenue Jrnl'!C25&lt;&gt;""),1,0)</f>
        <v>0</v>
      </c>
      <c r="C19" s="517">
        <f>'Revenue Jrnl'!$C25</f>
        <v>0</v>
      </c>
      <c r="D19" s="518">
        <f>'Revenue Jrnl'!$D25</f>
        <v>0</v>
      </c>
      <c r="E19" s="1523">
        <f>'Revenue Jrnl'!$F25</f>
        <v>0</v>
      </c>
      <c r="F19" s="1523"/>
      <c r="G19" s="519" t="str">
        <f>IF('Revenue Jrnl'!$E25="","",'Revenue Jrnl'!$E25)</f>
        <v/>
      </c>
      <c r="H19" s="518">
        <f>'Revenue Jrnl'!H25</f>
        <v>0</v>
      </c>
      <c r="I19" s="518" t="str">
        <f t="shared" si="0"/>
        <v>0</v>
      </c>
      <c r="J19" s="520" t="b">
        <f t="shared" si="1"/>
        <v>0</v>
      </c>
      <c r="K19" s="521">
        <f>'Revenue Jrnl'!$G25</f>
        <v>0</v>
      </c>
      <c r="L19" s="522"/>
      <c r="M19" s="523">
        <f>'Revenue Jrnl'!E25</f>
        <v>0</v>
      </c>
      <c r="N19" s="524">
        <f>'Revenue Jrnl'!$H25</f>
        <v>0</v>
      </c>
    </row>
    <row r="20" spans="2:14" s="1" customFormat="1" ht="30" hidden="1" customHeight="1" x14ac:dyDescent="0.2">
      <c r="B20" s="517">
        <f>IF(AND('Revenue Jrnl'!G26&lt;&gt;"",'Revenue Jrnl'!C26&lt;&gt;""),1,0)</f>
        <v>0</v>
      </c>
      <c r="C20" s="517">
        <f>'Revenue Jrnl'!$C26</f>
        <v>0</v>
      </c>
      <c r="D20" s="518">
        <f>'Revenue Jrnl'!$D26</f>
        <v>0</v>
      </c>
      <c r="E20" s="1523">
        <f>'Revenue Jrnl'!$F26</f>
        <v>0</v>
      </c>
      <c r="F20" s="1523"/>
      <c r="G20" s="519" t="str">
        <f>IF('Revenue Jrnl'!$E26="","",'Revenue Jrnl'!$E26)</f>
        <v/>
      </c>
      <c r="H20" s="518">
        <f>'Revenue Jrnl'!H26</f>
        <v>0</v>
      </c>
      <c r="I20" s="518" t="str">
        <f t="shared" si="0"/>
        <v>0</v>
      </c>
      <c r="J20" s="520" t="b">
        <f t="shared" si="1"/>
        <v>0</v>
      </c>
      <c r="K20" s="521">
        <f>'Revenue Jrnl'!$G26</f>
        <v>0</v>
      </c>
      <c r="L20" s="522"/>
      <c r="M20" s="523">
        <f>'Revenue Jrnl'!E26</f>
        <v>0</v>
      </c>
      <c r="N20" s="524">
        <f>'Revenue Jrnl'!$H26</f>
        <v>0</v>
      </c>
    </row>
    <row r="21" spans="2:14" s="1" customFormat="1" ht="30" hidden="1" customHeight="1" x14ac:dyDescent="0.2">
      <c r="B21" s="517">
        <f>IF(AND('Revenue Jrnl'!G27&lt;&gt;"",'Revenue Jrnl'!C27&lt;&gt;""),1,0)</f>
        <v>0</v>
      </c>
      <c r="C21" s="517">
        <f>'Revenue Jrnl'!$C27</f>
        <v>0</v>
      </c>
      <c r="D21" s="518">
        <f>'Revenue Jrnl'!$D27</f>
        <v>0</v>
      </c>
      <c r="E21" s="1523">
        <f>'Revenue Jrnl'!$F27</f>
        <v>0</v>
      </c>
      <c r="F21" s="1523"/>
      <c r="G21" s="519" t="str">
        <f>IF('Revenue Jrnl'!$E27="","",'Revenue Jrnl'!$E27)</f>
        <v/>
      </c>
      <c r="H21" s="518">
        <f>'Revenue Jrnl'!H27</f>
        <v>0</v>
      </c>
      <c r="I21" s="518" t="str">
        <f t="shared" si="0"/>
        <v>0</v>
      </c>
      <c r="J21" s="520" t="b">
        <f t="shared" si="1"/>
        <v>0</v>
      </c>
      <c r="K21" s="521">
        <f>'Revenue Jrnl'!$G27</f>
        <v>0</v>
      </c>
      <c r="L21" s="522"/>
      <c r="M21" s="523">
        <f>'Revenue Jrnl'!E27</f>
        <v>0</v>
      </c>
      <c r="N21" s="524">
        <f>'Revenue Jrnl'!$H27</f>
        <v>0</v>
      </c>
    </row>
    <row r="22" spans="2:14" s="1" customFormat="1" ht="30" hidden="1" customHeight="1" x14ac:dyDescent="0.2">
      <c r="B22" s="517">
        <f>IF(AND('Revenue Jrnl'!G28&lt;&gt;"",'Revenue Jrnl'!C28&lt;&gt;""),1,0)</f>
        <v>0</v>
      </c>
      <c r="C22" s="517">
        <f>'Revenue Jrnl'!$C28</f>
        <v>0</v>
      </c>
      <c r="D22" s="518">
        <f>'Revenue Jrnl'!$D28</f>
        <v>0</v>
      </c>
      <c r="E22" s="1523">
        <f>'Revenue Jrnl'!$F28</f>
        <v>0</v>
      </c>
      <c r="F22" s="1523"/>
      <c r="G22" s="519" t="str">
        <f>IF('Revenue Jrnl'!$E28="","",'Revenue Jrnl'!$E28)</f>
        <v/>
      </c>
      <c r="H22" s="518">
        <f>'Revenue Jrnl'!H28</f>
        <v>0</v>
      </c>
      <c r="I22" s="518" t="str">
        <f t="shared" si="0"/>
        <v>0</v>
      </c>
      <c r="J22" s="520" t="b">
        <f t="shared" si="1"/>
        <v>0</v>
      </c>
      <c r="K22" s="521">
        <f>'Revenue Jrnl'!$G28</f>
        <v>0</v>
      </c>
      <c r="L22" s="522"/>
      <c r="M22" s="523">
        <f>'Revenue Jrnl'!E28</f>
        <v>0</v>
      </c>
      <c r="N22" s="524">
        <f>'Revenue Jrnl'!$H28</f>
        <v>0</v>
      </c>
    </row>
    <row r="23" spans="2:14" s="1" customFormat="1" ht="30" hidden="1" customHeight="1" x14ac:dyDescent="0.2">
      <c r="B23" s="517">
        <f>IF(AND('Revenue Jrnl'!G29&lt;&gt;"",'Revenue Jrnl'!C29&lt;&gt;""),1,0)</f>
        <v>0</v>
      </c>
      <c r="C23" s="517">
        <f>'Revenue Jrnl'!$C29</f>
        <v>0</v>
      </c>
      <c r="D23" s="518">
        <f>'Revenue Jrnl'!$D29</f>
        <v>0</v>
      </c>
      <c r="E23" s="1523">
        <f>'Revenue Jrnl'!$F29</f>
        <v>0</v>
      </c>
      <c r="F23" s="1523"/>
      <c r="G23" s="519" t="str">
        <f>IF('Revenue Jrnl'!$E29="","",'Revenue Jrnl'!$E29)</f>
        <v/>
      </c>
      <c r="H23" s="518">
        <f>'Revenue Jrnl'!H29</f>
        <v>0</v>
      </c>
      <c r="I23" s="518" t="str">
        <f t="shared" si="0"/>
        <v>0</v>
      </c>
      <c r="J23" s="520" t="b">
        <f t="shared" si="1"/>
        <v>0</v>
      </c>
      <c r="K23" s="521">
        <f>'Revenue Jrnl'!$G29</f>
        <v>0</v>
      </c>
      <c r="L23" s="522"/>
      <c r="M23" s="523">
        <f>'Revenue Jrnl'!E29</f>
        <v>0</v>
      </c>
      <c r="N23" s="524">
        <f>'Revenue Jrnl'!$H29</f>
        <v>0</v>
      </c>
    </row>
    <row r="24" spans="2:14" s="1" customFormat="1" ht="30" hidden="1" customHeight="1" x14ac:dyDescent="0.2">
      <c r="B24" s="517">
        <f>IF(AND('Revenue Jrnl'!G30&lt;&gt;"",'Revenue Jrnl'!C30&lt;&gt;""),1,0)</f>
        <v>0</v>
      </c>
      <c r="C24" s="517">
        <f>'Revenue Jrnl'!$C30</f>
        <v>0</v>
      </c>
      <c r="D24" s="518">
        <f>'Revenue Jrnl'!$D30</f>
        <v>0</v>
      </c>
      <c r="E24" s="1523">
        <f>'Revenue Jrnl'!$F30</f>
        <v>0</v>
      </c>
      <c r="F24" s="1523"/>
      <c r="G24" s="519" t="str">
        <f>IF('Revenue Jrnl'!$E30="","",'Revenue Jrnl'!$E30)</f>
        <v/>
      </c>
      <c r="H24" s="518">
        <f>'Revenue Jrnl'!H30</f>
        <v>0</v>
      </c>
      <c r="I24" s="518" t="str">
        <f t="shared" si="0"/>
        <v>0</v>
      </c>
      <c r="J24" s="520" t="b">
        <f t="shared" si="1"/>
        <v>0</v>
      </c>
      <c r="K24" s="521">
        <f>'Revenue Jrnl'!$G30</f>
        <v>0</v>
      </c>
      <c r="L24" s="522"/>
      <c r="M24" s="523">
        <f>'Revenue Jrnl'!E30</f>
        <v>0</v>
      </c>
      <c r="N24" s="524">
        <f>'Revenue Jrnl'!$H30</f>
        <v>0</v>
      </c>
    </row>
    <row r="25" spans="2:14" s="1" customFormat="1" ht="30" hidden="1" customHeight="1" x14ac:dyDescent="0.2">
      <c r="B25" s="517">
        <f>IF(AND('Revenue Jrnl'!G31&lt;&gt;"",'Revenue Jrnl'!C31&lt;&gt;""),1,0)</f>
        <v>0</v>
      </c>
      <c r="C25" s="517">
        <f>'Revenue Jrnl'!$C31</f>
        <v>0</v>
      </c>
      <c r="D25" s="518">
        <f>'Revenue Jrnl'!$D31</f>
        <v>0</v>
      </c>
      <c r="E25" s="1523">
        <f>'Revenue Jrnl'!$F31</f>
        <v>0</v>
      </c>
      <c r="F25" s="1523"/>
      <c r="G25" s="519" t="str">
        <f>IF('Revenue Jrnl'!$E31="","",'Revenue Jrnl'!$E31)</f>
        <v/>
      </c>
      <c r="H25" s="518">
        <f>'Revenue Jrnl'!H31</f>
        <v>0</v>
      </c>
      <c r="I25" s="518" t="str">
        <f t="shared" si="0"/>
        <v>0</v>
      </c>
      <c r="J25" s="520" t="b">
        <f t="shared" si="1"/>
        <v>0</v>
      </c>
      <c r="K25" s="521">
        <f>'Revenue Jrnl'!$G31</f>
        <v>0</v>
      </c>
      <c r="L25" s="522"/>
      <c r="M25" s="523">
        <f>'Revenue Jrnl'!E31</f>
        <v>0</v>
      </c>
      <c r="N25" s="524">
        <f>'Revenue Jrnl'!$H31</f>
        <v>0</v>
      </c>
    </row>
    <row r="26" spans="2:14" s="1" customFormat="1" ht="30" hidden="1" customHeight="1" x14ac:dyDescent="0.2">
      <c r="B26" s="517">
        <f>IF(AND('Revenue Jrnl'!G32&lt;&gt;"",'Revenue Jrnl'!C32&lt;&gt;""),1,0)</f>
        <v>0</v>
      </c>
      <c r="C26" s="517">
        <f>'Revenue Jrnl'!$C32</f>
        <v>0</v>
      </c>
      <c r="D26" s="518">
        <f>'Revenue Jrnl'!$D32</f>
        <v>0</v>
      </c>
      <c r="E26" s="1523">
        <f>'Revenue Jrnl'!$F32</f>
        <v>0</v>
      </c>
      <c r="F26" s="1523"/>
      <c r="G26" s="519" t="str">
        <f>IF('Revenue Jrnl'!$E32="","",'Revenue Jrnl'!$E32)</f>
        <v/>
      </c>
      <c r="H26" s="518">
        <f>'Revenue Jrnl'!H32</f>
        <v>0</v>
      </c>
      <c r="I26" s="518" t="str">
        <f t="shared" si="0"/>
        <v>0</v>
      </c>
      <c r="J26" s="520" t="b">
        <f t="shared" si="1"/>
        <v>0</v>
      </c>
      <c r="K26" s="521">
        <f>'Revenue Jrnl'!$G32</f>
        <v>0</v>
      </c>
      <c r="L26" s="522"/>
      <c r="M26" s="523">
        <f>'Revenue Jrnl'!E32</f>
        <v>0</v>
      </c>
      <c r="N26" s="524">
        <f>'Revenue Jrnl'!$H32</f>
        <v>0</v>
      </c>
    </row>
    <row r="27" spans="2:14" s="1" customFormat="1" ht="30" hidden="1" customHeight="1" x14ac:dyDescent="0.2">
      <c r="B27" s="517">
        <f>IF(AND('Revenue Jrnl'!G33&lt;&gt;"",'Revenue Jrnl'!C33&lt;&gt;""),1,0)</f>
        <v>0</v>
      </c>
      <c r="C27" s="517">
        <f>'Revenue Jrnl'!$C33</f>
        <v>0</v>
      </c>
      <c r="D27" s="518">
        <f>'Revenue Jrnl'!$D33</f>
        <v>0</v>
      </c>
      <c r="E27" s="1523">
        <f>'Revenue Jrnl'!$F33</f>
        <v>0</v>
      </c>
      <c r="F27" s="1523"/>
      <c r="G27" s="519" t="str">
        <f>IF('Revenue Jrnl'!$E33="","",'Revenue Jrnl'!$E33)</f>
        <v/>
      </c>
      <c r="H27" s="518">
        <f>'Revenue Jrnl'!H33</f>
        <v>0</v>
      </c>
      <c r="I27" s="518" t="str">
        <f t="shared" si="0"/>
        <v>0</v>
      </c>
      <c r="J27" s="520" t="b">
        <f t="shared" si="1"/>
        <v>0</v>
      </c>
      <c r="K27" s="521">
        <f>'Revenue Jrnl'!$G33</f>
        <v>0</v>
      </c>
      <c r="L27" s="522"/>
      <c r="M27" s="523">
        <f>'Revenue Jrnl'!E33</f>
        <v>0</v>
      </c>
      <c r="N27" s="524">
        <f>'Revenue Jrnl'!$H33</f>
        <v>0</v>
      </c>
    </row>
    <row r="28" spans="2:14" s="1" customFormat="1" ht="30" hidden="1" customHeight="1" x14ac:dyDescent="0.2">
      <c r="B28" s="517">
        <f>IF(AND('Revenue Jrnl'!G34&lt;&gt;"",'Revenue Jrnl'!C34&lt;&gt;""),1,0)</f>
        <v>0</v>
      </c>
      <c r="C28" s="517">
        <f>'Revenue Jrnl'!$C34</f>
        <v>0</v>
      </c>
      <c r="D28" s="518">
        <f>'Revenue Jrnl'!$D34</f>
        <v>0</v>
      </c>
      <c r="E28" s="1523">
        <f>'Revenue Jrnl'!$F34</f>
        <v>0</v>
      </c>
      <c r="F28" s="1523"/>
      <c r="G28" s="519" t="str">
        <f>IF('Revenue Jrnl'!$E34="","",'Revenue Jrnl'!$E34)</f>
        <v/>
      </c>
      <c r="H28" s="518">
        <f>'Revenue Jrnl'!H34</f>
        <v>0</v>
      </c>
      <c r="I28" s="518" t="str">
        <f t="shared" si="0"/>
        <v>0</v>
      </c>
      <c r="J28" s="520" t="b">
        <f t="shared" si="1"/>
        <v>0</v>
      </c>
      <c r="K28" s="521">
        <f>'Revenue Jrnl'!$G34</f>
        <v>0</v>
      </c>
      <c r="L28" s="522"/>
      <c r="M28" s="523">
        <f>'Revenue Jrnl'!E34</f>
        <v>0</v>
      </c>
      <c r="N28" s="524">
        <f>'Revenue Jrnl'!$H34</f>
        <v>0</v>
      </c>
    </row>
    <row r="29" spans="2:14" s="1" customFormat="1" ht="30" hidden="1" customHeight="1" x14ac:dyDescent="0.2">
      <c r="B29" s="517">
        <f>IF(AND('Revenue Jrnl'!G35&lt;&gt;"",'Revenue Jrnl'!C35&lt;&gt;""),1,0)</f>
        <v>0</v>
      </c>
      <c r="C29" s="517">
        <f>'Revenue Jrnl'!$C35</f>
        <v>0</v>
      </c>
      <c r="D29" s="518">
        <f>'Revenue Jrnl'!$D35</f>
        <v>0</v>
      </c>
      <c r="E29" s="1523">
        <f>'Revenue Jrnl'!$F35</f>
        <v>0</v>
      </c>
      <c r="F29" s="1523"/>
      <c r="G29" s="519" t="str">
        <f>IF('Revenue Jrnl'!$E35="","",'Revenue Jrnl'!$E35)</f>
        <v/>
      </c>
      <c r="H29" s="518">
        <f>'Revenue Jrnl'!H35</f>
        <v>0</v>
      </c>
      <c r="I29" s="518" t="str">
        <f t="shared" si="0"/>
        <v>0</v>
      </c>
      <c r="J29" s="520" t="b">
        <f t="shared" si="1"/>
        <v>0</v>
      </c>
      <c r="K29" s="521">
        <f>'Revenue Jrnl'!$G35</f>
        <v>0</v>
      </c>
      <c r="L29" s="522"/>
      <c r="M29" s="523">
        <f>'Revenue Jrnl'!E35</f>
        <v>0</v>
      </c>
      <c r="N29" s="524">
        <f>'Revenue Jrnl'!$H35</f>
        <v>0</v>
      </c>
    </row>
    <row r="30" spans="2:14" s="1" customFormat="1" ht="30" hidden="1" customHeight="1" x14ac:dyDescent="0.2">
      <c r="B30" s="517">
        <f>IF(AND('Revenue Jrnl'!G36&lt;&gt;"",'Revenue Jrnl'!C36&lt;&gt;""),1,0)</f>
        <v>0</v>
      </c>
      <c r="C30" s="517">
        <f>'Revenue Jrnl'!$C36</f>
        <v>0</v>
      </c>
      <c r="D30" s="518">
        <f>'Revenue Jrnl'!$D36</f>
        <v>0</v>
      </c>
      <c r="E30" s="1523">
        <f>'Revenue Jrnl'!$F36</f>
        <v>0</v>
      </c>
      <c r="F30" s="1523"/>
      <c r="G30" s="519" t="str">
        <f>IF('Revenue Jrnl'!$E36="","",'Revenue Jrnl'!$E36)</f>
        <v/>
      </c>
      <c r="H30" s="518">
        <f>'Revenue Jrnl'!H36</f>
        <v>0</v>
      </c>
      <c r="I30" s="518" t="str">
        <f t="shared" si="0"/>
        <v>0</v>
      </c>
      <c r="J30" s="520" t="b">
        <f t="shared" si="1"/>
        <v>0</v>
      </c>
      <c r="K30" s="521">
        <f>'Revenue Jrnl'!$G36</f>
        <v>0</v>
      </c>
      <c r="L30" s="522"/>
      <c r="M30" s="523">
        <f>'Revenue Jrnl'!E36</f>
        <v>0</v>
      </c>
      <c r="N30" s="524">
        <f>'Revenue Jrnl'!$H36</f>
        <v>0</v>
      </c>
    </row>
    <row r="31" spans="2:14" s="1" customFormat="1" ht="30" hidden="1" customHeight="1" x14ac:dyDescent="0.2">
      <c r="B31" s="517">
        <f>IF(AND('Revenue Jrnl'!G37&lt;&gt;"",'Revenue Jrnl'!C37&lt;&gt;""),1,0)</f>
        <v>0</v>
      </c>
      <c r="C31" s="517">
        <f>'Revenue Jrnl'!$C37</f>
        <v>0</v>
      </c>
      <c r="D31" s="518">
        <f>'Revenue Jrnl'!$D37</f>
        <v>0</v>
      </c>
      <c r="E31" s="1523">
        <f>'Revenue Jrnl'!$F37</f>
        <v>0</v>
      </c>
      <c r="F31" s="1523"/>
      <c r="G31" s="519" t="str">
        <f>IF('Revenue Jrnl'!$E37="","",'Revenue Jrnl'!$E37)</f>
        <v/>
      </c>
      <c r="H31" s="518">
        <f>'Revenue Jrnl'!H37</f>
        <v>0</v>
      </c>
      <c r="I31" s="518" t="str">
        <f t="shared" si="0"/>
        <v>0</v>
      </c>
      <c r="J31" s="520" t="b">
        <f t="shared" si="1"/>
        <v>0</v>
      </c>
      <c r="K31" s="521">
        <f>'Revenue Jrnl'!$G37</f>
        <v>0</v>
      </c>
      <c r="L31" s="522"/>
      <c r="M31" s="523">
        <f>'Revenue Jrnl'!E37</f>
        <v>0</v>
      </c>
      <c r="N31" s="524">
        <f>'Revenue Jrnl'!$H37</f>
        <v>0</v>
      </c>
    </row>
    <row r="32" spans="2:14" s="1" customFormat="1" ht="30" hidden="1" customHeight="1" x14ac:dyDescent="0.2">
      <c r="B32" s="517">
        <f>IF(AND('Revenue Jrnl'!G38&lt;&gt;"",'Revenue Jrnl'!C38&lt;&gt;""),1,0)</f>
        <v>0</v>
      </c>
      <c r="C32" s="517">
        <f>'Revenue Jrnl'!$C38</f>
        <v>0</v>
      </c>
      <c r="D32" s="518">
        <f>'Revenue Jrnl'!$D38</f>
        <v>0</v>
      </c>
      <c r="E32" s="1523">
        <f>'Revenue Jrnl'!$F38</f>
        <v>0</v>
      </c>
      <c r="F32" s="1523"/>
      <c r="G32" s="519" t="str">
        <f>IF('Revenue Jrnl'!$E38="","",'Revenue Jrnl'!$E38)</f>
        <v/>
      </c>
      <c r="H32" s="518">
        <f>'Revenue Jrnl'!H38</f>
        <v>0</v>
      </c>
      <c r="I32" s="518" t="str">
        <f t="shared" si="0"/>
        <v>0</v>
      </c>
      <c r="J32" s="520" t="b">
        <f t="shared" si="1"/>
        <v>0</v>
      </c>
      <c r="K32" s="521">
        <f>'Revenue Jrnl'!$G38</f>
        <v>0</v>
      </c>
      <c r="L32" s="522"/>
      <c r="M32" s="523">
        <f>'Revenue Jrnl'!E38</f>
        <v>0</v>
      </c>
      <c r="N32" s="524">
        <f>'Revenue Jrnl'!$H38</f>
        <v>0</v>
      </c>
    </row>
    <row r="33" spans="2:14" s="1" customFormat="1" ht="30" hidden="1" customHeight="1" x14ac:dyDescent="0.2">
      <c r="B33" s="517">
        <f>IF(AND('Revenue Jrnl'!G39&lt;&gt;"",'Revenue Jrnl'!C39&lt;&gt;""),1,0)</f>
        <v>0</v>
      </c>
      <c r="C33" s="517">
        <f>'Revenue Jrnl'!$C39</f>
        <v>0</v>
      </c>
      <c r="D33" s="518">
        <f>'Revenue Jrnl'!$D39</f>
        <v>0</v>
      </c>
      <c r="E33" s="1523">
        <f>'Revenue Jrnl'!$F39</f>
        <v>0</v>
      </c>
      <c r="F33" s="1523"/>
      <c r="G33" s="519" t="str">
        <f>IF('Revenue Jrnl'!$E39="","",'Revenue Jrnl'!$E39)</f>
        <v/>
      </c>
      <c r="H33" s="518">
        <f>'Revenue Jrnl'!H39</f>
        <v>0</v>
      </c>
      <c r="I33" s="518" t="str">
        <f t="shared" si="0"/>
        <v>0</v>
      </c>
      <c r="J33" s="520" t="b">
        <f t="shared" si="1"/>
        <v>0</v>
      </c>
      <c r="K33" s="521">
        <f>'Revenue Jrnl'!$G39</f>
        <v>0</v>
      </c>
      <c r="L33" s="522"/>
      <c r="M33" s="523">
        <f>'Revenue Jrnl'!E39</f>
        <v>0</v>
      </c>
      <c r="N33" s="524">
        <f>'Revenue Jrnl'!$H39</f>
        <v>0</v>
      </c>
    </row>
    <row r="34" spans="2:14" s="1" customFormat="1" ht="30" hidden="1" customHeight="1" x14ac:dyDescent="0.2">
      <c r="B34" s="517">
        <f>IF(AND('Revenue Jrnl'!G40&lt;&gt;"",'Revenue Jrnl'!C40&lt;&gt;""),1,0)</f>
        <v>0</v>
      </c>
      <c r="C34" s="517">
        <f>'Revenue Jrnl'!$C40</f>
        <v>0</v>
      </c>
      <c r="D34" s="518">
        <f>'Revenue Jrnl'!$D40</f>
        <v>0</v>
      </c>
      <c r="E34" s="1523">
        <f>'Revenue Jrnl'!$F40</f>
        <v>0</v>
      </c>
      <c r="F34" s="1523"/>
      <c r="G34" s="519" t="str">
        <f>IF('Revenue Jrnl'!$E40="","",'Revenue Jrnl'!$E40)</f>
        <v/>
      </c>
      <c r="H34" s="518">
        <f>'Revenue Jrnl'!H40</f>
        <v>0</v>
      </c>
      <c r="I34" s="518" t="str">
        <f t="shared" si="0"/>
        <v>0</v>
      </c>
      <c r="J34" s="520" t="b">
        <f t="shared" si="1"/>
        <v>0</v>
      </c>
      <c r="K34" s="521">
        <f>'Revenue Jrnl'!$G40</f>
        <v>0</v>
      </c>
      <c r="L34" s="522"/>
      <c r="M34" s="523">
        <f>'Revenue Jrnl'!E40</f>
        <v>0</v>
      </c>
      <c r="N34" s="524">
        <f>'Revenue Jrnl'!$H40</f>
        <v>0</v>
      </c>
    </row>
    <row r="35" spans="2:14" s="1" customFormat="1" ht="30" hidden="1" customHeight="1" x14ac:dyDescent="0.2">
      <c r="B35" s="517">
        <f>IF(AND('Revenue Jrnl'!G41&lt;&gt;"",'Revenue Jrnl'!C41&lt;&gt;""),1,0)</f>
        <v>0</v>
      </c>
      <c r="C35" s="517">
        <f>'Revenue Jrnl'!$C41</f>
        <v>0</v>
      </c>
      <c r="D35" s="518">
        <f>'Revenue Jrnl'!$D41</f>
        <v>0</v>
      </c>
      <c r="E35" s="1523">
        <f>'Revenue Jrnl'!$F41</f>
        <v>0</v>
      </c>
      <c r="F35" s="1523"/>
      <c r="G35" s="519" t="str">
        <f>IF('Revenue Jrnl'!$E41="","",'Revenue Jrnl'!$E41)</f>
        <v/>
      </c>
      <c r="H35" s="518">
        <f>'Revenue Jrnl'!H41</f>
        <v>0</v>
      </c>
      <c r="I35" s="518" t="str">
        <f t="shared" si="0"/>
        <v>0</v>
      </c>
      <c r="J35" s="520" t="b">
        <f t="shared" si="1"/>
        <v>0</v>
      </c>
      <c r="K35" s="521">
        <f>'Revenue Jrnl'!$G41</f>
        <v>0</v>
      </c>
      <c r="L35" s="522"/>
      <c r="M35" s="523">
        <f>'Revenue Jrnl'!E41</f>
        <v>0</v>
      </c>
      <c r="N35" s="524">
        <f>'Revenue Jrnl'!$H41</f>
        <v>0</v>
      </c>
    </row>
    <row r="36" spans="2:14" s="1" customFormat="1" ht="30" hidden="1" customHeight="1" x14ac:dyDescent="0.2">
      <c r="B36" s="517">
        <f>IF(AND('Revenue Jrnl'!G42&lt;&gt;"",'Revenue Jrnl'!C42&lt;&gt;""),1,0)</f>
        <v>0</v>
      </c>
      <c r="C36" s="517">
        <f>'Revenue Jrnl'!$C42</f>
        <v>0</v>
      </c>
      <c r="D36" s="518">
        <f>'Revenue Jrnl'!$D42</f>
        <v>0</v>
      </c>
      <c r="E36" s="1523">
        <f>'Revenue Jrnl'!$F42</f>
        <v>0</v>
      </c>
      <c r="F36" s="1523"/>
      <c r="G36" s="519" t="str">
        <f>IF('Revenue Jrnl'!$E42="","",'Revenue Jrnl'!$E42)</f>
        <v/>
      </c>
      <c r="H36" s="518">
        <f>'Revenue Jrnl'!H42</f>
        <v>0</v>
      </c>
      <c r="I36" s="518" t="str">
        <f t="shared" si="0"/>
        <v>0</v>
      </c>
      <c r="J36" s="520" t="b">
        <f t="shared" si="1"/>
        <v>0</v>
      </c>
      <c r="K36" s="521">
        <f>'Revenue Jrnl'!$G42</f>
        <v>0</v>
      </c>
      <c r="L36" s="522"/>
      <c r="M36" s="523">
        <f>'Revenue Jrnl'!E42</f>
        <v>0</v>
      </c>
      <c r="N36" s="524">
        <f>'Revenue Jrnl'!$H42</f>
        <v>0</v>
      </c>
    </row>
    <row r="37" spans="2:14" s="1" customFormat="1" ht="30" hidden="1" customHeight="1" x14ac:dyDescent="0.2">
      <c r="B37" s="517">
        <f>IF(AND('Revenue Jrnl'!G43&lt;&gt;"",'Revenue Jrnl'!C43&lt;&gt;""),1,0)</f>
        <v>0</v>
      </c>
      <c r="C37" s="517">
        <f>'Revenue Jrnl'!$C43</f>
        <v>0</v>
      </c>
      <c r="D37" s="518">
        <f>'Revenue Jrnl'!$D43</f>
        <v>0</v>
      </c>
      <c r="E37" s="1523">
        <f>'Revenue Jrnl'!$F43</f>
        <v>0</v>
      </c>
      <c r="F37" s="1523"/>
      <c r="G37" s="519" t="str">
        <f>IF('Revenue Jrnl'!$E43="","",'Revenue Jrnl'!$E43)</f>
        <v/>
      </c>
      <c r="H37" s="518">
        <f>'Revenue Jrnl'!H43</f>
        <v>0</v>
      </c>
      <c r="I37" s="518" t="str">
        <f t="shared" si="0"/>
        <v>0</v>
      </c>
      <c r="J37" s="520" t="b">
        <f t="shared" si="1"/>
        <v>0</v>
      </c>
      <c r="K37" s="521">
        <f>'Revenue Jrnl'!$G43</f>
        <v>0</v>
      </c>
      <c r="L37" s="522"/>
      <c r="M37" s="523">
        <f>'Revenue Jrnl'!E43</f>
        <v>0</v>
      </c>
      <c r="N37" s="524">
        <f>'Revenue Jrnl'!$H43</f>
        <v>0</v>
      </c>
    </row>
    <row r="38" spans="2:14" s="1" customFormat="1" ht="30" hidden="1" customHeight="1" x14ac:dyDescent="0.2">
      <c r="B38" s="517">
        <f>IF(AND('Revenue Jrnl'!G44&lt;&gt;"",'Revenue Jrnl'!C44&lt;&gt;""),1,0)</f>
        <v>0</v>
      </c>
      <c r="C38" s="517">
        <f>'Revenue Jrnl'!$C44</f>
        <v>0</v>
      </c>
      <c r="D38" s="518">
        <f>'Revenue Jrnl'!$D44</f>
        <v>0</v>
      </c>
      <c r="E38" s="1523">
        <f>'Revenue Jrnl'!$F44</f>
        <v>0</v>
      </c>
      <c r="F38" s="1523"/>
      <c r="G38" s="519" t="str">
        <f>IF('Revenue Jrnl'!$E44="","",'Revenue Jrnl'!$E44)</f>
        <v/>
      </c>
      <c r="H38" s="518">
        <f>'Revenue Jrnl'!H44</f>
        <v>0</v>
      </c>
      <c r="I38" s="518" t="str">
        <f t="shared" si="0"/>
        <v>0</v>
      </c>
      <c r="J38" s="520" t="b">
        <f t="shared" si="1"/>
        <v>0</v>
      </c>
      <c r="K38" s="521">
        <f>'Revenue Jrnl'!$G44</f>
        <v>0</v>
      </c>
      <c r="L38" s="522"/>
      <c r="M38" s="523">
        <f>'Revenue Jrnl'!E44</f>
        <v>0</v>
      </c>
      <c r="N38" s="524">
        <f>'Revenue Jrnl'!$H44</f>
        <v>0</v>
      </c>
    </row>
    <row r="39" spans="2:14" s="1" customFormat="1" ht="30" hidden="1" customHeight="1" x14ac:dyDescent="0.2">
      <c r="B39" s="517">
        <f>IF(AND('Revenue Jrnl'!G45&lt;&gt;"",'Revenue Jrnl'!C45&lt;&gt;""),1,0)</f>
        <v>0</v>
      </c>
      <c r="C39" s="517">
        <f>'Revenue Jrnl'!$C45</f>
        <v>0</v>
      </c>
      <c r="D39" s="518">
        <f>'Revenue Jrnl'!$D45</f>
        <v>0</v>
      </c>
      <c r="E39" s="1523">
        <f>'Revenue Jrnl'!$F45</f>
        <v>0</v>
      </c>
      <c r="F39" s="1523"/>
      <c r="G39" s="519" t="str">
        <f>IF('Revenue Jrnl'!$E45="","",'Revenue Jrnl'!$E45)</f>
        <v/>
      </c>
      <c r="H39" s="518">
        <f>'Revenue Jrnl'!H45</f>
        <v>0</v>
      </c>
      <c r="I39" s="518" t="str">
        <f t="shared" si="0"/>
        <v>0</v>
      </c>
      <c r="J39" s="520" t="b">
        <f t="shared" si="1"/>
        <v>0</v>
      </c>
      <c r="K39" s="521">
        <f>'Revenue Jrnl'!$G45</f>
        <v>0</v>
      </c>
      <c r="L39" s="522"/>
      <c r="M39" s="523">
        <f>'Revenue Jrnl'!E45</f>
        <v>0</v>
      </c>
      <c r="N39" s="524">
        <f>'Revenue Jrnl'!$H45</f>
        <v>0</v>
      </c>
    </row>
    <row r="40" spans="2:14" s="1" customFormat="1" ht="30" hidden="1" customHeight="1" x14ac:dyDescent="0.2">
      <c r="B40" s="517">
        <f>IF(AND('Revenue Jrnl'!G46&lt;&gt;"",'Revenue Jrnl'!C46&lt;&gt;""),1,0)</f>
        <v>0</v>
      </c>
      <c r="C40" s="517">
        <f>'Revenue Jrnl'!$C46</f>
        <v>0</v>
      </c>
      <c r="D40" s="518">
        <f>'Revenue Jrnl'!$D46</f>
        <v>0</v>
      </c>
      <c r="E40" s="1523">
        <f>'Revenue Jrnl'!$F46</f>
        <v>0</v>
      </c>
      <c r="F40" s="1523"/>
      <c r="G40" s="519" t="str">
        <f>IF('Revenue Jrnl'!$E46="","",'Revenue Jrnl'!$E46)</f>
        <v/>
      </c>
      <c r="H40" s="518">
        <f>'Revenue Jrnl'!H46</f>
        <v>0</v>
      </c>
      <c r="I40" s="518" t="str">
        <f t="shared" si="0"/>
        <v>0</v>
      </c>
      <c r="J40" s="520" t="b">
        <f t="shared" si="1"/>
        <v>0</v>
      </c>
      <c r="K40" s="521">
        <f>'Revenue Jrnl'!$G46</f>
        <v>0</v>
      </c>
      <c r="L40" s="522"/>
      <c r="M40" s="523">
        <f>'Revenue Jrnl'!E46</f>
        <v>0</v>
      </c>
      <c r="N40" s="524">
        <f>'Revenue Jrnl'!$H46</f>
        <v>0</v>
      </c>
    </row>
    <row r="41" spans="2:14" s="1" customFormat="1" ht="30" hidden="1" customHeight="1" x14ac:dyDescent="0.2">
      <c r="B41" s="517">
        <f>IF(AND('Revenue Jrnl'!G47&lt;&gt;"",'Revenue Jrnl'!C47&lt;&gt;""),1,0)</f>
        <v>0</v>
      </c>
      <c r="C41" s="517">
        <f>'Revenue Jrnl'!$C47</f>
        <v>0</v>
      </c>
      <c r="D41" s="518">
        <f>'Revenue Jrnl'!$D47</f>
        <v>0</v>
      </c>
      <c r="E41" s="1523">
        <f>'Revenue Jrnl'!$F47</f>
        <v>0</v>
      </c>
      <c r="F41" s="1523"/>
      <c r="G41" s="519" t="str">
        <f>IF('Revenue Jrnl'!$E47="","",'Revenue Jrnl'!$E47)</f>
        <v/>
      </c>
      <c r="H41" s="518">
        <f>'Revenue Jrnl'!H47</f>
        <v>0</v>
      </c>
      <c r="I41" s="518" t="str">
        <f t="shared" si="0"/>
        <v>0</v>
      </c>
      <c r="J41" s="520" t="b">
        <f t="shared" si="1"/>
        <v>0</v>
      </c>
      <c r="K41" s="521">
        <f>'Revenue Jrnl'!$G47</f>
        <v>0</v>
      </c>
      <c r="L41" s="522"/>
      <c r="M41" s="523">
        <f>'Revenue Jrnl'!E47</f>
        <v>0</v>
      </c>
      <c r="N41" s="524">
        <f>'Revenue Jrnl'!$H47</f>
        <v>0</v>
      </c>
    </row>
    <row r="42" spans="2:14" s="1" customFormat="1" ht="30" hidden="1" customHeight="1" x14ac:dyDescent="0.2">
      <c r="B42" s="517">
        <f>IF(AND('Revenue Jrnl'!G48&lt;&gt;"",'Revenue Jrnl'!C48&lt;&gt;""),1,0)</f>
        <v>0</v>
      </c>
      <c r="C42" s="517">
        <f>'Revenue Jrnl'!$C48</f>
        <v>0</v>
      </c>
      <c r="D42" s="518">
        <f>'Revenue Jrnl'!$D48</f>
        <v>0</v>
      </c>
      <c r="E42" s="1523">
        <f>'Revenue Jrnl'!$F48</f>
        <v>0</v>
      </c>
      <c r="F42" s="1523"/>
      <c r="G42" s="519" t="str">
        <f>IF('Revenue Jrnl'!$E48="","",'Revenue Jrnl'!$E48)</f>
        <v/>
      </c>
      <c r="H42" s="518">
        <f>'Revenue Jrnl'!H48</f>
        <v>0</v>
      </c>
      <c r="I42" s="518" t="str">
        <f t="shared" si="0"/>
        <v>0</v>
      </c>
      <c r="J42" s="520" t="b">
        <f t="shared" si="1"/>
        <v>0</v>
      </c>
      <c r="K42" s="521">
        <f>'Revenue Jrnl'!$G48</f>
        <v>0</v>
      </c>
      <c r="L42" s="522"/>
      <c r="M42" s="523">
        <f>'Revenue Jrnl'!E48</f>
        <v>0</v>
      </c>
      <c r="N42" s="524">
        <f>'Revenue Jrnl'!$H48</f>
        <v>0</v>
      </c>
    </row>
    <row r="43" spans="2:14" s="1" customFormat="1" ht="30" hidden="1" customHeight="1" x14ac:dyDescent="0.2">
      <c r="B43" s="517">
        <f>IF(AND('Revenue Jrnl'!G49&lt;&gt;"",'Revenue Jrnl'!C49&lt;&gt;""),1,0)</f>
        <v>0</v>
      </c>
      <c r="C43" s="517">
        <f>'Revenue Jrnl'!$C49</f>
        <v>0</v>
      </c>
      <c r="D43" s="518">
        <f>'Revenue Jrnl'!$D49</f>
        <v>0</v>
      </c>
      <c r="E43" s="1523">
        <f>'Revenue Jrnl'!$F49</f>
        <v>0</v>
      </c>
      <c r="F43" s="1523"/>
      <c r="G43" s="519" t="str">
        <f>IF('Revenue Jrnl'!$E49="","",'Revenue Jrnl'!$E49)</f>
        <v/>
      </c>
      <c r="H43" s="518">
        <f>'Revenue Jrnl'!H49</f>
        <v>0</v>
      </c>
      <c r="I43" s="518" t="str">
        <f t="shared" si="0"/>
        <v>0</v>
      </c>
      <c r="J43" s="520" t="b">
        <f t="shared" si="1"/>
        <v>0</v>
      </c>
      <c r="K43" s="521">
        <f>'Revenue Jrnl'!$G49</f>
        <v>0</v>
      </c>
      <c r="L43" s="522"/>
      <c r="M43" s="523">
        <f>'Revenue Jrnl'!E49</f>
        <v>0</v>
      </c>
      <c r="N43" s="524">
        <f>'Revenue Jrnl'!$H49</f>
        <v>0</v>
      </c>
    </row>
    <row r="44" spans="2:14" s="1" customFormat="1" ht="30" hidden="1" customHeight="1" x14ac:dyDescent="0.2">
      <c r="B44" s="517">
        <f>IF(AND('Revenue Jrnl'!G50&lt;&gt;"",'Revenue Jrnl'!C50&lt;&gt;""),1,0)</f>
        <v>0</v>
      </c>
      <c r="C44" s="517">
        <f>'Revenue Jrnl'!$C50</f>
        <v>0</v>
      </c>
      <c r="D44" s="518">
        <f>'Revenue Jrnl'!$D50</f>
        <v>0</v>
      </c>
      <c r="E44" s="1523">
        <f>'Revenue Jrnl'!$F50</f>
        <v>0</v>
      </c>
      <c r="F44" s="1523"/>
      <c r="G44" s="519" t="str">
        <f>IF('Revenue Jrnl'!$E50="","",'Revenue Jrnl'!$E50)</f>
        <v/>
      </c>
      <c r="H44" s="518">
        <f>'Revenue Jrnl'!H50</f>
        <v>0</v>
      </c>
      <c r="I44" s="518" t="str">
        <f t="shared" si="0"/>
        <v>0</v>
      </c>
      <c r="J44" s="520" t="b">
        <f t="shared" si="1"/>
        <v>0</v>
      </c>
      <c r="K44" s="521">
        <f>'Revenue Jrnl'!$G50</f>
        <v>0</v>
      </c>
      <c r="L44" s="522"/>
      <c r="M44" s="523">
        <f>'Revenue Jrnl'!E50</f>
        <v>0</v>
      </c>
      <c r="N44" s="524">
        <f>'Revenue Jrnl'!$H50</f>
        <v>0</v>
      </c>
    </row>
    <row r="45" spans="2:14" s="1" customFormat="1" ht="30" hidden="1" customHeight="1" x14ac:dyDescent="0.2">
      <c r="B45" s="517">
        <f>IF(AND('Revenue Jrnl'!G51&lt;&gt;"",'Revenue Jrnl'!C51&lt;&gt;""),1,0)</f>
        <v>0</v>
      </c>
      <c r="C45" s="517">
        <f>'Revenue Jrnl'!$C51</f>
        <v>0</v>
      </c>
      <c r="D45" s="518">
        <f>'Revenue Jrnl'!$D51</f>
        <v>0</v>
      </c>
      <c r="E45" s="1523">
        <f>'Revenue Jrnl'!$F51</f>
        <v>0</v>
      </c>
      <c r="F45" s="1523"/>
      <c r="G45" s="519" t="str">
        <f>IF('Revenue Jrnl'!$E51="","",'Revenue Jrnl'!$E51)</f>
        <v/>
      </c>
      <c r="H45" s="518">
        <f>'Revenue Jrnl'!H51</f>
        <v>0</v>
      </c>
      <c r="I45" s="518" t="str">
        <f t="shared" si="0"/>
        <v>0</v>
      </c>
      <c r="J45" s="520" t="b">
        <f t="shared" si="1"/>
        <v>0</v>
      </c>
      <c r="K45" s="521">
        <f>'Revenue Jrnl'!$G51</f>
        <v>0</v>
      </c>
      <c r="L45" s="522"/>
      <c r="M45" s="523">
        <f>'Revenue Jrnl'!E51</f>
        <v>0</v>
      </c>
      <c r="N45" s="524">
        <f>'Revenue Jrnl'!$H51</f>
        <v>0</v>
      </c>
    </row>
    <row r="46" spans="2:14" s="1" customFormat="1" ht="30" hidden="1" customHeight="1" x14ac:dyDescent="0.2">
      <c r="B46" s="517">
        <f>IF(AND('Revenue Jrnl'!G52&lt;&gt;"",'Revenue Jrnl'!C52&lt;&gt;""),1,0)</f>
        <v>0</v>
      </c>
      <c r="C46" s="517">
        <f>'Revenue Jrnl'!$C52</f>
        <v>0</v>
      </c>
      <c r="D46" s="518">
        <f>'Revenue Jrnl'!$D52</f>
        <v>0</v>
      </c>
      <c r="E46" s="1523">
        <f>'Revenue Jrnl'!$F52</f>
        <v>0</v>
      </c>
      <c r="F46" s="1523"/>
      <c r="G46" s="519" t="str">
        <f>IF('Revenue Jrnl'!$E52="","",'Revenue Jrnl'!$E52)</f>
        <v/>
      </c>
      <c r="H46" s="518">
        <f>'Revenue Jrnl'!H52</f>
        <v>0</v>
      </c>
      <c r="I46" s="518" t="str">
        <f t="shared" si="0"/>
        <v>0</v>
      </c>
      <c r="J46" s="520" t="b">
        <f t="shared" si="1"/>
        <v>0</v>
      </c>
      <c r="K46" s="521">
        <f>'Revenue Jrnl'!$G52</f>
        <v>0</v>
      </c>
      <c r="L46" s="522"/>
      <c r="M46" s="523">
        <f>'Revenue Jrnl'!E52</f>
        <v>0</v>
      </c>
      <c r="N46" s="524">
        <f>'Revenue Jrnl'!$H52</f>
        <v>0</v>
      </c>
    </row>
    <row r="47" spans="2:14" s="1" customFormat="1" ht="30" hidden="1" customHeight="1" x14ac:dyDescent="0.2">
      <c r="B47" s="517">
        <f>IF(AND('Revenue Jrnl'!G53&lt;&gt;"",'Revenue Jrnl'!C53&lt;&gt;""),1,0)</f>
        <v>0</v>
      </c>
      <c r="C47" s="517">
        <f>'Revenue Jrnl'!$C53</f>
        <v>0</v>
      </c>
      <c r="D47" s="518">
        <f>'Revenue Jrnl'!$D53</f>
        <v>0</v>
      </c>
      <c r="E47" s="1523">
        <f>'Revenue Jrnl'!$F53</f>
        <v>0</v>
      </c>
      <c r="F47" s="1523"/>
      <c r="G47" s="519" t="str">
        <f>IF('Revenue Jrnl'!$E53="","",'Revenue Jrnl'!$E53)</f>
        <v/>
      </c>
      <c r="H47" s="518">
        <f>'Revenue Jrnl'!H53</f>
        <v>0</v>
      </c>
      <c r="I47" s="518" t="str">
        <f t="shared" si="0"/>
        <v>0</v>
      </c>
      <c r="J47" s="520" t="b">
        <f t="shared" si="1"/>
        <v>0</v>
      </c>
      <c r="K47" s="521">
        <f>'Revenue Jrnl'!$G53</f>
        <v>0</v>
      </c>
      <c r="L47" s="522"/>
      <c r="M47" s="523">
        <f>'Revenue Jrnl'!E53</f>
        <v>0</v>
      </c>
      <c r="N47" s="524">
        <f>'Revenue Jrnl'!$H53</f>
        <v>0</v>
      </c>
    </row>
    <row r="48" spans="2:14" s="1" customFormat="1" ht="30" hidden="1" customHeight="1" x14ac:dyDescent="0.2">
      <c r="B48" s="517">
        <f>IF(AND('Revenue Jrnl'!G54&lt;&gt;"",'Revenue Jrnl'!C54&lt;&gt;""),1,0)</f>
        <v>0</v>
      </c>
      <c r="C48" s="517">
        <f>'Revenue Jrnl'!$C54</f>
        <v>0</v>
      </c>
      <c r="D48" s="518">
        <f>'Revenue Jrnl'!$D54</f>
        <v>0</v>
      </c>
      <c r="E48" s="1523">
        <f>'Revenue Jrnl'!$F54</f>
        <v>0</v>
      </c>
      <c r="F48" s="1523"/>
      <c r="G48" s="519" t="str">
        <f>IF('Revenue Jrnl'!$E54="","",'Revenue Jrnl'!$E54)</f>
        <v/>
      </c>
      <c r="H48" s="518">
        <f>'Revenue Jrnl'!H54</f>
        <v>0</v>
      </c>
      <c r="I48" s="518" t="str">
        <f t="shared" si="0"/>
        <v>0</v>
      </c>
      <c r="J48" s="520" t="b">
        <f t="shared" si="1"/>
        <v>0</v>
      </c>
      <c r="K48" s="521">
        <f>'Revenue Jrnl'!$G54</f>
        <v>0</v>
      </c>
      <c r="L48" s="522"/>
      <c r="M48" s="523">
        <f>'Revenue Jrnl'!E54</f>
        <v>0</v>
      </c>
      <c r="N48" s="524">
        <f>'Revenue Jrnl'!$H54</f>
        <v>0</v>
      </c>
    </row>
    <row r="49" spans="2:14" s="1" customFormat="1" ht="30" hidden="1" customHeight="1" x14ac:dyDescent="0.2">
      <c r="B49" s="517">
        <f>IF(AND('Revenue Jrnl'!G55&lt;&gt;"",'Revenue Jrnl'!C55&lt;&gt;""),1,0)</f>
        <v>0</v>
      </c>
      <c r="C49" s="517">
        <f>'Revenue Jrnl'!$C55</f>
        <v>0</v>
      </c>
      <c r="D49" s="518">
        <f>'Revenue Jrnl'!$D55</f>
        <v>0</v>
      </c>
      <c r="E49" s="1523">
        <f>'Revenue Jrnl'!$F55</f>
        <v>0</v>
      </c>
      <c r="F49" s="1523"/>
      <c r="G49" s="519" t="str">
        <f>IF('Revenue Jrnl'!$E55="","",'Revenue Jrnl'!$E55)</f>
        <v/>
      </c>
      <c r="H49" s="518">
        <f>'Revenue Jrnl'!H55</f>
        <v>0</v>
      </c>
      <c r="I49" s="518" t="str">
        <f t="shared" si="0"/>
        <v>0</v>
      </c>
      <c r="J49" s="520" t="b">
        <f t="shared" si="1"/>
        <v>0</v>
      </c>
      <c r="K49" s="521">
        <f>'Revenue Jrnl'!$G55</f>
        <v>0</v>
      </c>
      <c r="L49" s="522"/>
      <c r="M49" s="523">
        <f>'Revenue Jrnl'!E55</f>
        <v>0</v>
      </c>
      <c r="N49" s="524">
        <f>'Revenue Jrnl'!$H55</f>
        <v>0</v>
      </c>
    </row>
    <row r="50" spans="2:14" s="1" customFormat="1" ht="30" hidden="1" customHeight="1" x14ac:dyDescent="0.2">
      <c r="B50" s="517">
        <f>IF(AND('Revenue Jrnl'!G56&lt;&gt;"",'Revenue Jrnl'!C56&lt;&gt;""),1,0)</f>
        <v>0</v>
      </c>
      <c r="C50" s="517">
        <f>'Revenue Jrnl'!$C56</f>
        <v>0</v>
      </c>
      <c r="D50" s="518">
        <f>'Revenue Jrnl'!$D56</f>
        <v>0</v>
      </c>
      <c r="E50" s="1523">
        <f>'Revenue Jrnl'!$F56</f>
        <v>0</v>
      </c>
      <c r="F50" s="1523"/>
      <c r="G50" s="519" t="str">
        <f>IF('Revenue Jrnl'!$E56="","",'Revenue Jrnl'!$E56)</f>
        <v/>
      </c>
      <c r="H50" s="518">
        <f>'Revenue Jrnl'!H56</f>
        <v>0</v>
      </c>
      <c r="I50" s="518" t="str">
        <f t="shared" si="0"/>
        <v>0</v>
      </c>
      <c r="J50" s="520" t="b">
        <f t="shared" si="1"/>
        <v>0</v>
      </c>
      <c r="K50" s="521">
        <f>'Revenue Jrnl'!$G56</f>
        <v>0</v>
      </c>
      <c r="L50" s="522"/>
      <c r="M50" s="523">
        <f>'Revenue Jrnl'!E56</f>
        <v>0</v>
      </c>
      <c r="N50" s="524">
        <f>'Revenue Jrnl'!$H56</f>
        <v>0</v>
      </c>
    </row>
    <row r="51" spans="2:14" s="1" customFormat="1" ht="30" hidden="1" customHeight="1" x14ac:dyDescent="0.2">
      <c r="B51" s="517">
        <f>IF(AND('Revenue Jrnl'!G57&lt;&gt;"",'Revenue Jrnl'!C57&lt;&gt;""),1,0)</f>
        <v>0</v>
      </c>
      <c r="C51" s="517">
        <f>'Revenue Jrnl'!$C57</f>
        <v>0</v>
      </c>
      <c r="D51" s="518">
        <f>'Revenue Jrnl'!$D57</f>
        <v>0</v>
      </c>
      <c r="E51" s="1523">
        <f>'Revenue Jrnl'!$F57</f>
        <v>0</v>
      </c>
      <c r="F51" s="1523"/>
      <c r="G51" s="519" t="str">
        <f>IF('Revenue Jrnl'!$E57="","",'Revenue Jrnl'!$E57)</f>
        <v/>
      </c>
      <c r="H51" s="518">
        <f>'Revenue Jrnl'!H57</f>
        <v>0</v>
      </c>
      <c r="I51" s="518" t="str">
        <f t="shared" si="0"/>
        <v>0</v>
      </c>
      <c r="J51" s="520" t="b">
        <f t="shared" si="1"/>
        <v>0</v>
      </c>
      <c r="K51" s="521">
        <f>'Revenue Jrnl'!$G57</f>
        <v>0</v>
      </c>
      <c r="L51" s="522"/>
      <c r="M51" s="523">
        <f>'Revenue Jrnl'!E57</f>
        <v>0</v>
      </c>
      <c r="N51" s="524">
        <f>'Revenue Jrnl'!$H57</f>
        <v>0</v>
      </c>
    </row>
    <row r="52" spans="2:14" s="1" customFormat="1" ht="30" hidden="1" customHeight="1" x14ac:dyDescent="0.2">
      <c r="B52" s="517">
        <f>IF(AND('Revenue Jrnl'!G58&lt;&gt;"",'Revenue Jrnl'!C58&lt;&gt;""),1,0)</f>
        <v>0</v>
      </c>
      <c r="C52" s="517">
        <f>'Revenue Jrnl'!$C58</f>
        <v>0</v>
      </c>
      <c r="D52" s="518">
        <f>'Revenue Jrnl'!$D58</f>
        <v>0</v>
      </c>
      <c r="E52" s="1523">
        <f>'Revenue Jrnl'!$F58</f>
        <v>0</v>
      </c>
      <c r="F52" s="1523"/>
      <c r="G52" s="519" t="str">
        <f>IF('Revenue Jrnl'!$E58="","",'Revenue Jrnl'!$E58)</f>
        <v/>
      </c>
      <c r="H52" s="518">
        <f>'Revenue Jrnl'!H58</f>
        <v>0</v>
      </c>
      <c r="I52" s="518" t="str">
        <f t="shared" si="0"/>
        <v>0</v>
      </c>
      <c r="J52" s="520" t="b">
        <f t="shared" si="1"/>
        <v>0</v>
      </c>
      <c r="K52" s="521">
        <f>'Revenue Jrnl'!$G58</f>
        <v>0</v>
      </c>
      <c r="L52" s="522"/>
      <c r="M52" s="523">
        <f>'Revenue Jrnl'!E58</f>
        <v>0</v>
      </c>
      <c r="N52" s="524">
        <f>'Revenue Jrnl'!$H58</f>
        <v>0</v>
      </c>
    </row>
    <row r="53" spans="2:14" s="1" customFormat="1" ht="30" hidden="1" customHeight="1" x14ac:dyDescent="0.2">
      <c r="B53" s="517">
        <f>IF(AND('Revenue Jrnl'!G59&lt;&gt;"",'Revenue Jrnl'!C59&lt;&gt;""),1,0)</f>
        <v>0</v>
      </c>
      <c r="C53" s="517">
        <f>'Revenue Jrnl'!$C59</f>
        <v>0</v>
      </c>
      <c r="D53" s="518">
        <f>'Revenue Jrnl'!$D59</f>
        <v>0</v>
      </c>
      <c r="E53" s="1523">
        <f>'Revenue Jrnl'!$F59</f>
        <v>0</v>
      </c>
      <c r="F53" s="1523"/>
      <c r="G53" s="519" t="str">
        <f>IF('Revenue Jrnl'!$E59="","",'Revenue Jrnl'!$E59)</f>
        <v/>
      </c>
      <c r="H53" s="518">
        <f>'Revenue Jrnl'!H59</f>
        <v>0</v>
      </c>
      <c r="I53" s="518" t="str">
        <f t="shared" si="0"/>
        <v>0</v>
      </c>
      <c r="J53" s="520" t="b">
        <f t="shared" si="1"/>
        <v>0</v>
      </c>
      <c r="K53" s="521">
        <f>'Revenue Jrnl'!$G59</f>
        <v>0</v>
      </c>
      <c r="L53" s="522"/>
      <c r="M53" s="523">
        <f>'Revenue Jrnl'!E59</f>
        <v>0</v>
      </c>
      <c r="N53" s="524">
        <f>'Revenue Jrnl'!$H59</f>
        <v>0</v>
      </c>
    </row>
    <row r="54" spans="2:14" s="1" customFormat="1" ht="30" hidden="1" customHeight="1" x14ac:dyDescent="0.2">
      <c r="B54" s="517">
        <f>IF(AND('Revenue Jrnl'!G60&lt;&gt;"",'Revenue Jrnl'!C60&lt;&gt;""),1,0)</f>
        <v>0</v>
      </c>
      <c r="C54" s="517">
        <f>'Revenue Jrnl'!$C60</f>
        <v>0</v>
      </c>
      <c r="D54" s="518">
        <f>'Revenue Jrnl'!$D60</f>
        <v>0</v>
      </c>
      <c r="E54" s="1523">
        <f>'Revenue Jrnl'!$F60</f>
        <v>0</v>
      </c>
      <c r="F54" s="1523"/>
      <c r="G54" s="519" t="str">
        <f>IF('Revenue Jrnl'!$E60="","",'Revenue Jrnl'!$E60)</f>
        <v/>
      </c>
      <c r="H54" s="518">
        <f>'Revenue Jrnl'!H60</f>
        <v>0</v>
      </c>
      <c r="I54" s="518" t="str">
        <f t="shared" si="0"/>
        <v>0</v>
      </c>
      <c r="J54" s="520" t="b">
        <f t="shared" si="1"/>
        <v>0</v>
      </c>
      <c r="K54" s="521">
        <f>'Revenue Jrnl'!$G60</f>
        <v>0</v>
      </c>
      <c r="L54" s="522"/>
      <c r="M54" s="523">
        <f>'Revenue Jrnl'!E60</f>
        <v>0</v>
      </c>
      <c r="N54" s="524">
        <f>'Revenue Jrnl'!$H60</f>
        <v>0</v>
      </c>
    </row>
    <row r="55" spans="2:14" s="1" customFormat="1" ht="30" hidden="1" customHeight="1" x14ac:dyDescent="0.2">
      <c r="B55" s="517">
        <f>IF(AND('Revenue Jrnl'!G61&lt;&gt;"",'Revenue Jrnl'!C61&lt;&gt;""),1,0)</f>
        <v>0</v>
      </c>
      <c r="C55" s="517">
        <f>'Revenue Jrnl'!$C61</f>
        <v>0</v>
      </c>
      <c r="D55" s="518">
        <f>'Revenue Jrnl'!$D61</f>
        <v>0</v>
      </c>
      <c r="E55" s="1523">
        <f>'Revenue Jrnl'!$F61</f>
        <v>0</v>
      </c>
      <c r="F55" s="1523"/>
      <c r="G55" s="519" t="str">
        <f>IF('Revenue Jrnl'!$E61="","",'Revenue Jrnl'!$E61)</f>
        <v/>
      </c>
      <c r="H55" s="518">
        <f>'Revenue Jrnl'!H61</f>
        <v>0</v>
      </c>
      <c r="I55" s="518" t="str">
        <f t="shared" si="0"/>
        <v>0</v>
      </c>
      <c r="J55" s="520" t="b">
        <f t="shared" si="1"/>
        <v>0</v>
      </c>
      <c r="K55" s="521">
        <f>'Revenue Jrnl'!$G61</f>
        <v>0</v>
      </c>
      <c r="L55" s="522"/>
      <c r="M55" s="523">
        <f>'Revenue Jrnl'!E61</f>
        <v>0</v>
      </c>
      <c r="N55" s="524">
        <f>'Revenue Jrnl'!$H61</f>
        <v>0</v>
      </c>
    </row>
    <row r="56" spans="2:14" s="1" customFormat="1" ht="30" hidden="1" customHeight="1" x14ac:dyDescent="0.2">
      <c r="B56" s="517">
        <f>IF(AND('Revenue Jrnl'!G62&lt;&gt;"",'Revenue Jrnl'!C62&lt;&gt;""),1,0)</f>
        <v>0</v>
      </c>
      <c r="C56" s="517">
        <f>'Revenue Jrnl'!$C62</f>
        <v>0</v>
      </c>
      <c r="D56" s="518">
        <f>'Revenue Jrnl'!$D62</f>
        <v>0</v>
      </c>
      <c r="E56" s="1523">
        <f>'Revenue Jrnl'!$F62</f>
        <v>0</v>
      </c>
      <c r="F56" s="1523"/>
      <c r="G56" s="519" t="str">
        <f>IF('Revenue Jrnl'!$E62="","",'Revenue Jrnl'!$E62)</f>
        <v/>
      </c>
      <c r="H56" s="518">
        <f>'Revenue Jrnl'!H62</f>
        <v>0</v>
      </c>
      <c r="I56" s="518" t="str">
        <f t="shared" si="0"/>
        <v>0</v>
      </c>
      <c r="J56" s="520" t="b">
        <f t="shared" si="1"/>
        <v>0</v>
      </c>
      <c r="K56" s="521">
        <f>'Revenue Jrnl'!$G62</f>
        <v>0</v>
      </c>
      <c r="L56" s="522"/>
      <c r="M56" s="523">
        <f>'Revenue Jrnl'!E62</f>
        <v>0</v>
      </c>
      <c r="N56" s="524">
        <f>'Revenue Jrnl'!$H62</f>
        <v>0</v>
      </c>
    </row>
    <row r="57" spans="2:14" s="1" customFormat="1" ht="30" hidden="1" customHeight="1" x14ac:dyDescent="0.2">
      <c r="B57" s="517">
        <f>IF(AND('Revenue Jrnl'!G63&lt;&gt;"",'Revenue Jrnl'!C63&lt;&gt;""),1,0)</f>
        <v>0</v>
      </c>
      <c r="C57" s="517">
        <f>'Revenue Jrnl'!$C63</f>
        <v>0</v>
      </c>
      <c r="D57" s="518">
        <f>'Revenue Jrnl'!$D63</f>
        <v>0</v>
      </c>
      <c r="E57" s="1523">
        <f>'Revenue Jrnl'!$F63</f>
        <v>0</v>
      </c>
      <c r="F57" s="1523"/>
      <c r="G57" s="519" t="str">
        <f>IF('Revenue Jrnl'!$E63="","",'Revenue Jrnl'!$E63)</f>
        <v/>
      </c>
      <c r="H57" s="518">
        <f>'Revenue Jrnl'!H63</f>
        <v>0</v>
      </c>
      <c r="I57" s="518" t="str">
        <f t="shared" si="0"/>
        <v>0</v>
      </c>
      <c r="J57" s="520" t="b">
        <f t="shared" si="1"/>
        <v>0</v>
      </c>
      <c r="K57" s="521">
        <f>'Revenue Jrnl'!$G63</f>
        <v>0</v>
      </c>
      <c r="L57" s="522"/>
      <c r="M57" s="523">
        <f>'Revenue Jrnl'!E63</f>
        <v>0</v>
      </c>
      <c r="N57" s="524">
        <f>'Revenue Jrnl'!$H63</f>
        <v>0</v>
      </c>
    </row>
    <row r="58" spans="2:14" s="1" customFormat="1" ht="30" hidden="1" customHeight="1" x14ac:dyDescent="0.2">
      <c r="B58" s="517">
        <f>IF(AND('Revenue Jrnl'!G64&lt;&gt;"",'Revenue Jrnl'!C64&lt;&gt;""),1,0)</f>
        <v>0</v>
      </c>
      <c r="C58" s="517">
        <f>'Revenue Jrnl'!$C64</f>
        <v>0</v>
      </c>
      <c r="D58" s="518">
        <f>'Revenue Jrnl'!$D64</f>
        <v>0</v>
      </c>
      <c r="E58" s="1523">
        <f>'Revenue Jrnl'!$F64</f>
        <v>0</v>
      </c>
      <c r="F58" s="1523"/>
      <c r="G58" s="519" t="str">
        <f>IF('Revenue Jrnl'!$E64="","",'Revenue Jrnl'!$E64)</f>
        <v/>
      </c>
      <c r="H58" s="518">
        <f>'Revenue Jrnl'!H64</f>
        <v>0</v>
      </c>
      <c r="I58" s="518" t="str">
        <f t="shared" si="0"/>
        <v>0</v>
      </c>
      <c r="J58" s="520" t="b">
        <f t="shared" si="1"/>
        <v>0</v>
      </c>
      <c r="K58" s="521">
        <f>'Revenue Jrnl'!$G64</f>
        <v>0</v>
      </c>
      <c r="L58" s="522"/>
      <c r="M58" s="523">
        <f>'Revenue Jrnl'!E64</f>
        <v>0</v>
      </c>
      <c r="N58" s="524">
        <f>'Revenue Jrnl'!$H64</f>
        <v>0</v>
      </c>
    </row>
    <row r="59" spans="2:14" s="1" customFormat="1" ht="30" hidden="1" customHeight="1" x14ac:dyDescent="0.2">
      <c r="B59" s="517">
        <f>IF(AND('Revenue Jrnl'!G65&lt;&gt;"",'Revenue Jrnl'!C65&lt;&gt;""),1,0)</f>
        <v>0</v>
      </c>
      <c r="C59" s="517">
        <f>'Revenue Jrnl'!$C65</f>
        <v>0</v>
      </c>
      <c r="D59" s="518">
        <f>'Revenue Jrnl'!$D65</f>
        <v>0</v>
      </c>
      <c r="E59" s="1523">
        <f>'Revenue Jrnl'!$F65</f>
        <v>0</v>
      </c>
      <c r="F59" s="1523"/>
      <c r="G59" s="519" t="str">
        <f>IF('Revenue Jrnl'!$E65="","",'Revenue Jrnl'!$E65)</f>
        <v/>
      </c>
      <c r="H59" s="518">
        <f>'Revenue Jrnl'!H65</f>
        <v>0</v>
      </c>
      <c r="I59" s="518" t="str">
        <f t="shared" si="0"/>
        <v>0</v>
      </c>
      <c r="J59" s="520" t="b">
        <f t="shared" si="1"/>
        <v>0</v>
      </c>
      <c r="K59" s="521">
        <f>'Revenue Jrnl'!$G65</f>
        <v>0</v>
      </c>
      <c r="L59" s="522"/>
      <c r="M59" s="523">
        <f>'Revenue Jrnl'!E65</f>
        <v>0</v>
      </c>
      <c r="N59" s="524">
        <f>'Revenue Jrnl'!$H65</f>
        <v>0</v>
      </c>
    </row>
    <row r="60" spans="2:14" s="1" customFormat="1" ht="30" hidden="1" customHeight="1" x14ac:dyDescent="0.2">
      <c r="B60" s="517">
        <f>IF(AND('Revenue Jrnl'!G66&lt;&gt;"",'Revenue Jrnl'!C66&lt;&gt;""),1,0)</f>
        <v>0</v>
      </c>
      <c r="C60" s="517">
        <f>'Revenue Jrnl'!$C66</f>
        <v>0</v>
      </c>
      <c r="D60" s="518">
        <f>'Revenue Jrnl'!$D66</f>
        <v>0</v>
      </c>
      <c r="E60" s="1523">
        <f>'Revenue Jrnl'!$F66</f>
        <v>0</v>
      </c>
      <c r="F60" s="1523"/>
      <c r="G60" s="519" t="str">
        <f>IF('Revenue Jrnl'!$E66="","",'Revenue Jrnl'!$E66)</f>
        <v/>
      </c>
      <c r="H60" s="518">
        <f>'Revenue Jrnl'!H66</f>
        <v>0</v>
      </c>
      <c r="I60" s="518" t="str">
        <f t="shared" si="0"/>
        <v>0</v>
      </c>
      <c r="J60" s="520" t="b">
        <f t="shared" si="1"/>
        <v>0</v>
      </c>
      <c r="K60" s="521">
        <f>'Revenue Jrnl'!$G66</f>
        <v>0</v>
      </c>
      <c r="L60" s="522"/>
      <c r="M60" s="523">
        <f>'Revenue Jrnl'!E66</f>
        <v>0</v>
      </c>
      <c r="N60" s="524">
        <f>'Revenue Jrnl'!$H66</f>
        <v>0</v>
      </c>
    </row>
    <row r="61" spans="2:14" s="1" customFormat="1" ht="30" hidden="1" customHeight="1" x14ac:dyDescent="0.2">
      <c r="B61" s="517">
        <f>IF(AND('Revenue Jrnl'!G67&lt;&gt;"",'Revenue Jrnl'!C67&lt;&gt;""),1,0)</f>
        <v>0</v>
      </c>
      <c r="C61" s="517">
        <f>'Revenue Jrnl'!$C67</f>
        <v>0</v>
      </c>
      <c r="D61" s="518">
        <f>'Revenue Jrnl'!$D67</f>
        <v>0</v>
      </c>
      <c r="E61" s="1523">
        <f>'Revenue Jrnl'!$F67</f>
        <v>0</v>
      </c>
      <c r="F61" s="1523"/>
      <c r="G61" s="519" t="str">
        <f>IF('Revenue Jrnl'!$E67="","",'Revenue Jrnl'!$E67)</f>
        <v/>
      </c>
      <c r="H61" s="518">
        <f>'Revenue Jrnl'!H67</f>
        <v>0</v>
      </c>
      <c r="I61" s="518" t="str">
        <f t="shared" si="0"/>
        <v>0</v>
      </c>
      <c r="J61" s="520" t="b">
        <f t="shared" si="1"/>
        <v>0</v>
      </c>
      <c r="K61" s="521">
        <f>'Revenue Jrnl'!$G67</f>
        <v>0</v>
      </c>
      <c r="L61" s="522"/>
      <c r="M61" s="523">
        <f>'Revenue Jrnl'!E67</f>
        <v>0</v>
      </c>
      <c r="N61" s="524">
        <f>'Revenue Jrnl'!$H67</f>
        <v>0</v>
      </c>
    </row>
    <row r="62" spans="2:14" s="1" customFormat="1" ht="30" hidden="1" customHeight="1" x14ac:dyDescent="0.2">
      <c r="B62" s="517">
        <f>IF(AND('Revenue Jrnl'!G68&lt;&gt;"",'Revenue Jrnl'!C68&lt;&gt;""),1,0)</f>
        <v>0</v>
      </c>
      <c r="C62" s="517">
        <f>'Revenue Jrnl'!$C68</f>
        <v>0</v>
      </c>
      <c r="D62" s="518">
        <f>'Revenue Jrnl'!$D68</f>
        <v>0</v>
      </c>
      <c r="E62" s="1523">
        <f>'Revenue Jrnl'!$F68</f>
        <v>0</v>
      </c>
      <c r="F62" s="1523"/>
      <c r="G62" s="519" t="str">
        <f>IF('Revenue Jrnl'!$E68="","",'Revenue Jrnl'!$E68)</f>
        <v/>
      </c>
      <c r="H62" s="518">
        <f>'Revenue Jrnl'!H68</f>
        <v>0</v>
      </c>
      <c r="I62" s="518" t="str">
        <f t="shared" si="0"/>
        <v>0</v>
      </c>
      <c r="J62" s="520" t="b">
        <f t="shared" si="1"/>
        <v>0</v>
      </c>
      <c r="K62" s="521">
        <f>'Revenue Jrnl'!$G68</f>
        <v>0</v>
      </c>
      <c r="L62" s="522"/>
      <c r="M62" s="523">
        <f>'Revenue Jrnl'!E68</f>
        <v>0</v>
      </c>
      <c r="N62" s="524">
        <f>'Revenue Jrnl'!$H68</f>
        <v>0</v>
      </c>
    </row>
    <row r="63" spans="2:14" s="1" customFormat="1" ht="30" hidden="1" customHeight="1" x14ac:dyDescent="0.2">
      <c r="B63" s="517">
        <f>IF(AND('Revenue Jrnl'!G69&lt;&gt;"",'Revenue Jrnl'!C69&lt;&gt;""),1,0)</f>
        <v>0</v>
      </c>
      <c r="C63" s="517">
        <f>'Revenue Jrnl'!$C69</f>
        <v>0</v>
      </c>
      <c r="D63" s="518">
        <f>'Revenue Jrnl'!$D69</f>
        <v>0</v>
      </c>
      <c r="E63" s="1523">
        <f>'Revenue Jrnl'!$F69</f>
        <v>0</v>
      </c>
      <c r="F63" s="1523"/>
      <c r="G63" s="519" t="str">
        <f>IF('Revenue Jrnl'!$E69="","",'Revenue Jrnl'!$E69)</f>
        <v/>
      </c>
      <c r="H63" s="518">
        <f>'Revenue Jrnl'!H69</f>
        <v>0</v>
      </c>
      <c r="I63" s="518" t="str">
        <f t="shared" si="0"/>
        <v>0</v>
      </c>
      <c r="J63" s="520" t="b">
        <f t="shared" si="1"/>
        <v>0</v>
      </c>
      <c r="K63" s="521">
        <f>'Revenue Jrnl'!$G69</f>
        <v>0</v>
      </c>
      <c r="L63" s="522"/>
      <c r="M63" s="523">
        <f>'Revenue Jrnl'!E69</f>
        <v>0</v>
      </c>
      <c r="N63" s="524">
        <f>'Revenue Jrnl'!$H69</f>
        <v>0</v>
      </c>
    </row>
    <row r="64" spans="2:14" s="1" customFormat="1" ht="30" hidden="1" customHeight="1" x14ac:dyDescent="0.2">
      <c r="B64" s="517">
        <f>IF(AND('Revenue Jrnl'!G70&lt;&gt;"",'Revenue Jrnl'!C70&lt;&gt;""),1,0)</f>
        <v>0</v>
      </c>
      <c r="C64" s="517">
        <f>'Revenue Jrnl'!$C70</f>
        <v>0</v>
      </c>
      <c r="D64" s="518">
        <f>'Revenue Jrnl'!$D70</f>
        <v>0</v>
      </c>
      <c r="E64" s="1523">
        <f>'Revenue Jrnl'!$F70</f>
        <v>0</v>
      </c>
      <c r="F64" s="1523"/>
      <c r="G64" s="519" t="str">
        <f>IF('Revenue Jrnl'!$E70="","",'Revenue Jrnl'!$E70)</f>
        <v/>
      </c>
      <c r="H64" s="518">
        <f>'Revenue Jrnl'!H70</f>
        <v>0</v>
      </c>
      <c r="I64" s="518" t="str">
        <f t="shared" si="0"/>
        <v>0</v>
      </c>
      <c r="J64" s="520" t="b">
        <f t="shared" si="1"/>
        <v>0</v>
      </c>
      <c r="K64" s="521">
        <f>'Revenue Jrnl'!$G70</f>
        <v>0</v>
      </c>
      <c r="L64" s="522"/>
      <c r="M64" s="523">
        <f>'Revenue Jrnl'!E70</f>
        <v>0</v>
      </c>
      <c r="N64" s="524">
        <f>'Revenue Jrnl'!$H70</f>
        <v>0</v>
      </c>
    </row>
    <row r="65" spans="2:14" s="1" customFormat="1" ht="30" hidden="1" customHeight="1" x14ac:dyDescent="0.2">
      <c r="B65" s="517">
        <f>IF(AND('Revenue Jrnl'!G71&lt;&gt;"",'Revenue Jrnl'!C71&lt;&gt;""),1,0)</f>
        <v>0</v>
      </c>
      <c r="C65" s="517">
        <f>'Revenue Jrnl'!$C71</f>
        <v>0</v>
      </c>
      <c r="D65" s="518">
        <f>'Revenue Jrnl'!$D71</f>
        <v>0</v>
      </c>
      <c r="E65" s="1523">
        <f>'Revenue Jrnl'!$F71</f>
        <v>0</v>
      </c>
      <c r="F65" s="1523"/>
      <c r="G65" s="519" t="str">
        <f>IF('Revenue Jrnl'!$E71="","",'Revenue Jrnl'!$E71)</f>
        <v/>
      </c>
      <c r="H65" s="518">
        <f>'Revenue Jrnl'!H71</f>
        <v>0</v>
      </c>
      <c r="I65" s="518" t="str">
        <f t="shared" si="0"/>
        <v>0</v>
      </c>
      <c r="J65" s="520" t="b">
        <f t="shared" si="1"/>
        <v>0</v>
      </c>
      <c r="K65" s="521">
        <f>'Revenue Jrnl'!$G71</f>
        <v>0</v>
      </c>
      <c r="L65" s="522"/>
      <c r="M65" s="523">
        <f>'Revenue Jrnl'!E71</f>
        <v>0</v>
      </c>
      <c r="N65" s="524">
        <f>'Revenue Jrnl'!$H71</f>
        <v>0</v>
      </c>
    </row>
    <row r="66" spans="2:14" s="1" customFormat="1" ht="30" hidden="1" customHeight="1" x14ac:dyDescent="0.2">
      <c r="B66" s="517">
        <f>IF(AND('Revenue Jrnl'!G72&lt;&gt;"",'Revenue Jrnl'!C72&lt;&gt;""),1,0)</f>
        <v>0</v>
      </c>
      <c r="C66" s="517">
        <f>'Revenue Jrnl'!$C72</f>
        <v>0</v>
      </c>
      <c r="D66" s="518">
        <f>'Revenue Jrnl'!$D72</f>
        <v>0</v>
      </c>
      <c r="E66" s="1523">
        <f>'Revenue Jrnl'!$F72</f>
        <v>0</v>
      </c>
      <c r="F66" s="1523"/>
      <c r="G66" s="519" t="str">
        <f>IF('Revenue Jrnl'!$E72="","",'Revenue Jrnl'!$E72)</f>
        <v/>
      </c>
      <c r="H66" s="518">
        <f>'Revenue Jrnl'!H72</f>
        <v>0</v>
      </c>
      <c r="I66" s="518" t="str">
        <f t="shared" si="0"/>
        <v>0</v>
      </c>
      <c r="J66" s="520" t="b">
        <f t="shared" si="1"/>
        <v>0</v>
      </c>
      <c r="K66" s="521">
        <f>'Revenue Jrnl'!$G72</f>
        <v>0</v>
      </c>
      <c r="L66" s="522"/>
      <c r="M66" s="523">
        <f>'Revenue Jrnl'!E72</f>
        <v>0</v>
      </c>
      <c r="N66" s="524">
        <f>'Revenue Jrnl'!$H72</f>
        <v>0</v>
      </c>
    </row>
    <row r="67" spans="2:14" s="1" customFormat="1" ht="30" hidden="1" customHeight="1" x14ac:dyDescent="0.2">
      <c r="B67" s="517">
        <f>IF(AND('Revenue Jrnl'!G73&lt;&gt;"",'Revenue Jrnl'!C73&lt;&gt;""),1,0)</f>
        <v>0</v>
      </c>
      <c r="C67" s="517">
        <f>'Revenue Jrnl'!$C73</f>
        <v>0</v>
      </c>
      <c r="D67" s="518">
        <f>'Revenue Jrnl'!$D73</f>
        <v>0</v>
      </c>
      <c r="E67" s="1523">
        <f>'Revenue Jrnl'!$F73</f>
        <v>0</v>
      </c>
      <c r="F67" s="1523"/>
      <c r="G67" s="519" t="str">
        <f>IF('Revenue Jrnl'!$E73="","",'Revenue Jrnl'!$E73)</f>
        <v/>
      </c>
      <c r="H67" s="518">
        <f>'Revenue Jrnl'!H73</f>
        <v>0</v>
      </c>
      <c r="I67" s="518" t="str">
        <f t="shared" si="0"/>
        <v>0</v>
      </c>
      <c r="J67" s="520" t="b">
        <f t="shared" si="1"/>
        <v>0</v>
      </c>
      <c r="K67" s="521">
        <f>'Revenue Jrnl'!$G73</f>
        <v>0</v>
      </c>
      <c r="L67" s="522"/>
      <c r="M67" s="523">
        <f>'Revenue Jrnl'!E73</f>
        <v>0</v>
      </c>
      <c r="N67" s="524">
        <f>'Revenue Jrnl'!$H73</f>
        <v>0</v>
      </c>
    </row>
    <row r="68" spans="2:14" s="1" customFormat="1" ht="30" hidden="1" customHeight="1" x14ac:dyDescent="0.2">
      <c r="B68" s="517">
        <f>IF(AND('Revenue Jrnl'!G74&lt;&gt;"",'Revenue Jrnl'!C74&lt;&gt;""),1,0)</f>
        <v>0</v>
      </c>
      <c r="C68" s="517">
        <f>'Revenue Jrnl'!$C74</f>
        <v>0</v>
      </c>
      <c r="D68" s="518">
        <f>'Revenue Jrnl'!$D74</f>
        <v>0</v>
      </c>
      <c r="E68" s="1523">
        <f>'Revenue Jrnl'!$F74</f>
        <v>0</v>
      </c>
      <c r="F68" s="1523"/>
      <c r="G68" s="519" t="str">
        <f>IF('Revenue Jrnl'!$E74="","",'Revenue Jrnl'!$E74)</f>
        <v/>
      </c>
      <c r="H68" s="518">
        <f>'Revenue Jrnl'!H74</f>
        <v>0</v>
      </c>
      <c r="I68" s="518" t="str">
        <f t="shared" si="0"/>
        <v>0</v>
      </c>
      <c r="J68" s="520" t="b">
        <f t="shared" si="1"/>
        <v>0</v>
      </c>
      <c r="K68" s="521">
        <f>'Revenue Jrnl'!$G74</f>
        <v>0</v>
      </c>
      <c r="L68" s="522"/>
      <c r="M68" s="523">
        <f>'Revenue Jrnl'!E74</f>
        <v>0</v>
      </c>
      <c r="N68" s="524">
        <f>'Revenue Jrnl'!$H74</f>
        <v>0</v>
      </c>
    </row>
    <row r="69" spans="2:14" s="1" customFormat="1" ht="30" hidden="1" customHeight="1" x14ac:dyDescent="0.2">
      <c r="B69" s="517">
        <f>IF(AND('Revenue Jrnl'!G75&lt;&gt;"",'Revenue Jrnl'!C75&lt;&gt;""),1,0)</f>
        <v>0</v>
      </c>
      <c r="C69" s="517">
        <f>'Revenue Jrnl'!$C75</f>
        <v>0</v>
      </c>
      <c r="D69" s="518">
        <f>'Revenue Jrnl'!$D75</f>
        <v>0</v>
      </c>
      <c r="E69" s="1523">
        <f>'Revenue Jrnl'!$F75</f>
        <v>0</v>
      </c>
      <c r="F69" s="1523"/>
      <c r="G69" s="519" t="str">
        <f>IF('Revenue Jrnl'!$E75="","",'Revenue Jrnl'!$E75)</f>
        <v/>
      </c>
      <c r="H69" s="518">
        <f>'Revenue Jrnl'!H75</f>
        <v>0</v>
      </c>
      <c r="I69" s="518" t="str">
        <f t="shared" si="0"/>
        <v>0</v>
      </c>
      <c r="J69" s="520" t="b">
        <f t="shared" si="1"/>
        <v>0</v>
      </c>
      <c r="K69" s="521">
        <f>'Revenue Jrnl'!$G75</f>
        <v>0</v>
      </c>
      <c r="L69" s="522"/>
      <c r="M69" s="523">
        <f>'Revenue Jrnl'!E75</f>
        <v>0</v>
      </c>
      <c r="N69" s="524">
        <f>'Revenue Jrnl'!$H75</f>
        <v>0</v>
      </c>
    </row>
    <row r="70" spans="2:14" s="1" customFormat="1" ht="30" hidden="1" customHeight="1" x14ac:dyDescent="0.2">
      <c r="B70" s="517">
        <f>IF(AND('Revenue Jrnl'!G76&lt;&gt;"",'Revenue Jrnl'!C76&lt;&gt;""),1,0)</f>
        <v>0</v>
      </c>
      <c r="C70" s="517">
        <f>'Revenue Jrnl'!$C76</f>
        <v>0</v>
      </c>
      <c r="D70" s="518">
        <f>'Revenue Jrnl'!$D76</f>
        <v>0</v>
      </c>
      <c r="E70" s="1523">
        <f>'Revenue Jrnl'!$F76</f>
        <v>0</v>
      </c>
      <c r="F70" s="1523"/>
      <c r="G70" s="519" t="str">
        <f>IF('Revenue Jrnl'!$E76="","",'Revenue Jrnl'!$E76)</f>
        <v/>
      </c>
      <c r="H70" s="518">
        <f>'Revenue Jrnl'!H76</f>
        <v>0</v>
      </c>
      <c r="I70" s="518" t="str">
        <f t="shared" si="0"/>
        <v>0</v>
      </c>
      <c r="J70" s="520" t="b">
        <f t="shared" si="1"/>
        <v>0</v>
      </c>
      <c r="K70" s="521">
        <f>'Revenue Jrnl'!$G76</f>
        <v>0</v>
      </c>
      <c r="L70" s="522"/>
      <c r="M70" s="523">
        <f>'Revenue Jrnl'!E76</f>
        <v>0</v>
      </c>
      <c r="N70" s="524">
        <f>'Revenue Jrnl'!$H76</f>
        <v>0</v>
      </c>
    </row>
    <row r="71" spans="2:14" s="1" customFormat="1" ht="30" hidden="1" customHeight="1" x14ac:dyDescent="0.2">
      <c r="B71" s="517">
        <f>IF(AND('Revenue Jrnl'!G77&lt;&gt;"",'Revenue Jrnl'!C77&lt;&gt;""),1,0)</f>
        <v>0</v>
      </c>
      <c r="C71" s="517">
        <f>'Revenue Jrnl'!$C77</f>
        <v>0</v>
      </c>
      <c r="D71" s="518">
        <f>'Revenue Jrnl'!$D77</f>
        <v>0</v>
      </c>
      <c r="E71" s="1523">
        <f>'Revenue Jrnl'!$F77</f>
        <v>0</v>
      </c>
      <c r="F71" s="1523"/>
      <c r="G71" s="519" t="str">
        <f>IF('Revenue Jrnl'!$E77="","",'Revenue Jrnl'!$E77)</f>
        <v/>
      </c>
      <c r="H71" s="518">
        <f>'Revenue Jrnl'!H77</f>
        <v>0</v>
      </c>
      <c r="I71" s="518" t="str">
        <f t="shared" si="0"/>
        <v>0</v>
      </c>
      <c r="J71" s="520" t="b">
        <f t="shared" si="1"/>
        <v>0</v>
      </c>
      <c r="K71" s="521">
        <f>'Revenue Jrnl'!$G77</f>
        <v>0</v>
      </c>
      <c r="L71" s="522"/>
      <c r="M71" s="523">
        <f>'Revenue Jrnl'!E77</f>
        <v>0</v>
      </c>
      <c r="N71" s="524">
        <f>'Revenue Jrnl'!$H77</f>
        <v>0</v>
      </c>
    </row>
    <row r="72" spans="2:14" s="1" customFormat="1" ht="30" hidden="1" customHeight="1" x14ac:dyDescent="0.2">
      <c r="B72" s="517">
        <f>IF(AND('Revenue Jrnl'!G78&lt;&gt;"",'Revenue Jrnl'!C78&lt;&gt;""),1,0)</f>
        <v>0</v>
      </c>
      <c r="C72" s="517">
        <f>'Revenue Jrnl'!$C78</f>
        <v>0</v>
      </c>
      <c r="D72" s="518">
        <f>'Revenue Jrnl'!$D78</f>
        <v>0</v>
      </c>
      <c r="E72" s="1523">
        <f>'Revenue Jrnl'!$F78</f>
        <v>0</v>
      </c>
      <c r="F72" s="1523"/>
      <c r="G72" s="519" t="str">
        <f>IF('Revenue Jrnl'!$E78="","",'Revenue Jrnl'!$E78)</f>
        <v/>
      </c>
      <c r="H72" s="518">
        <f>'Revenue Jrnl'!H78</f>
        <v>0</v>
      </c>
      <c r="I72" s="518" t="str">
        <f t="shared" si="0"/>
        <v>0</v>
      </c>
      <c r="J72" s="520" t="b">
        <f t="shared" si="1"/>
        <v>0</v>
      </c>
      <c r="K72" s="521">
        <f>'Revenue Jrnl'!$G78</f>
        <v>0</v>
      </c>
      <c r="L72" s="522"/>
      <c r="M72" s="523">
        <f>'Revenue Jrnl'!E78</f>
        <v>0</v>
      </c>
      <c r="N72" s="524">
        <f>'Revenue Jrnl'!$H78</f>
        <v>0</v>
      </c>
    </row>
    <row r="73" spans="2:14" s="1" customFormat="1" ht="30" hidden="1" customHeight="1" x14ac:dyDescent="0.2">
      <c r="B73" s="517">
        <f>IF(AND('Revenue Jrnl'!G79&lt;&gt;"",'Revenue Jrnl'!C79&lt;&gt;""),1,0)</f>
        <v>0</v>
      </c>
      <c r="C73" s="517">
        <f>'Revenue Jrnl'!$C79</f>
        <v>0</v>
      </c>
      <c r="D73" s="518">
        <f>'Revenue Jrnl'!$D79</f>
        <v>0</v>
      </c>
      <c r="E73" s="1523">
        <f>'Revenue Jrnl'!$F79</f>
        <v>0</v>
      </c>
      <c r="F73" s="1523"/>
      <c r="G73" s="519" t="str">
        <f>IF('Revenue Jrnl'!$E79="","",'Revenue Jrnl'!$E79)</f>
        <v/>
      </c>
      <c r="H73" s="518">
        <f>'Revenue Jrnl'!H79</f>
        <v>0</v>
      </c>
      <c r="I73" s="518" t="str">
        <f t="shared" si="0"/>
        <v>0</v>
      </c>
      <c r="J73" s="520" t="b">
        <f t="shared" si="1"/>
        <v>0</v>
      </c>
      <c r="K73" s="521">
        <f>'Revenue Jrnl'!$G79</f>
        <v>0</v>
      </c>
      <c r="L73" s="522"/>
      <c r="M73" s="523">
        <f>'Revenue Jrnl'!E79</f>
        <v>0</v>
      </c>
      <c r="N73" s="524">
        <f>'Revenue Jrnl'!$H79</f>
        <v>0</v>
      </c>
    </row>
    <row r="74" spans="2:14" s="1" customFormat="1" ht="30" hidden="1" customHeight="1" x14ac:dyDescent="0.2">
      <c r="B74" s="517">
        <f>IF(AND('Revenue Jrnl'!G80&lt;&gt;"",'Revenue Jrnl'!C80&lt;&gt;""),1,0)</f>
        <v>0</v>
      </c>
      <c r="C74" s="517">
        <f>'Revenue Jrnl'!$C80</f>
        <v>0</v>
      </c>
      <c r="D74" s="518">
        <f>'Revenue Jrnl'!$D80</f>
        <v>0</v>
      </c>
      <c r="E74" s="1523">
        <f>'Revenue Jrnl'!$F80</f>
        <v>0</v>
      </c>
      <c r="F74" s="1523"/>
      <c r="G74" s="519" t="str">
        <f>IF('Revenue Jrnl'!$E80="","",'Revenue Jrnl'!$E80)</f>
        <v/>
      </c>
      <c r="H74" s="518">
        <f>'Revenue Jrnl'!H80</f>
        <v>0</v>
      </c>
      <c r="I74" s="518" t="str">
        <f t="shared" ref="I74:I137" si="2">LEFT(H74,4)</f>
        <v>0</v>
      </c>
      <c r="J74" s="520" t="b">
        <f t="shared" si="1"/>
        <v>0</v>
      </c>
      <c r="K74" s="521">
        <f>'Revenue Jrnl'!$G80</f>
        <v>0</v>
      </c>
      <c r="L74" s="522"/>
      <c r="M74" s="523">
        <f>'Revenue Jrnl'!E80</f>
        <v>0</v>
      </c>
      <c r="N74" s="524">
        <f>'Revenue Jrnl'!$H80</f>
        <v>0</v>
      </c>
    </row>
    <row r="75" spans="2:14" s="1" customFormat="1" ht="30" hidden="1" customHeight="1" x14ac:dyDescent="0.2">
      <c r="B75" s="517">
        <f>IF(AND('Revenue Jrnl'!G81&lt;&gt;"",'Revenue Jrnl'!C81&lt;&gt;""),1,0)</f>
        <v>0</v>
      </c>
      <c r="C75" s="517">
        <f>'Revenue Jrnl'!$C81</f>
        <v>0</v>
      </c>
      <c r="D75" s="518">
        <f>'Revenue Jrnl'!$D81</f>
        <v>0</v>
      </c>
      <c r="E75" s="1523">
        <f>'Revenue Jrnl'!$F81</f>
        <v>0</v>
      </c>
      <c r="F75" s="1523"/>
      <c r="G75" s="519" t="str">
        <f>IF('Revenue Jrnl'!$E81="","",'Revenue Jrnl'!$E81)</f>
        <v/>
      </c>
      <c r="H75" s="518">
        <f>'Revenue Jrnl'!H81</f>
        <v>0</v>
      </c>
      <c r="I75" s="518" t="str">
        <f t="shared" si="2"/>
        <v>0</v>
      </c>
      <c r="J75" s="520" t="b">
        <f t="shared" ref="J75:J138" si="3">IF(I75="1020",IF(G75&gt;=$E$3,IF(G75&lt;=$G$3,K75,0)))</f>
        <v>0</v>
      </c>
      <c r="K75" s="521">
        <f>'Revenue Jrnl'!$G81</f>
        <v>0</v>
      </c>
      <c r="L75" s="522"/>
      <c r="M75" s="523">
        <f>'Revenue Jrnl'!E81</f>
        <v>0</v>
      </c>
      <c r="N75" s="524">
        <f>'Revenue Jrnl'!$H81</f>
        <v>0</v>
      </c>
    </row>
    <row r="76" spans="2:14" s="1" customFormat="1" ht="30" hidden="1" customHeight="1" x14ac:dyDescent="0.2">
      <c r="B76" s="517">
        <f>IF(AND('Revenue Jrnl'!G82&lt;&gt;"",'Revenue Jrnl'!C82&lt;&gt;""),1,0)</f>
        <v>0</v>
      </c>
      <c r="C76" s="517">
        <f>'Revenue Jrnl'!$C82</f>
        <v>0</v>
      </c>
      <c r="D76" s="518">
        <f>'Revenue Jrnl'!$D82</f>
        <v>0</v>
      </c>
      <c r="E76" s="1523">
        <f>'Revenue Jrnl'!$F82</f>
        <v>0</v>
      </c>
      <c r="F76" s="1523"/>
      <c r="G76" s="519" t="str">
        <f>IF('Revenue Jrnl'!$E82="","",'Revenue Jrnl'!$E82)</f>
        <v/>
      </c>
      <c r="H76" s="518">
        <f>'Revenue Jrnl'!H82</f>
        <v>0</v>
      </c>
      <c r="I76" s="518" t="str">
        <f t="shared" si="2"/>
        <v>0</v>
      </c>
      <c r="J76" s="520" t="b">
        <f t="shared" si="3"/>
        <v>0</v>
      </c>
      <c r="K76" s="521">
        <f>'Revenue Jrnl'!$G82</f>
        <v>0</v>
      </c>
      <c r="L76" s="522"/>
      <c r="M76" s="523">
        <f>'Revenue Jrnl'!E82</f>
        <v>0</v>
      </c>
      <c r="N76" s="524">
        <f>'Revenue Jrnl'!$H82</f>
        <v>0</v>
      </c>
    </row>
    <row r="77" spans="2:14" s="1" customFormat="1" ht="30" hidden="1" customHeight="1" x14ac:dyDescent="0.2">
      <c r="B77" s="517">
        <f>IF(AND('Revenue Jrnl'!G83&lt;&gt;"",'Revenue Jrnl'!C83&lt;&gt;""),1,0)</f>
        <v>0</v>
      </c>
      <c r="C77" s="517">
        <f>'Revenue Jrnl'!$C83</f>
        <v>0</v>
      </c>
      <c r="D77" s="518">
        <f>'Revenue Jrnl'!$D83</f>
        <v>0</v>
      </c>
      <c r="E77" s="1523">
        <f>'Revenue Jrnl'!$F83</f>
        <v>0</v>
      </c>
      <c r="F77" s="1523"/>
      <c r="G77" s="519" t="str">
        <f>IF('Revenue Jrnl'!$E83="","",'Revenue Jrnl'!$E83)</f>
        <v/>
      </c>
      <c r="H77" s="518">
        <f>'Revenue Jrnl'!H83</f>
        <v>0</v>
      </c>
      <c r="I77" s="518" t="str">
        <f t="shared" si="2"/>
        <v>0</v>
      </c>
      <c r="J77" s="520" t="b">
        <f t="shared" si="3"/>
        <v>0</v>
      </c>
      <c r="K77" s="521">
        <f>'Revenue Jrnl'!$G83</f>
        <v>0</v>
      </c>
      <c r="L77" s="522"/>
      <c r="M77" s="523">
        <f>'Revenue Jrnl'!E83</f>
        <v>0</v>
      </c>
      <c r="N77" s="524">
        <f>'Revenue Jrnl'!$H83</f>
        <v>0</v>
      </c>
    </row>
    <row r="78" spans="2:14" s="1" customFormat="1" ht="30" hidden="1" customHeight="1" x14ac:dyDescent="0.2">
      <c r="B78" s="517">
        <f>IF(AND('Revenue Jrnl'!G84&lt;&gt;"",'Revenue Jrnl'!C84&lt;&gt;""),1,0)</f>
        <v>0</v>
      </c>
      <c r="C78" s="517">
        <f>'Revenue Jrnl'!$C84</f>
        <v>0</v>
      </c>
      <c r="D78" s="518">
        <f>'Revenue Jrnl'!$D84</f>
        <v>0</v>
      </c>
      <c r="E78" s="1523">
        <f>'Revenue Jrnl'!$F84</f>
        <v>0</v>
      </c>
      <c r="F78" s="1523"/>
      <c r="G78" s="519" t="str">
        <f>IF('Revenue Jrnl'!$E84="","",'Revenue Jrnl'!$E84)</f>
        <v/>
      </c>
      <c r="H78" s="518">
        <f>'Revenue Jrnl'!H84</f>
        <v>0</v>
      </c>
      <c r="I78" s="518" t="str">
        <f t="shared" si="2"/>
        <v>0</v>
      </c>
      <c r="J78" s="520" t="b">
        <f t="shared" si="3"/>
        <v>0</v>
      </c>
      <c r="K78" s="521">
        <f>'Revenue Jrnl'!$G84</f>
        <v>0</v>
      </c>
      <c r="L78" s="522"/>
      <c r="M78" s="523">
        <f>'Revenue Jrnl'!E84</f>
        <v>0</v>
      </c>
      <c r="N78" s="524">
        <f>'Revenue Jrnl'!$H84</f>
        <v>0</v>
      </c>
    </row>
    <row r="79" spans="2:14" s="1" customFormat="1" ht="30" hidden="1" customHeight="1" x14ac:dyDescent="0.2">
      <c r="B79" s="517">
        <f>IF(AND('Revenue Jrnl'!G85&lt;&gt;"",'Revenue Jrnl'!C85&lt;&gt;""),1,0)</f>
        <v>0</v>
      </c>
      <c r="C79" s="517">
        <f>'Revenue Jrnl'!$C85</f>
        <v>0</v>
      </c>
      <c r="D79" s="518">
        <f>'Revenue Jrnl'!$D85</f>
        <v>0</v>
      </c>
      <c r="E79" s="1523">
        <f>'Revenue Jrnl'!$F85</f>
        <v>0</v>
      </c>
      <c r="F79" s="1523"/>
      <c r="G79" s="519" t="str">
        <f>IF('Revenue Jrnl'!$E85="","",'Revenue Jrnl'!$E85)</f>
        <v/>
      </c>
      <c r="H79" s="518">
        <f>'Revenue Jrnl'!H85</f>
        <v>0</v>
      </c>
      <c r="I79" s="518" t="str">
        <f t="shared" si="2"/>
        <v>0</v>
      </c>
      <c r="J79" s="520" t="b">
        <f t="shared" si="3"/>
        <v>0</v>
      </c>
      <c r="K79" s="521">
        <f>'Revenue Jrnl'!$G85</f>
        <v>0</v>
      </c>
      <c r="L79" s="522"/>
      <c r="M79" s="523">
        <f>'Revenue Jrnl'!E85</f>
        <v>0</v>
      </c>
      <c r="N79" s="524">
        <f>'Revenue Jrnl'!$H85</f>
        <v>0</v>
      </c>
    </row>
    <row r="80" spans="2:14" s="1" customFormat="1" ht="30" hidden="1" customHeight="1" x14ac:dyDescent="0.2">
      <c r="B80" s="517">
        <f>IF(AND('Revenue Jrnl'!G86&lt;&gt;"",'Revenue Jrnl'!C86&lt;&gt;""),1,0)</f>
        <v>0</v>
      </c>
      <c r="C80" s="517">
        <f>'Revenue Jrnl'!$C86</f>
        <v>0</v>
      </c>
      <c r="D80" s="518">
        <f>'Revenue Jrnl'!$D86</f>
        <v>0</v>
      </c>
      <c r="E80" s="1523">
        <f>'Revenue Jrnl'!$F86</f>
        <v>0</v>
      </c>
      <c r="F80" s="1523"/>
      <c r="G80" s="519" t="str">
        <f>IF('Revenue Jrnl'!$E86="","",'Revenue Jrnl'!$E86)</f>
        <v/>
      </c>
      <c r="H80" s="518">
        <f>'Revenue Jrnl'!H86</f>
        <v>0</v>
      </c>
      <c r="I80" s="518" t="str">
        <f t="shared" si="2"/>
        <v>0</v>
      </c>
      <c r="J80" s="520" t="b">
        <f t="shared" si="3"/>
        <v>0</v>
      </c>
      <c r="K80" s="521">
        <f>'Revenue Jrnl'!$G86</f>
        <v>0</v>
      </c>
      <c r="L80" s="522"/>
      <c r="M80" s="523">
        <f>'Revenue Jrnl'!E86</f>
        <v>0</v>
      </c>
      <c r="N80" s="524">
        <f>'Revenue Jrnl'!$H86</f>
        <v>0</v>
      </c>
    </row>
    <row r="81" spans="2:14" s="1" customFormat="1" ht="30" hidden="1" customHeight="1" x14ac:dyDescent="0.2">
      <c r="B81" s="517">
        <f>IF(AND('Revenue Jrnl'!G87&lt;&gt;"",'Revenue Jrnl'!C87&lt;&gt;""),1,0)</f>
        <v>0</v>
      </c>
      <c r="C81" s="517">
        <f>'Revenue Jrnl'!$C87</f>
        <v>0</v>
      </c>
      <c r="D81" s="518">
        <f>'Revenue Jrnl'!$D87</f>
        <v>0</v>
      </c>
      <c r="E81" s="1523">
        <f>'Revenue Jrnl'!$F87</f>
        <v>0</v>
      </c>
      <c r="F81" s="1523"/>
      <c r="G81" s="519" t="str">
        <f>IF('Revenue Jrnl'!$E87="","",'Revenue Jrnl'!$E87)</f>
        <v/>
      </c>
      <c r="H81" s="518">
        <f>'Revenue Jrnl'!H87</f>
        <v>0</v>
      </c>
      <c r="I81" s="518" t="str">
        <f t="shared" si="2"/>
        <v>0</v>
      </c>
      <c r="J81" s="520" t="b">
        <f t="shared" si="3"/>
        <v>0</v>
      </c>
      <c r="K81" s="521">
        <f>'Revenue Jrnl'!$G87</f>
        <v>0</v>
      </c>
      <c r="L81" s="522"/>
      <c r="M81" s="523">
        <f>'Revenue Jrnl'!E87</f>
        <v>0</v>
      </c>
      <c r="N81" s="524">
        <f>'Revenue Jrnl'!$H87</f>
        <v>0</v>
      </c>
    </row>
    <row r="82" spans="2:14" s="1" customFormat="1" ht="30" hidden="1" customHeight="1" x14ac:dyDescent="0.2">
      <c r="B82" s="517">
        <f>IF(AND('Revenue Jrnl'!G88&lt;&gt;"",'Revenue Jrnl'!C88&lt;&gt;""),1,0)</f>
        <v>0</v>
      </c>
      <c r="C82" s="517">
        <f>'Revenue Jrnl'!$C88</f>
        <v>0</v>
      </c>
      <c r="D82" s="518">
        <f>'Revenue Jrnl'!$D88</f>
        <v>0</v>
      </c>
      <c r="E82" s="1523">
        <f>'Revenue Jrnl'!$F88</f>
        <v>0</v>
      </c>
      <c r="F82" s="1523"/>
      <c r="G82" s="519" t="str">
        <f>IF('Revenue Jrnl'!$E88="","",'Revenue Jrnl'!$E88)</f>
        <v/>
      </c>
      <c r="H82" s="518">
        <f>'Revenue Jrnl'!H88</f>
        <v>0</v>
      </c>
      <c r="I82" s="518" t="str">
        <f t="shared" si="2"/>
        <v>0</v>
      </c>
      <c r="J82" s="520" t="b">
        <f t="shared" si="3"/>
        <v>0</v>
      </c>
      <c r="K82" s="521">
        <f>'Revenue Jrnl'!$G88</f>
        <v>0</v>
      </c>
      <c r="L82" s="522"/>
      <c r="M82" s="523">
        <f>'Revenue Jrnl'!E88</f>
        <v>0</v>
      </c>
      <c r="N82" s="524">
        <f>'Revenue Jrnl'!$H88</f>
        <v>0</v>
      </c>
    </row>
    <row r="83" spans="2:14" s="1" customFormat="1" ht="30" hidden="1" customHeight="1" x14ac:dyDescent="0.2">
      <c r="B83" s="517">
        <f>IF(AND('Revenue Jrnl'!G89&lt;&gt;"",'Revenue Jrnl'!C89&lt;&gt;""),1,0)</f>
        <v>0</v>
      </c>
      <c r="C83" s="517">
        <f>'Revenue Jrnl'!$C89</f>
        <v>0</v>
      </c>
      <c r="D83" s="518">
        <f>'Revenue Jrnl'!$D89</f>
        <v>0</v>
      </c>
      <c r="E83" s="1523">
        <f>'Revenue Jrnl'!$F89</f>
        <v>0</v>
      </c>
      <c r="F83" s="1523"/>
      <c r="G83" s="519" t="str">
        <f>IF('Revenue Jrnl'!$E89="","",'Revenue Jrnl'!$E89)</f>
        <v/>
      </c>
      <c r="H83" s="518">
        <f>'Revenue Jrnl'!H89</f>
        <v>0</v>
      </c>
      <c r="I83" s="518" t="str">
        <f t="shared" si="2"/>
        <v>0</v>
      </c>
      <c r="J83" s="520" t="b">
        <f t="shared" si="3"/>
        <v>0</v>
      </c>
      <c r="K83" s="521">
        <f>'Revenue Jrnl'!$G89</f>
        <v>0</v>
      </c>
      <c r="L83" s="522"/>
      <c r="M83" s="523">
        <f>'Revenue Jrnl'!E89</f>
        <v>0</v>
      </c>
      <c r="N83" s="524">
        <f>'Revenue Jrnl'!$H89</f>
        <v>0</v>
      </c>
    </row>
    <row r="84" spans="2:14" s="1" customFormat="1" ht="30" hidden="1" customHeight="1" x14ac:dyDescent="0.2">
      <c r="B84" s="517">
        <f>IF(AND('Revenue Jrnl'!G90&lt;&gt;"",'Revenue Jrnl'!C90&lt;&gt;""),1,0)</f>
        <v>0</v>
      </c>
      <c r="C84" s="517">
        <f>'Revenue Jrnl'!$C90</f>
        <v>0</v>
      </c>
      <c r="D84" s="518">
        <f>'Revenue Jrnl'!$D90</f>
        <v>0</v>
      </c>
      <c r="E84" s="1523">
        <f>'Revenue Jrnl'!$F90</f>
        <v>0</v>
      </c>
      <c r="F84" s="1523"/>
      <c r="G84" s="519" t="str">
        <f>IF('Revenue Jrnl'!$E90="","",'Revenue Jrnl'!$E90)</f>
        <v/>
      </c>
      <c r="H84" s="518">
        <f>'Revenue Jrnl'!H90</f>
        <v>0</v>
      </c>
      <c r="I84" s="518" t="str">
        <f t="shared" si="2"/>
        <v>0</v>
      </c>
      <c r="J84" s="520" t="b">
        <f t="shared" si="3"/>
        <v>0</v>
      </c>
      <c r="K84" s="521">
        <f>'Revenue Jrnl'!$G90</f>
        <v>0</v>
      </c>
      <c r="L84" s="522"/>
      <c r="M84" s="523">
        <f>'Revenue Jrnl'!E90</f>
        <v>0</v>
      </c>
      <c r="N84" s="524">
        <f>'Revenue Jrnl'!$H90</f>
        <v>0</v>
      </c>
    </row>
    <row r="85" spans="2:14" s="1" customFormat="1" ht="30" hidden="1" customHeight="1" x14ac:dyDescent="0.2">
      <c r="B85" s="517">
        <f>IF(AND('Revenue Jrnl'!G91&lt;&gt;"",'Revenue Jrnl'!C91&lt;&gt;""),1,0)</f>
        <v>0</v>
      </c>
      <c r="C85" s="517">
        <f>'Revenue Jrnl'!$C91</f>
        <v>0</v>
      </c>
      <c r="D85" s="518">
        <f>'Revenue Jrnl'!$D91</f>
        <v>0</v>
      </c>
      <c r="E85" s="1523">
        <f>'Revenue Jrnl'!$F91</f>
        <v>0</v>
      </c>
      <c r="F85" s="1523"/>
      <c r="G85" s="519" t="str">
        <f>IF('Revenue Jrnl'!$E91="","",'Revenue Jrnl'!$E91)</f>
        <v/>
      </c>
      <c r="H85" s="518">
        <f>'Revenue Jrnl'!H91</f>
        <v>0</v>
      </c>
      <c r="I85" s="518" t="str">
        <f t="shared" si="2"/>
        <v>0</v>
      </c>
      <c r="J85" s="520" t="b">
        <f t="shared" si="3"/>
        <v>0</v>
      </c>
      <c r="K85" s="521">
        <f>'Revenue Jrnl'!$G91</f>
        <v>0</v>
      </c>
      <c r="L85" s="522"/>
      <c r="M85" s="523">
        <f>'Revenue Jrnl'!E91</f>
        <v>0</v>
      </c>
      <c r="N85" s="524">
        <f>'Revenue Jrnl'!$H91</f>
        <v>0</v>
      </c>
    </row>
    <row r="86" spans="2:14" s="1" customFormat="1" ht="30" hidden="1" customHeight="1" x14ac:dyDescent="0.2">
      <c r="B86" s="517">
        <f>IF(AND('Revenue Jrnl'!G92&lt;&gt;"",'Revenue Jrnl'!C92&lt;&gt;""),1,0)</f>
        <v>0</v>
      </c>
      <c r="C86" s="517">
        <f>'Revenue Jrnl'!$C92</f>
        <v>0</v>
      </c>
      <c r="D86" s="518">
        <f>'Revenue Jrnl'!$D92</f>
        <v>0</v>
      </c>
      <c r="E86" s="1523">
        <f>'Revenue Jrnl'!$F92</f>
        <v>0</v>
      </c>
      <c r="F86" s="1523"/>
      <c r="G86" s="519" t="str">
        <f>IF('Revenue Jrnl'!$E92="","",'Revenue Jrnl'!$E92)</f>
        <v/>
      </c>
      <c r="H86" s="518">
        <f>'Revenue Jrnl'!H92</f>
        <v>0</v>
      </c>
      <c r="I86" s="518" t="str">
        <f t="shared" si="2"/>
        <v>0</v>
      </c>
      <c r="J86" s="520" t="b">
        <f t="shared" si="3"/>
        <v>0</v>
      </c>
      <c r="K86" s="521">
        <f>'Revenue Jrnl'!$G92</f>
        <v>0</v>
      </c>
      <c r="L86" s="522"/>
      <c r="M86" s="523">
        <f>'Revenue Jrnl'!E92</f>
        <v>0</v>
      </c>
      <c r="N86" s="524">
        <f>'Revenue Jrnl'!$H92</f>
        <v>0</v>
      </c>
    </row>
    <row r="87" spans="2:14" s="1" customFormat="1" ht="30" hidden="1" customHeight="1" x14ac:dyDescent="0.2">
      <c r="B87" s="517">
        <f>IF(AND('Revenue Jrnl'!G93&lt;&gt;"",'Revenue Jrnl'!C93&lt;&gt;""),1,0)</f>
        <v>0</v>
      </c>
      <c r="C87" s="517">
        <f>'Revenue Jrnl'!$C93</f>
        <v>0</v>
      </c>
      <c r="D87" s="518">
        <f>'Revenue Jrnl'!$D93</f>
        <v>0</v>
      </c>
      <c r="E87" s="1523">
        <f>'Revenue Jrnl'!$F93</f>
        <v>0</v>
      </c>
      <c r="F87" s="1523"/>
      <c r="G87" s="519" t="str">
        <f>IF('Revenue Jrnl'!$E93="","",'Revenue Jrnl'!$E93)</f>
        <v/>
      </c>
      <c r="H87" s="518">
        <f>'Revenue Jrnl'!H93</f>
        <v>0</v>
      </c>
      <c r="I87" s="518" t="str">
        <f t="shared" si="2"/>
        <v>0</v>
      </c>
      <c r="J87" s="520" t="b">
        <f t="shared" si="3"/>
        <v>0</v>
      </c>
      <c r="K87" s="521">
        <f>'Revenue Jrnl'!$G93</f>
        <v>0</v>
      </c>
      <c r="L87" s="522"/>
      <c r="M87" s="523">
        <f>'Revenue Jrnl'!E93</f>
        <v>0</v>
      </c>
      <c r="N87" s="524">
        <f>'Revenue Jrnl'!$H93</f>
        <v>0</v>
      </c>
    </row>
    <row r="88" spans="2:14" s="1" customFormat="1" ht="30" hidden="1" customHeight="1" x14ac:dyDescent="0.2">
      <c r="B88" s="517">
        <f>IF(AND('Revenue Jrnl'!G94&lt;&gt;"",'Revenue Jrnl'!C94&lt;&gt;""),1,0)</f>
        <v>0</v>
      </c>
      <c r="C88" s="517">
        <f>'Revenue Jrnl'!$C94</f>
        <v>0</v>
      </c>
      <c r="D88" s="518">
        <f>'Revenue Jrnl'!$D94</f>
        <v>0</v>
      </c>
      <c r="E88" s="1523">
        <f>'Revenue Jrnl'!$F94</f>
        <v>0</v>
      </c>
      <c r="F88" s="1523"/>
      <c r="G88" s="519" t="str">
        <f>IF('Revenue Jrnl'!$E94="","",'Revenue Jrnl'!$E94)</f>
        <v/>
      </c>
      <c r="H88" s="518">
        <f>'Revenue Jrnl'!H94</f>
        <v>0</v>
      </c>
      <c r="I88" s="518" t="str">
        <f t="shared" si="2"/>
        <v>0</v>
      </c>
      <c r="J88" s="520" t="b">
        <f t="shared" si="3"/>
        <v>0</v>
      </c>
      <c r="K88" s="521">
        <f>'Revenue Jrnl'!$G94</f>
        <v>0</v>
      </c>
      <c r="L88" s="522"/>
      <c r="M88" s="523">
        <f>'Revenue Jrnl'!E94</f>
        <v>0</v>
      </c>
      <c r="N88" s="524">
        <f>'Revenue Jrnl'!$H94</f>
        <v>0</v>
      </c>
    </row>
    <row r="89" spans="2:14" s="1" customFormat="1" ht="30" hidden="1" customHeight="1" x14ac:dyDescent="0.2">
      <c r="B89" s="517">
        <f>IF(AND('Revenue Jrnl'!G95&lt;&gt;"",'Revenue Jrnl'!C95&lt;&gt;""),1,0)</f>
        <v>0</v>
      </c>
      <c r="C89" s="517">
        <f>'Revenue Jrnl'!$C95</f>
        <v>0</v>
      </c>
      <c r="D89" s="518">
        <f>'Revenue Jrnl'!$D95</f>
        <v>0</v>
      </c>
      <c r="E89" s="1523">
        <f>'Revenue Jrnl'!$F95</f>
        <v>0</v>
      </c>
      <c r="F89" s="1523"/>
      <c r="G89" s="519" t="str">
        <f>IF('Revenue Jrnl'!$E95="","",'Revenue Jrnl'!$E95)</f>
        <v/>
      </c>
      <c r="H89" s="518">
        <f>'Revenue Jrnl'!H95</f>
        <v>0</v>
      </c>
      <c r="I89" s="518" t="str">
        <f t="shared" si="2"/>
        <v>0</v>
      </c>
      <c r="J89" s="520" t="b">
        <f t="shared" si="3"/>
        <v>0</v>
      </c>
      <c r="K89" s="521">
        <f>'Revenue Jrnl'!$G95</f>
        <v>0</v>
      </c>
      <c r="L89" s="522"/>
      <c r="M89" s="523">
        <f>'Revenue Jrnl'!E95</f>
        <v>0</v>
      </c>
      <c r="N89" s="524">
        <f>'Revenue Jrnl'!$H95</f>
        <v>0</v>
      </c>
    </row>
    <row r="90" spans="2:14" s="1" customFormat="1" ht="30" hidden="1" customHeight="1" x14ac:dyDescent="0.2">
      <c r="B90" s="517">
        <f>IF(AND('Revenue Jrnl'!G96&lt;&gt;"",'Revenue Jrnl'!C96&lt;&gt;""),1,0)</f>
        <v>0</v>
      </c>
      <c r="C90" s="517">
        <f>'Revenue Jrnl'!$C96</f>
        <v>0</v>
      </c>
      <c r="D90" s="518">
        <f>'Revenue Jrnl'!$D96</f>
        <v>0</v>
      </c>
      <c r="E90" s="1523">
        <f>'Revenue Jrnl'!$F96</f>
        <v>0</v>
      </c>
      <c r="F90" s="1523"/>
      <c r="G90" s="519" t="str">
        <f>IF('Revenue Jrnl'!$E96="","",'Revenue Jrnl'!$E96)</f>
        <v/>
      </c>
      <c r="H90" s="518">
        <f>'Revenue Jrnl'!H96</f>
        <v>0</v>
      </c>
      <c r="I90" s="518" t="str">
        <f t="shared" si="2"/>
        <v>0</v>
      </c>
      <c r="J90" s="520" t="b">
        <f t="shared" si="3"/>
        <v>0</v>
      </c>
      <c r="K90" s="521">
        <f>'Revenue Jrnl'!$G96</f>
        <v>0</v>
      </c>
      <c r="L90" s="522"/>
      <c r="M90" s="523">
        <f>'Revenue Jrnl'!E96</f>
        <v>0</v>
      </c>
      <c r="N90" s="524">
        <f>'Revenue Jrnl'!$H96</f>
        <v>0</v>
      </c>
    </row>
    <row r="91" spans="2:14" s="1" customFormat="1" ht="30" hidden="1" customHeight="1" x14ac:dyDescent="0.2">
      <c r="B91" s="517">
        <f>IF(AND('Revenue Jrnl'!G97&lt;&gt;"",'Revenue Jrnl'!C97&lt;&gt;""),1,0)</f>
        <v>0</v>
      </c>
      <c r="C91" s="517">
        <f>'Revenue Jrnl'!$C97</f>
        <v>0</v>
      </c>
      <c r="D91" s="518">
        <f>'Revenue Jrnl'!$D97</f>
        <v>0</v>
      </c>
      <c r="E91" s="1523">
        <f>'Revenue Jrnl'!$F97</f>
        <v>0</v>
      </c>
      <c r="F91" s="1523"/>
      <c r="G91" s="519" t="str">
        <f>IF('Revenue Jrnl'!$E97="","",'Revenue Jrnl'!$E97)</f>
        <v/>
      </c>
      <c r="H91" s="518">
        <f>'Revenue Jrnl'!H97</f>
        <v>0</v>
      </c>
      <c r="I91" s="518" t="str">
        <f t="shared" si="2"/>
        <v>0</v>
      </c>
      <c r="J91" s="520" t="b">
        <f t="shared" si="3"/>
        <v>0</v>
      </c>
      <c r="K91" s="521">
        <f>'Revenue Jrnl'!$G97</f>
        <v>0</v>
      </c>
      <c r="L91" s="522"/>
      <c r="M91" s="523">
        <f>'Revenue Jrnl'!E97</f>
        <v>0</v>
      </c>
      <c r="N91" s="524">
        <f>'Revenue Jrnl'!$H97</f>
        <v>0</v>
      </c>
    </row>
    <row r="92" spans="2:14" s="1" customFormat="1" ht="30" hidden="1" customHeight="1" x14ac:dyDescent="0.2">
      <c r="B92" s="517">
        <f>IF(AND('Revenue Jrnl'!G98&lt;&gt;"",'Revenue Jrnl'!C98&lt;&gt;""),1,0)</f>
        <v>0</v>
      </c>
      <c r="C92" s="517">
        <f>'Revenue Jrnl'!$C98</f>
        <v>0</v>
      </c>
      <c r="D92" s="518">
        <f>'Revenue Jrnl'!$D98</f>
        <v>0</v>
      </c>
      <c r="E92" s="1523">
        <f>'Revenue Jrnl'!$F98</f>
        <v>0</v>
      </c>
      <c r="F92" s="1523"/>
      <c r="G92" s="519" t="str">
        <f>IF('Revenue Jrnl'!$E98="","",'Revenue Jrnl'!$E98)</f>
        <v/>
      </c>
      <c r="H92" s="518">
        <f>'Revenue Jrnl'!H98</f>
        <v>0</v>
      </c>
      <c r="I92" s="518" t="str">
        <f t="shared" si="2"/>
        <v>0</v>
      </c>
      <c r="J92" s="520" t="b">
        <f t="shared" si="3"/>
        <v>0</v>
      </c>
      <c r="K92" s="521">
        <f>'Revenue Jrnl'!$G98</f>
        <v>0</v>
      </c>
      <c r="L92" s="522"/>
      <c r="M92" s="523">
        <f>'Revenue Jrnl'!E98</f>
        <v>0</v>
      </c>
      <c r="N92" s="524">
        <f>'Revenue Jrnl'!$H98</f>
        <v>0</v>
      </c>
    </row>
    <row r="93" spans="2:14" s="1" customFormat="1" ht="30" hidden="1" customHeight="1" x14ac:dyDescent="0.2">
      <c r="B93" s="517">
        <f>IF(AND('Revenue Jrnl'!G99&lt;&gt;"",'Revenue Jrnl'!C99&lt;&gt;""),1,0)</f>
        <v>0</v>
      </c>
      <c r="C93" s="517">
        <f>'Revenue Jrnl'!$C99</f>
        <v>0</v>
      </c>
      <c r="D93" s="518">
        <f>'Revenue Jrnl'!$D99</f>
        <v>0</v>
      </c>
      <c r="E93" s="1523">
        <f>'Revenue Jrnl'!$F99</f>
        <v>0</v>
      </c>
      <c r="F93" s="1523"/>
      <c r="G93" s="519" t="str">
        <f>IF('Revenue Jrnl'!$E99="","",'Revenue Jrnl'!$E99)</f>
        <v/>
      </c>
      <c r="H93" s="518">
        <f>'Revenue Jrnl'!H99</f>
        <v>0</v>
      </c>
      <c r="I93" s="518" t="str">
        <f t="shared" si="2"/>
        <v>0</v>
      </c>
      <c r="J93" s="520" t="b">
        <f t="shared" si="3"/>
        <v>0</v>
      </c>
      <c r="K93" s="521">
        <f>'Revenue Jrnl'!$G99</f>
        <v>0</v>
      </c>
      <c r="L93" s="522"/>
      <c r="M93" s="523">
        <f>'Revenue Jrnl'!E99</f>
        <v>0</v>
      </c>
      <c r="N93" s="524">
        <f>'Revenue Jrnl'!$H99</f>
        <v>0</v>
      </c>
    </row>
    <row r="94" spans="2:14" s="1" customFormat="1" ht="30" hidden="1" customHeight="1" x14ac:dyDescent="0.2">
      <c r="B94" s="517">
        <f>IF(AND('Revenue Jrnl'!G100&lt;&gt;"",'Revenue Jrnl'!C100&lt;&gt;""),1,0)</f>
        <v>0</v>
      </c>
      <c r="C94" s="517">
        <f>'Revenue Jrnl'!$C100</f>
        <v>0</v>
      </c>
      <c r="D94" s="518">
        <f>'Revenue Jrnl'!$D100</f>
        <v>0</v>
      </c>
      <c r="E94" s="1523">
        <f>'Revenue Jrnl'!$F100</f>
        <v>0</v>
      </c>
      <c r="F94" s="1523"/>
      <c r="G94" s="519" t="str">
        <f>IF('Revenue Jrnl'!$E100="","",'Revenue Jrnl'!$E100)</f>
        <v/>
      </c>
      <c r="H94" s="518">
        <f>'Revenue Jrnl'!H100</f>
        <v>0</v>
      </c>
      <c r="I94" s="518" t="str">
        <f t="shared" si="2"/>
        <v>0</v>
      </c>
      <c r="J94" s="520" t="b">
        <f t="shared" si="3"/>
        <v>0</v>
      </c>
      <c r="K94" s="521">
        <f>'Revenue Jrnl'!$G100</f>
        <v>0</v>
      </c>
      <c r="L94" s="522"/>
      <c r="M94" s="523">
        <f>'Revenue Jrnl'!E100</f>
        <v>0</v>
      </c>
      <c r="N94" s="524">
        <f>'Revenue Jrnl'!$H100</f>
        <v>0</v>
      </c>
    </row>
    <row r="95" spans="2:14" s="1" customFormat="1" ht="30" hidden="1" customHeight="1" x14ac:dyDescent="0.2">
      <c r="B95" s="517">
        <f>IF(AND('Revenue Jrnl'!G101&lt;&gt;"",'Revenue Jrnl'!C101&lt;&gt;""),1,0)</f>
        <v>0</v>
      </c>
      <c r="C95" s="517">
        <f>'Revenue Jrnl'!$C101</f>
        <v>0</v>
      </c>
      <c r="D95" s="518">
        <f>'Revenue Jrnl'!$D101</f>
        <v>0</v>
      </c>
      <c r="E95" s="1523">
        <f>'Revenue Jrnl'!$F101</f>
        <v>0</v>
      </c>
      <c r="F95" s="1523"/>
      <c r="G95" s="519" t="str">
        <f>IF('Revenue Jrnl'!$E101="","",'Revenue Jrnl'!$E101)</f>
        <v/>
      </c>
      <c r="H95" s="518">
        <f>'Revenue Jrnl'!H101</f>
        <v>0</v>
      </c>
      <c r="I95" s="518" t="str">
        <f t="shared" si="2"/>
        <v>0</v>
      </c>
      <c r="J95" s="520" t="b">
        <f t="shared" si="3"/>
        <v>0</v>
      </c>
      <c r="K95" s="521">
        <f>'Revenue Jrnl'!$G101</f>
        <v>0</v>
      </c>
      <c r="L95" s="522"/>
      <c r="M95" s="523">
        <f>'Revenue Jrnl'!E101</f>
        <v>0</v>
      </c>
      <c r="N95" s="524">
        <f>'Revenue Jrnl'!$H101</f>
        <v>0</v>
      </c>
    </row>
    <row r="96" spans="2:14" s="1" customFormat="1" ht="30" hidden="1" customHeight="1" x14ac:dyDescent="0.2">
      <c r="B96" s="517">
        <f>IF(AND('Revenue Jrnl'!G102&lt;&gt;"",'Revenue Jrnl'!C102&lt;&gt;""),1,0)</f>
        <v>0</v>
      </c>
      <c r="C96" s="517">
        <f>'Revenue Jrnl'!$C102</f>
        <v>0</v>
      </c>
      <c r="D96" s="518">
        <f>'Revenue Jrnl'!$D102</f>
        <v>0</v>
      </c>
      <c r="E96" s="1523">
        <f>'Revenue Jrnl'!$F102</f>
        <v>0</v>
      </c>
      <c r="F96" s="1523"/>
      <c r="G96" s="519" t="str">
        <f>IF('Revenue Jrnl'!$E102="","",'Revenue Jrnl'!$E102)</f>
        <v/>
      </c>
      <c r="H96" s="518">
        <f>'Revenue Jrnl'!H102</f>
        <v>0</v>
      </c>
      <c r="I96" s="518" t="str">
        <f t="shared" si="2"/>
        <v>0</v>
      </c>
      <c r="J96" s="520" t="b">
        <f t="shared" si="3"/>
        <v>0</v>
      </c>
      <c r="K96" s="521">
        <f>'Revenue Jrnl'!$G102</f>
        <v>0</v>
      </c>
      <c r="L96" s="522"/>
      <c r="M96" s="523">
        <f>'Revenue Jrnl'!E102</f>
        <v>0</v>
      </c>
      <c r="N96" s="524">
        <f>'Revenue Jrnl'!$H102</f>
        <v>0</v>
      </c>
    </row>
    <row r="97" spans="2:14" s="1" customFormat="1" ht="30" hidden="1" customHeight="1" x14ac:dyDescent="0.2">
      <c r="B97" s="517">
        <f>IF(AND('Revenue Jrnl'!G103&lt;&gt;"",'Revenue Jrnl'!C103&lt;&gt;""),1,0)</f>
        <v>0</v>
      </c>
      <c r="C97" s="517">
        <f>'Revenue Jrnl'!$C103</f>
        <v>0</v>
      </c>
      <c r="D97" s="518">
        <f>'Revenue Jrnl'!$D103</f>
        <v>0</v>
      </c>
      <c r="E97" s="1523">
        <f>'Revenue Jrnl'!$F103</f>
        <v>0</v>
      </c>
      <c r="F97" s="1523"/>
      <c r="G97" s="519" t="str">
        <f>IF('Revenue Jrnl'!$E103="","",'Revenue Jrnl'!$E103)</f>
        <v/>
      </c>
      <c r="H97" s="518">
        <f>'Revenue Jrnl'!H103</f>
        <v>0</v>
      </c>
      <c r="I97" s="518" t="str">
        <f t="shared" si="2"/>
        <v>0</v>
      </c>
      <c r="J97" s="520" t="b">
        <f t="shared" si="3"/>
        <v>0</v>
      </c>
      <c r="K97" s="521">
        <f>'Revenue Jrnl'!$G103</f>
        <v>0</v>
      </c>
      <c r="L97" s="522"/>
      <c r="M97" s="523">
        <f>'Revenue Jrnl'!E103</f>
        <v>0</v>
      </c>
      <c r="N97" s="524">
        <f>'Revenue Jrnl'!$H103</f>
        <v>0</v>
      </c>
    </row>
    <row r="98" spans="2:14" s="1" customFormat="1" ht="30" hidden="1" customHeight="1" x14ac:dyDescent="0.2">
      <c r="B98" s="517">
        <f>IF(AND('Revenue Jrnl'!G104&lt;&gt;"",'Revenue Jrnl'!C104&lt;&gt;""),1,0)</f>
        <v>0</v>
      </c>
      <c r="C98" s="517">
        <f>'Revenue Jrnl'!$C104</f>
        <v>0</v>
      </c>
      <c r="D98" s="518">
        <f>'Revenue Jrnl'!$D104</f>
        <v>0</v>
      </c>
      <c r="E98" s="1523">
        <f>'Revenue Jrnl'!$F104</f>
        <v>0</v>
      </c>
      <c r="F98" s="1523"/>
      <c r="G98" s="519" t="str">
        <f>IF('Revenue Jrnl'!$E104="","",'Revenue Jrnl'!$E104)</f>
        <v/>
      </c>
      <c r="H98" s="518">
        <f>'Revenue Jrnl'!H104</f>
        <v>0</v>
      </c>
      <c r="I98" s="518" t="str">
        <f t="shared" si="2"/>
        <v>0</v>
      </c>
      <c r="J98" s="520" t="b">
        <f t="shared" si="3"/>
        <v>0</v>
      </c>
      <c r="K98" s="521">
        <f>'Revenue Jrnl'!$G104</f>
        <v>0</v>
      </c>
      <c r="L98" s="522"/>
      <c r="M98" s="523">
        <f>'Revenue Jrnl'!E104</f>
        <v>0</v>
      </c>
      <c r="N98" s="524">
        <f>'Revenue Jrnl'!$H104</f>
        <v>0</v>
      </c>
    </row>
    <row r="99" spans="2:14" s="1" customFormat="1" ht="30" hidden="1" customHeight="1" x14ac:dyDescent="0.2">
      <c r="B99" s="517">
        <f>IF(AND('Revenue Jrnl'!G105&lt;&gt;"",'Revenue Jrnl'!C105&lt;&gt;""),1,0)</f>
        <v>0</v>
      </c>
      <c r="C99" s="517">
        <f>'Revenue Jrnl'!$C105</f>
        <v>0</v>
      </c>
      <c r="D99" s="518">
        <f>'Revenue Jrnl'!$D105</f>
        <v>0</v>
      </c>
      <c r="E99" s="1523">
        <f>'Revenue Jrnl'!$F105</f>
        <v>0</v>
      </c>
      <c r="F99" s="1523"/>
      <c r="G99" s="519" t="str">
        <f>IF('Revenue Jrnl'!$E105="","",'Revenue Jrnl'!$E105)</f>
        <v/>
      </c>
      <c r="H99" s="518">
        <f>'Revenue Jrnl'!H105</f>
        <v>0</v>
      </c>
      <c r="I99" s="518" t="str">
        <f t="shared" si="2"/>
        <v>0</v>
      </c>
      <c r="J99" s="520" t="b">
        <f t="shared" si="3"/>
        <v>0</v>
      </c>
      <c r="K99" s="521">
        <f>'Revenue Jrnl'!$G105</f>
        <v>0</v>
      </c>
      <c r="L99" s="522"/>
      <c r="M99" s="523">
        <f>'Revenue Jrnl'!E105</f>
        <v>0</v>
      </c>
      <c r="N99" s="524">
        <f>'Revenue Jrnl'!$H105</f>
        <v>0</v>
      </c>
    </row>
    <row r="100" spans="2:14" s="1" customFormat="1" ht="30" hidden="1" customHeight="1" x14ac:dyDescent="0.2">
      <c r="B100" s="517">
        <f>IF(AND('Revenue Jrnl'!G106&lt;&gt;"",'Revenue Jrnl'!C106&lt;&gt;""),1,0)</f>
        <v>0</v>
      </c>
      <c r="C100" s="517">
        <f>'Revenue Jrnl'!$C106</f>
        <v>0</v>
      </c>
      <c r="D100" s="518">
        <f>'Revenue Jrnl'!$D106</f>
        <v>0</v>
      </c>
      <c r="E100" s="1523">
        <f>'Revenue Jrnl'!$F106</f>
        <v>0</v>
      </c>
      <c r="F100" s="1523"/>
      <c r="G100" s="519" t="str">
        <f>IF('Revenue Jrnl'!$E106="","",'Revenue Jrnl'!$E106)</f>
        <v/>
      </c>
      <c r="H100" s="518">
        <f>'Revenue Jrnl'!H106</f>
        <v>0</v>
      </c>
      <c r="I100" s="518" t="str">
        <f t="shared" si="2"/>
        <v>0</v>
      </c>
      <c r="J100" s="520" t="b">
        <f t="shared" si="3"/>
        <v>0</v>
      </c>
      <c r="K100" s="521">
        <f>'Revenue Jrnl'!$G106</f>
        <v>0</v>
      </c>
      <c r="L100" s="522"/>
      <c r="M100" s="523"/>
      <c r="N100" s="524"/>
    </row>
    <row r="101" spans="2:14" s="1" customFormat="1" ht="30" hidden="1" customHeight="1" x14ac:dyDescent="0.2">
      <c r="B101" s="517">
        <f>IF(AND('Revenue Jrnl'!G107&lt;&gt;"",'Revenue Jrnl'!C107&lt;&gt;""),1,0)</f>
        <v>0</v>
      </c>
      <c r="C101" s="517">
        <f>'Revenue Jrnl'!$C107</f>
        <v>0</v>
      </c>
      <c r="D101" s="518">
        <f>'Revenue Jrnl'!$D107</f>
        <v>0</v>
      </c>
      <c r="E101" s="1523">
        <f>'Revenue Jrnl'!$F107</f>
        <v>0</v>
      </c>
      <c r="F101" s="1523"/>
      <c r="G101" s="519" t="str">
        <f>IF('Revenue Jrnl'!$E107="","",'Revenue Jrnl'!$E107)</f>
        <v/>
      </c>
      <c r="H101" s="518">
        <f>'Revenue Jrnl'!H107</f>
        <v>0</v>
      </c>
      <c r="I101" s="518" t="str">
        <f t="shared" si="2"/>
        <v>0</v>
      </c>
      <c r="J101" s="520" t="b">
        <f t="shared" si="3"/>
        <v>0</v>
      </c>
      <c r="K101" s="521">
        <f>'Revenue Jrnl'!$G107</f>
        <v>0</v>
      </c>
      <c r="L101" s="522"/>
      <c r="M101" s="523"/>
      <c r="N101" s="524"/>
    </row>
    <row r="102" spans="2:14" s="1" customFormat="1" ht="30" hidden="1" customHeight="1" x14ac:dyDescent="0.2">
      <c r="B102" s="517">
        <f>IF(AND('Revenue Jrnl'!G108&lt;&gt;"",'Revenue Jrnl'!C108&lt;&gt;""),1,0)</f>
        <v>0</v>
      </c>
      <c r="C102" s="517">
        <f>'Revenue Jrnl'!$C108</f>
        <v>0</v>
      </c>
      <c r="D102" s="518">
        <f>'Revenue Jrnl'!$D108</f>
        <v>0</v>
      </c>
      <c r="E102" s="1523">
        <f>'Revenue Jrnl'!$F108</f>
        <v>0</v>
      </c>
      <c r="F102" s="1523"/>
      <c r="G102" s="519" t="str">
        <f>IF('Revenue Jrnl'!$E108="","",'Revenue Jrnl'!$E108)</f>
        <v/>
      </c>
      <c r="H102" s="518">
        <f>'Revenue Jrnl'!H108</f>
        <v>0</v>
      </c>
      <c r="I102" s="518" t="str">
        <f t="shared" si="2"/>
        <v>0</v>
      </c>
      <c r="J102" s="520" t="b">
        <f t="shared" si="3"/>
        <v>0</v>
      </c>
      <c r="K102" s="521">
        <f>'Revenue Jrnl'!$G108</f>
        <v>0</v>
      </c>
      <c r="L102" s="522"/>
      <c r="M102" s="523"/>
      <c r="N102" s="524"/>
    </row>
    <row r="103" spans="2:14" s="1" customFormat="1" ht="30" hidden="1" customHeight="1" x14ac:dyDescent="0.2">
      <c r="B103" s="517">
        <f>IF(AND('Revenue Jrnl'!G109&lt;&gt;"",'Revenue Jrnl'!C109&lt;&gt;""),1,0)</f>
        <v>0</v>
      </c>
      <c r="C103" s="517">
        <f>'Revenue Jrnl'!$C109</f>
        <v>0</v>
      </c>
      <c r="D103" s="518">
        <f>'Revenue Jrnl'!$D109</f>
        <v>0</v>
      </c>
      <c r="E103" s="1523">
        <f>'Revenue Jrnl'!$F109</f>
        <v>0</v>
      </c>
      <c r="F103" s="1523"/>
      <c r="G103" s="519" t="str">
        <f>IF('Revenue Jrnl'!$E109="","",'Revenue Jrnl'!$E109)</f>
        <v/>
      </c>
      <c r="H103" s="518">
        <f>'Revenue Jrnl'!H109</f>
        <v>0</v>
      </c>
      <c r="I103" s="518" t="str">
        <f t="shared" si="2"/>
        <v>0</v>
      </c>
      <c r="J103" s="520" t="b">
        <f t="shared" si="3"/>
        <v>0</v>
      </c>
      <c r="K103" s="521">
        <f>'Revenue Jrnl'!$G109</f>
        <v>0</v>
      </c>
      <c r="L103" s="522"/>
      <c r="M103" s="523"/>
      <c r="N103" s="524"/>
    </row>
    <row r="104" spans="2:14" s="1" customFormat="1" ht="30" hidden="1" customHeight="1" x14ac:dyDescent="0.2">
      <c r="B104" s="517">
        <f>IF(AND('Revenue Jrnl'!G110&lt;&gt;"",'Revenue Jrnl'!C110&lt;&gt;""),1,0)</f>
        <v>0</v>
      </c>
      <c r="C104" s="517">
        <f>'Revenue Jrnl'!$C110</f>
        <v>0</v>
      </c>
      <c r="D104" s="518">
        <f>'Revenue Jrnl'!$D110</f>
        <v>0</v>
      </c>
      <c r="E104" s="1523">
        <f>'Revenue Jrnl'!$F110</f>
        <v>0</v>
      </c>
      <c r="F104" s="1523"/>
      <c r="G104" s="519" t="str">
        <f>IF('Revenue Jrnl'!$E110="","",'Revenue Jrnl'!$E110)</f>
        <v/>
      </c>
      <c r="H104" s="518">
        <f>'Revenue Jrnl'!H110</f>
        <v>0</v>
      </c>
      <c r="I104" s="518" t="str">
        <f t="shared" si="2"/>
        <v>0</v>
      </c>
      <c r="J104" s="520" t="b">
        <f t="shared" si="3"/>
        <v>0</v>
      </c>
      <c r="K104" s="521">
        <f>'Revenue Jrnl'!$G110</f>
        <v>0</v>
      </c>
      <c r="L104" s="522"/>
      <c r="M104" s="523"/>
      <c r="N104" s="524"/>
    </row>
    <row r="105" spans="2:14" s="1" customFormat="1" ht="30" hidden="1" customHeight="1" x14ac:dyDescent="0.2">
      <c r="B105" s="517">
        <f>IF(AND('Revenue Jrnl'!G111&lt;&gt;"",'Revenue Jrnl'!C111&lt;&gt;""),1,0)</f>
        <v>0</v>
      </c>
      <c r="C105" s="517">
        <f>'Revenue Jrnl'!$C111</f>
        <v>0</v>
      </c>
      <c r="D105" s="518">
        <f>'Revenue Jrnl'!$D111</f>
        <v>0</v>
      </c>
      <c r="E105" s="1523">
        <f>'Revenue Jrnl'!$F111</f>
        <v>0</v>
      </c>
      <c r="F105" s="1523"/>
      <c r="G105" s="519" t="str">
        <f>IF('Revenue Jrnl'!$E111="","",'Revenue Jrnl'!$E111)</f>
        <v/>
      </c>
      <c r="H105" s="518">
        <f>'Revenue Jrnl'!H111</f>
        <v>0</v>
      </c>
      <c r="I105" s="518" t="str">
        <f t="shared" si="2"/>
        <v>0</v>
      </c>
      <c r="J105" s="520" t="b">
        <f t="shared" si="3"/>
        <v>0</v>
      </c>
      <c r="K105" s="521">
        <f>'Revenue Jrnl'!$G111</f>
        <v>0</v>
      </c>
      <c r="L105" s="522"/>
      <c r="M105" s="523"/>
      <c r="N105" s="524"/>
    </row>
    <row r="106" spans="2:14" s="1" customFormat="1" ht="30" hidden="1" customHeight="1" x14ac:dyDescent="0.2">
      <c r="B106" s="517">
        <f>IF(AND('Revenue Jrnl'!G112&lt;&gt;"",'Revenue Jrnl'!C112&lt;&gt;""),1,0)</f>
        <v>0</v>
      </c>
      <c r="C106" s="517">
        <f>'Revenue Jrnl'!$C112</f>
        <v>0</v>
      </c>
      <c r="D106" s="518">
        <f>'Revenue Jrnl'!$D112</f>
        <v>0</v>
      </c>
      <c r="E106" s="1523">
        <f>'Revenue Jrnl'!$F112</f>
        <v>0</v>
      </c>
      <c r="F106" s="1523"/>
      <c r="G106" s="519" t="str">
        <f>IF('Revenue Jrnl'!$E112="","",'Revenue Jrnl'!$E112)</f>
        <v/>
      </c>
      <c r="H106" s="518">
        <f>'Revenue Jrnl'!H112</f>
        <v>0</v>
      </c>
      <c r="I106" s="518" t="str">
        <f t="shared" si="2"/>
        <v>0</v>
      </c>
      <c r="J106" s="520" t="b">
        <f t="shared" si="3"/>
        <v>0</v>
      </c>
      <c r="K106" s="521">
        <f>'Revenue Jrnl'!$G112</f>
        <v>0</v>
      </c>
      <c r="L106" s="522"/>
      <c r="M106" s="523"/>
      <c r="N106" s="524"/>
    </row>
    <row r="107" spans="2:14" s="1" customFormat="1" ht="30" hidden="1" customHeight="1" x14ac:dyDescent="0.2">
      <c r="B107" s="517">
        <f>IF(AND('Revenue Jrnl'!G113&lt;&gt;"",'Revenue Jrnl'!C113&lt;&gt;""),1,0)</f>
        <v>0</v>
      </c>
      <c r="C107" s="517">
        <f>'Revenue Jrnl'!$C113</f>
        <v>0</v>
      </c>
      <c r="D107" s="518">
        <f>'Revenue Jrnl'!$D113</f>
        <v>0</v>
      </c>
      <c r="E107" s="1523">
        <f>'Revenue Jrnl'!$F113</f>
        <v>0</v>
      </c>
      <c r="F107" s="1523"/>
      <c r="G107" s="519" t="str">
        <f>IF('Revenue Jrnl'!$E113="","",'Revenue Jrnl'!$E113)</f>
        <v/>
      </c>
      <c r="H107" s="518">
        <f>'Revenue Jrnl'!H113</f>
        <v>0</v>
      </c>
      <c r="I107" s="518" t="str">
        <f t="shared" si="2"/>
        <v>0</v>
      </c>
      <c r="J107" s="520" t="b">
        <f t="shared" si="3"/>
        <v>0</v>
      </c>
      <c r="K107" s="521">
        <f>'Revenue Jrnl'!$G113</f>
        <v>0</v>
      </c>
      <c r="L107" s="522"/>
      <c r="M107" s="523"/>
      <c r="N107" s="524"/>
    </row>
    <row r="108" spans="2:14" s="1" customFormat="1" ht="30" hidden="1" customHeight="1" x14ac:dyDescent="0.2">
      <c r="B108" s="517">
        <f>IF(AND('Revenue Jrnl'!G114&lt;&gt;"",'Revenue Jrnl'!C114&lt;&gt;""),1,0)</f>
        <v>0</v>
      </c>
      <c r="C108" s="517">
        <f>'Revenue Jrnl'!$C114</f>
        <v>0</v>
      </c>
      <c r="D108" s="518">
        <f>'Revenue Jrnl'!$D114</f>
        <v>0</v>
      </c>
      <c r="E108" s="1523">
        <f>'Revenue Jrnl'!$F114</f>
        <v>0</v>
      </c>
      <c r="F108" s="1523"/>
      <c r="G108" s="519" t="str">
        <f>IF('Revenue Jrnl'!$E114="","",'Revenue Jrnl'!$E114)</f>
        <v/>
      </c>
      <c r="H108" s="518">
        <f>'Revenue Jrnl'!H114</f>
        <v>0</v>
      </c>
      <c r="I108" s="518" t="str">
        <f t="shared" si="2"/>
        <v>0</v>
      </c>
      <c r="J108" s="520" t="b">
        <f t="shared" si="3"/>
        <v>0</v>
      </c>
      <c r="K108" s="521">
        <f>'Revenue Jrnl'!$G114</f>
        <v>0</v>
      </c>
      <c r="L108" s="522"/>
      <c r="M108" s="523"/>
      <c r="N108" s="524"/>
    </row>
    <row r="109" spans="2:14" s="1" customFormat="1" ht="30" hidden="1" customHeight="1" x14ac:dyDescent="0.2">
      <c r="B109" s="517">
        <f>IF(AND('Revenue Jrnl'!G115&lt;&gt;"",'Revenue Jrnl'!C115&lt;&gt;""),1,0)</f>
        <v>0</v>
      </c>
      <c r="C109" s="517">
        <f>'Revenue Jrnl'!$C115</f>
        <v>0</v>
      </c>
      <c r="D109" s="518">
        <f>'Revenue Jrnl'!$D115</f>
        <v>0</v>
      </c>
      <c r="E109" s="1523">
        <f>'Revenue Jrnl'!$F115</f>
        <v>0</v>
      </c>
      <c r="F109" s="1523"/>
      <c r="G109" s="519" t="str">
        <f>IF('Revenue Jrnl'!$E115="","",'Revenue Jrnl'!$E115)</f>
        <v/>
      </c>
      <c r="H109" s="518">
        <f>'Revenue Jrnl'!H115</f>
        <v>0</v>
      </c>
      <c r="I109" s="518" t="str">
        <f t="shared" si="2"/>
        <v>0</v>
      </c>
      <c r="J109" s="520" t="b">
        <f t="shared" si="3"/>
        <v>0</v>
      </c>
      <c r="K109" s="521">
        <f>'Revenue Jrnl'!$G115</f>
        <v>0</v>
      </c>
      <c r="L109" s="522"/>
      <c r="M109" s="523"/>
      <c r="N109" s="524"/>
    </row>
    <row r="110" spans="2:14" s="1" customFormat="1" ht="30" hidden="1" customHeight="1" x14ac:dyDescent="0.2">
      <c r="B110" s="517">
        <f>IF(AND('Revenue Jrnl'!G116&lt;&gt;"",'Revenue Jrnl'!C116&lt;&gt;""),1,0)</f>
        <v>0</v>
      </c>
      <c r="C110" s="517">
        <f>'Revenue Jrnl'!$C116</f>
        <v>0</v>
      </c>
      <c r="D110" s="518">
        <f>'Revenue Jrnl'!$D116</f>
        <v>0</v>
      </c>
      <c r="E110" s="1523">
        <f>'Revenue Jrnl'!$F116</f>
        <v>0</v>
      </c>
      <c r="F110" s="1523"/>
      <c r="G110" s="519" t="str">
        <f>IF('Revenue Jrnl'!$E116="","",'Revenue Jrnl'!$E116)</f>
        <v/>
      </c>
      <c r="H110" s="518">
        <f>'Revenue Jrnl'!H116</f>
        <v>0</v>
      </c>
      <c r="I110" s="518" t="str">
        <f t="shared" si="2"/>
        <v>0</v>
      </c>
      <c r="J110" s="520" t="b">
        <f t="shared" si="3"/>
        <v>0</v>
      </c>
      <c r="K110" s="521">
        <f>'Revenue Jrnl'!$G116</f>
        <v>0</v>
      </c>
      <c r="L110" s="522"/>
      <c r="M110" s="523"/>
      <c r="N110" s="524"/>
    </row>
    <row r="111" spans="2:14" s="1" customFormat="1" ht="30" hidden="1" customHeight="1" x14ac:dyDescent="0.2">
      <c r="B111" s="517">
        <f>IF(AND('Revenue Jrnl'!G117&lt;&gt;"",'Revenue Jrnl'!C117&lt;&gt;""),1,0)</f>
        <v>0</v>
      </c>
      <c r="C111" s="517">
        <f>'Revenue Jrnl'!$C117</f>
        <v>0</v>
      </c>
      <c r="D111" s="518">
        <f>'Revenue Jrnl'!$D117</f>
        <v>0</v>
      </c>
      <c r="E111" s="1523">
        <f>'Revenue Jrnl'!$F117</f>
        <v>0</v>
      </c>
      <c r="F111" s="1523"/>
      <c r="G111" s="519" t="str">
        <f>IF('Revenue Jrnl'!$E117="","",'Revenue Jrnl'!$E117)</f>
        <v/>
      </c>
      <c r="H111" s="518">
        <f>'Revenue Jrnl'!H117</f>
        <v>0</v>
      </c>
      <c r="I111" s="518" t="str">
        <f t="shared" si="2"/>
        <v>0</v>
      </c>
      <c r="J111" s="520" t="b">
        <f t="shared" si="3"/>
        <v>0</v>
      </c>
      <c r="K111" s="521">
        <f>'Revenue Jrnl'!$G117</f>
        <v>0</v>
      </c>
      <c r="L111" s="522"/>
      <c r="M111" s="523"/>
      <c r="N111" s="524"/>
    </row>
    <row r="112" spans="2:14" s="1" customFormat="1" ht="30" hidden="1" customHeight="1" x14ac:dyDescent="0.2">
      <c r="B112" s="517">
        <f>IF(AND('Revenue Jrnl'!G118&lt;&gt;"",'Revenue Jrnl'!C118&lt;&gt;""),1,0)</f>
        <v>0</v>
      </c>
      <c r="C112" s="517">
        <f>'Revenue Jrnl'!$C118</f>
        <v>0</v>
      </c>
      <c r="D112" s="518">
        <f>'Revenue Jrnl'!$D118</f>
        <v>0</v>
      </c>
      <c r="E112" s="1523">
        <f>'Revenue Jrnl'!$F118</f>
        <v>0</v>
      </c>
      <c r="F112" s="1523"/>
      <c r="G112" s="519" t="str">
        <f>IF('Revenue Jrnl'!$E118="","",'Revenue Jrnl'!$E118)</f>
        <v/>
      </c>
      <c r="H112" s="518">
        <f>'Revenue Jrnl'!H118</f>
        <v>0</v>
      </c>
      <c r="I112" s="518" t="str">
        <f t="shared" si="2"/>
        <v>0</v>
      </c>
      <c r="J112" s="520" t="b">
        <f t="shared" si="3"/>
        <v>0</v>
      </c>
      <c r="K112" s="521">
        <f>'Revenue Jrnl'!$G118</f>
        <v>0</v>
      </c>
      <c r="L112" s="522"/>
      <c r="M112" s="523"/>
      <c r="N112" s="524"/>
    </row>
    <row r="113" spans="2:14" s="1" customFormat="1" ht="30" hidden="1" customHeight="1" x14ac:dyDescent="0.2">
      <c r="B113" s="517">
        <f>IF(AND('Revenue Jrnl'!G119&lt;&gt;"",'Revenue Jrnl'!C119&lt;&gt;""),1,0)</f>
        <v>0</v>
      </c>
      <c r="C113" s="517">
        <f>'Revenue Jrnl'!$C119</f>
        <v>0</v>
      </c>
      <c r="D113" s="518">
        <f>'Revenue Jrnl'!$D119</f>
        <v>0</v>
      </c>
      <c r="E113" s="1523">
        <f>'Revenue Jrnl'!$F119</f>
        <v>0</v>
      </c>
      <c r="F113" s="1523"/>
      <c r="G113" s="519" t="str">
        <f>IF('Revenue Jrnl'!$E119="","",'Revenue Jrnl'!$E119)</f>
        <v/>
      </c>
      <c r="H113" s="518">
        <f>'Revenue Jrnl'!H119</f>
        <v>0</v>
      </c>
      <c r="I113" s="518" t="str">
        <f t="shared" si="2"/>
        <v>0</v>
      </c>
      <c r="J113" s="520" t="b">
        <f t="shared" si="3"/>
        <v>0</v>
      </c>
      <c r="K113" s="521">
        <f>'Revenue Jrnl'!$G119</f>
        <v>0</v>
      </c>
      <c r="L113" s="522"/>
      <c r="M113" s="523"/>
      <c r="N113" s="524"/>
    </row>
    <row r="114" spans="2:14" s="1" customFormat="1" ht="30" hidden="1" customHeight="1" x14ac:dyDescent="0.2">
      <c r="B114" s="517">
        <f>IF(AND('Revenue Jrnl'!G120&lt;&gt;"",'Revenue Jrnl'!C120&lt;&gt;""),1,0)</f>
        <v>0</v>
      </c>
      <c r="C114" s="517">
        <f>'Revenue Jrnl'!$C120</f>
        <v>0</v>
      </c>
      <c r="D114" s="518">
        <f>'Revenue Jrnl'!$D120</f>
        <v>0</v>
      </c>
      <c r="E114" s="1523">
        <f>'Revenue Jrnl'!$F120</f>
        <v>0</v>
      </c>
      <c r="F114" s="1523"/>
      <c r="G114" s="519" t="str">
        <f>IF('Revenue Jrnl'!$E120="","",'Revenue Jrnl'!$E120)</f>
        <v/>
      </c>
      <c r="H114" s="518">
        <f>'Revenue Jrnl'!H120</f>
        <v>0</v>
      </c>
      <c r="I114" s="518" t="str">
        <f t="shared" si="2"/>
        <v>0</v>
      </c>
      <c r="J114" s="520" t="b">
        <f t="shared" si="3"/>
        <v>0</v>
      </c>
      <c r="K114" s="521">
        <f>'Revenue Jrnl'!$G120</f>
        <v>0</v>
      </c>
      <c r="L114" s="522"/>
      <c r="M114" s="523"/>
      <c r="N114" s="524"/>
    </row>
    <row r="115" spans="2:14" s="1" customFormat="1" ht="30" hidden="1" customHeight="1" x14ac:dyDescent="0.2">
      <c r="B115" s="517">
        <f>IF(AND('Revenue Jrnl'!G121&lt;&gt;"",'Revenue Jrnl'!C121&lt;&gt;""),1,0)</f>
        <v>0</v>
      </c>
      <c r="C115" s="517">
        <f>'Revenue Jrnl'!$C121</f>
        <v>0</v>
      </c>
      <c r="D115" s="518">
        <f>'Revenue Jrnl'!$D121</f>
        <v>0</v>
      </c>
      <c r="E115" s="1523">
        <f>'Revenue Jrnl'!$F121</f>
        <v>0</v>
      </c>
      <c r="F115" s="1523"/>
      <c r="G115" s="519" t="str">
        <f>IF('Revenue Jrnl'!$E121="","",'Revenue Jrnl'!$E121)</f>
        <v/>
      </c>
      <c r="H115" s="518">
        <f>'Revenue Jrnl'!H121</f>
        <v>0</v>
      </c>
      <c r="I115" s="518" t="str">
        <f t="shared" si="2"/>
        <v>0</v>
      </c>
      <c r="J115" s="520" t="b">
        <f t="shared" si="3"/>
        <v>0</v>
      </c>
      <c r="K115" s="521">
        <f>'Revenue Jrnl'!$G121</f>
        <v>0</v>
      </c>
      <c r="L115" s="522"/>
      <c r="M115" s="523"/>
      <c r="N115" s="524"/>
    </row>
    <row r="116" spans="2:14" s="1" customFormat="1" ht="30" hidden="1" customHeight="1" x14ac:dyDescent="0.2">
      <c r="B116" s="517">
        <f>IF(AND('Revenue Jrnl'!G122&lt;&gt;"",'Revenue Jrnl'!C122&lt;&gt;""),1,0)</f>
        <v>0</v>
      </c>
      <c r="C116" s="517">
        <f>'Revenue Jrnl'!$C122</f>
        <v>0</v>
      </c>
      <c r="D116" s="518">
        <f>'Revenue Jrnl'!$D122</f>
        <v>0</v>
      </c>
      <c r="E116" s="1523">
        <f>'Revenue Jrnl'!$F122</f>
        <v>0</v>
      </c>
      <c r="F116" s="1523"/>
      <c r="G116" s="519" t="str">
        <f>IF('Revenue Jrnl'!$E122="","",'Revenue Jrnl'!$E122)</f>
        <v/>
      </c>
      <c r="H116" s="518">
        <f>'Revenue Jrnl'!H122</f>
        <v>0</v>
      </c>
      <c r="I116" s="518" t="str">
        <f t="shared" si="2"/>
        <v>0</v>
      </c>
      <c r="J116" s="520" t="b">
        <f t="shared" si="3"/>
        <v>0</v>
      </c>
      <c r="K116" s="521">
        <f>'Revenue Jrnl'!$G122</f>
        <v>0</v>
      </c>
      <c r="L116" s="522"/>
      <c r="M116" s="523"/>
      <c r="N116" s="524"/>
    </row>
    <row r="117" spans="2:14" s="1" customFormat="1" ht="30" hidden="1" customHeight="1" x14ac:dyDescent="0.2">
      <c r="B117" s="517">
        <f>IF(AND('Revenue Jrnl'!G123&lt;&gt;"",'Revenue Jrnl'!C123&lt;&gt;""),1,0)</f>
        <v>0</v>
      </c>
      <c r="C117" s="517">
        <f>'Revenue Jrnl'!$C123</f>
        <v>0</v>
      </c>
      <c r="D117" s="518">
        <f>'Revenue Jrnl'!$D123</f>
        <v>0</v>
      </c>
      <c r="E117" s="1523">
        <f>'Revenue Jrnl'!$F123</f>
        <v>0</v>
      </c>
      <c r="F117" s="1523"/>
      <c r="G117" s="519" t="str">
        <f>IF('Revenue Jrnl'!$E123="","",'Revenue Jrnl'!$E123)</f>
        <v/>
      </c>
      <c r="H117" s="518">
        <f>'Revenue Jrnl'!H123</f>
        <v>0</v>
      </c>
      <c r="I117" s="518" t="str">
        <f t="shared" si="2"/>
        <v>0</v>
      </c>
      <c r="J117" s="520" t="b">
        <f t="shared" si="3"/>
        <v>0</v>
      </c>
      <c r="K117" s="521">
        <f>'Revenue Jrnl'!$G123</f>
        <v>0</v>
      </c>
      <c r="L117" s="522"/>
      <c r="M117" s="523"/>
      <c r="N117" s="524"/>
    </row>
    <row r="118" spans="2:14" s="1" customFormat="1" ht="30" hidden="1" customHeight="1" x14ac:dyDescent="0.2">
      <c r="B118" s="517">
        <f>IF(AND('Revenue Jrnl'!G124&lt;&gt;"",'Revenue Jrnl'!C124&lt;&gt;""),1,0)</f>
        <v>0</v>
      </c>
      <c r="C118" s="517">
        <f>'Revenue Jrnl'!$C124</f>
        <v>0</v>
      </c>
      <c r="D118" s="518">
        <f>'Revenue Jrnl'!$D124</f>
        <v>0</v>
      </c>
      <c r="E118" s="1523">
        <f>'Revenue Jrnl'!$F124</f>
        <v>0</v>
      </c>
      <c r="F118" s="1523"/>
      <c r="G118" s="519" t="str">
        <f>IF('Revenue Jrnl'!$E124="","",'Revenue Jrnl'!$E124)</f>
        <v/>
      </c>
      <c r="H118" s="518">
        <f>'Revenue Jrnl'!H124</f>
        <v>0</v>
      </c>
      <c r="I118" s="518" t="str">
        <f t="shared" si="2"/>
        <v>0</v>
      </c>
      <c r="J118" s="520" t="b">
        <f t="shared" si="3"/>
        <v>0</v>
      </c>
      <c r="K118" s="521">
        <f>'Revenue Jrnl'!$G124</f>
        <v>0</v>
      </c>
      <c r="L118" s="522"/>
      <c r="M118" s="523"/>
      <c r="N118" s="524"/>
    </row>
    <row r="119" spans="2:14" s="1" customFormat="1" ht="30" hidden="1" customHeight="1" x14ac:dyDescent="0.2">
      <c r="B119" s="517">
        <f>IF(AND('Revenue Jrnl'!G125&lt;&gt;"",'Revenue Jrnl'!C125&lt;&gt;""),1,0)</f>
        <v>0</v>
      </c>
      <c r="C119" s="517">
        <f>'Revenue Jrnl'!$C125</f>
        <v>0</v>
      </c>
      <c r="D119" s="518">
        <f>'Revenue Jrnl'!$D125</f>
        <v>0</v>
      </c>
      <c r="E119" s="1523">
        <f>'Revenue Jrnl'!$F125</f>
        <v>0</v>
      </c>
      <c r="F119" s="1523"/>
      <c r="G119" s="519" t="str">
        <f>IF('Revenue Jrnl'!$E125="","",'Revenue Jrnl'!$E125)</f>
        <v/>
      </c>
      <c r="H119" s="518">
        <f>'Revenue Jrnl'!H125</f>
        <v>0</v>
      </c>
      <c r="I119" s="518" t="str">
        <f t="shared" si="2"/>
        <v>0</v>
      </c>
      <c r="J119" s="520" t="b">
        <f t="shared" si="3"/>
        <v>0</v>
      </c>
      <c r="K119" s="521">
        <f>'Revenue Jrnl'!$G125</f>
        <v>0</v>
      </c>
      <c r="L119" s="522"/>
      <c r="M119" s="523"/>
      <c r="N119" s="524"/>
    </row>
    <row r="120" spans="2:14" s="1" customFormat="1" ht="30" hidden="1" customHeight="1" x14ac:dyDescent="0.2">
      <c r="B120" s="517">
        <f>IF(AND('Revenue Jrnl'!G126&lt;&gt;"",'Revenue Jrnl'!C126&lt;&gt;""),1,0)</f>
        <v>0</v>
      </c>
      <c r="C120" s="517">
        <f>'Revenue Jrnl'!$C126</f>
        <v>0</v>
      </c>
      <c r="D120" s="518">
        <f>'Revenue Jrnl'!$D126</f>
        <v>0</v>
      </c>
      <c r="E120" s="1523">
        <f>'Revenue Jrnl'!$F126</f>
        <v>0</v>
      </c>
      <c r="F120" s="1523"/>
      <c r="G120" s="519" t="str">
        <f>IF('Revenue Jrnl'!$E126="","",'Revenue Jrnl'!$E126)</f>
        <v/>
      </c>
      <c r="H120" s="518">
        <f>'Revenue Jrnl'!H126</f>
        <v>0</v>
      </c>
      <c r="I120" s="518" t="str">
        <f t="shared" si="2"/>
        <v>0</v>
      </c>
      <c r="J120" s="520" t="b">
        <f t="shared" si="3"/>
        <v>0</v>
      </c>
      <c r="K120" s="521">
        <f>'Revenue Jrnl'!$G126</f>
        <v>0</v>
      </c>
      <c r="L120" s="522"/>
      <c r="M120" s="523"/>
      <c r="N120" s="524"/>
    </row>
    <row r="121" spans="2:14" s="1" customFormat="1" ht="30" hidden="1" customHeight="1" x14ac:dyDescent="0.2">
      <c r="B121" s="517">
        <f>IF(AND('Revenue Jrnl'!G127&lt;&gt;"",'Revenue Jrnl'!C127&lt;&gt;""),1,0)</f>
        <v>0</v>
      </c>
      <c r="C121" s="517">
        <f>'Revenue Jrnl'!$C127</f>
        <v>0</v>
      </c>
      <c r="D121" s="518">
        <f>'Revenue Jrnl'!$D127</f>
        <v>0</v>
      </c>
      <c r="E121" s="1523">
        <f>'Revenue Jrnl'!$F127</f>
        <v>0</v>
      </c>
      <c r="F121" s="1523"/>
      <c r="G121" s="519" t="str">
        <f>IF('Revenue Jrnl'!$E127="","",'Revenue Jrnl'!$E127)</f>
        <v/>
      </c>
      <c r="H121" s="518">
        <f>'Revenue Jrnl'!H127</f>
        <v>0</v>
      </c>
      <c r="I121" s="518" t="str">
        <f t="shared" si="2"/>
        <v>0</v>
      </c>
      <c r="J121" s="520" t="b">
        <f t="shared" si="3"/>
        <v>0</v>
      </c>
      <c r="K121" s="521">
        <f>'Revenue Jrnl'!$G127</f>
        <v>0</v>
      </c>
      <c r="L121" s="522"/>
      <c r="M121" s="523"/>
      <c r="N121" s="524"/>
    </row>
    <row r="122" spans="2:14" s="1" customFormat="1" ht="30" hidden="1" customHeight="1" x14ac:dyDescent="0.2">
      <c r="B122" s="517">
        <f>IF(AND('Revenue Jrnl'!G128&lt;&gt;"",'Revenue Jrnl'!C128&lt;&gt;""),1,0)</f>
        <v>0</v>
      </c>
      <c r="C122" s="517">
        <f>'Revenue Jrnl'!$C128</f>
        <v>0</v>
      </c>
      <c r="D122" s="518">
        <f>'Revenue Jrnl'!$D128</f>
        <v>0</v>
      </c>
      <c r="E122" s="1523">
        <f>'Revenue Jrnl'!$F128</f>
        <v>0</v>
      </c>
      <c r="F122" s="1523"/>
      <c r="G122" s="519" t="str">
        <f>IF('Revenue Jrnl'!$E128="","",'Revenue Jrnl'!$E128)</f>
        <v/>
      </c>
      <c r="H122" s="518">
        <f>'Revenue Jrnl'!H128</f>
        <v>0</v>
      </c>
      <c r="I122" s="518" t="str">
        <f t="shared" si="2"/>
        <v>0</v>
      </c>
      <c r="J122" s="520" t="b">
        <f t="shared" si="3"/>
        <v>0</v>
      </c>
      <c r="K122" s="521">
        <f>'Revenue Jrnl'!$G128</f>
        <v>0</v>
      </c>
      <c r="L122" s="522"/>
      <c r="M122" s="523"/>
      <c r="N122" s="524"/>
    </row>
    <row r="123" spans="2:14" s="1" customFormat="1" ht="30" hidden="1" customHeight="1" x14ac:dyDescent="0.2">
      <c r="B123" s="517">
        <f>IF(AND('Revenue Jrnl'!G129&lt;&gt;"",'Revenue Jrnl'!C129&lt;&gt;""),1,0)</f>
        <v>0</v>
      </c>
      <c r="C123" s="517">
        <f>'Revenue Jrnl'!$C129</f>
        <v>0</v>
      </c>
      <c r="D123" s="518">
        <f>'Revenue Jrnl'!$D129</f>
        <v>0</v>
      </c>
      <c r="E123" s="1523">
        <f>'Revenue Jrnl'!$F129</f>
        <v>0</v>
      </c>
      <c r="F123" s="1523"/>
      <c r="G123" s="519" t="str">
        <f>IF('Revenue Jrnl'!$E129="","",'Revenue Jrnl'!$E129)</f>
        <v/>
      </c>
      <c r="H123" s="518">
        <f>'Revenue Jrnl'!H129</f>
        <v>0</v>
      </c>
      <c r="I123" s="518" t="str">
        <f t="shared" si="2"/>
        <v>0</v>
      </c>
      <c r="J123" s="520" t="b">
        <f t="shared" si="3"/>
        <v>0</v>
      </c>
      <c r="K123" s="521">
        <f>'Revenue Jrnl'!$G129</f>
        <v>0</v>
      </c>
      <c r="L123" s="522"/>
      <c r="M123" s="523"/>
      <c r="N123" s="524"/>
    </row>
    <row r="124" spans="2:14" s="1" customFormat="1" ht="30" hidden="1" customHeight="1" x14ac:dyDescent="0.2">
      <c r="B124" s="517">
        <f>IF(AND('Revenue Jrnl'!G130&lt;&gt;"",'Revenue Jrnl'!C130&lt;&gt;""),1,0)</f>
        <v>0</v>
      </c>
      <c r="C124" s="517">
        <f>'Revenue Jrnl'!$C130</f>
        <v>0</v>
      </c>
      <c r="D124" s="518">
        <f>'Revenue Jrnl'!$D130</f>
        <v>0</v>
      </c>
      <c r="E124" s="1523">
        <f>'Revenue Jrnl'!$F130</f>
        <v>0</v>
      </c>
      <c r="F124" s="1523"/>
      <c r="G124" s="519" t="str">
        <f>IF('Revenue Jrnl'!$E130="","",'Revenue Jrnl'!$E130)</f>
        <v/>
      </c>
      <c r="H124" s="518">
        <f>'Revenue Jrnl'!H130</f>
        <v>0</v>
      </c>
      <c r="I124" s="518" t="str">
        <f t="shared" si="2"/>
        <v>0</v>
      </c>
      <c r="J124" s="520" t="b">
        <f t="shared" si="3"/>
        <v>0</v>
      </c>
      <c r="K124" s="521">
        <f>'Revenue Jrnl'!$G130</f>
        <v>0</v>
      </c>
      <c r="L124" s="522"/>
      <c r="M124" s="523"/>
      <c r="N124" s="524"/>
    </row>
    <row r="125" spans="2:14" s="1" customFormat="1" ht="30" hidden="1" customHeight="1" x14ac:dyDescent="0.2">
      <c r="B125" s="517">
        <f>IF(AND('Revenue Jrnl'!G131&lt;&gt;"",'Revenue Jrnl'!C131&lt;&gt;""),1,0)</f>
        <v>0</v>
      </c>
      <c r="C125" s="517">
        <f>'Revenue Jrnl'!$C131</f>
        <v>0</v>
      </c>
      <c r="D125" s="518">
        <f>'Revenue Jrnl'!$D131</f>
        <v>0</v>
      </c>
      <c r="E125" s="1523">
        <f>'Revenue Jrnl'!$F131</f>
        <v>0</v>
      </c>
      <c r="F125" s="1523"/>
      <c r="G125" s="519" t="str">
        <f>IF('Revenue Jrnl'!$E131="","",'Revenue Jrnl'!$E131)</f>
        <v/>
      </c>
      <c r="H125" s="518">
        <f>'Revenue Jrnl'!H131</f>
        <v>0</v>
      </c>
      <c r="I125" s="518" t="str">
        <f t="shared" si="2"/>
        <v>0</v>
      </c>
      <c r="J125" s="520" t="b">
        <f t="shared" si="3"/>
        <v>0</v>
      </c>
      <c r="K125" s="521">
        <f>'Revenue Jrnl'!$G131</f>
        <v>0</v>
      </c>
      <c r="L125" s="522"/>
      <c r="M125" s="523"/>
      <c r="N125" s="524"/>
    </row>
    <row r="126" spans="2:14" s="1" customFormat="1" ht="30" hidden="1" customHeight="1" x14ac:dyDescent="0.2">
      <c r="B126" s="517">
        <f>IF(AND('Revenue Jrnl'!G132&lt;&gt;"",'Revenue Jrnl'!C132&lt;&gt;""),1,0)</f>
        <v>0</v>
      </c>
      <c r="C126" s="517">
        <f>'Revenue Jrnl'!$C132</f>
        <v>0</v>
      </c>
      <c r="D126" s="518">
        <f>'Revenue Jrnl'!$D132</f>
        <v>0</v>
      </c>
      <c r="E126" s="1523">
        <f>'Revenue Jrnl'!$F132</f>
        <v>0</v>
      </c>
      <c r="F126" s="1523"/>
      <c r="G126" s="519" t="str">
        <f>IF('Revenue Jrnl'!$E132="","",'Revenue Jrnl'!$E132)</f>
        <v/>
      </c>
      <c r="H126" s="518">
        <f>'Revenue Jrnl'!H132</f>
        <v>0</v>
      </c>
      <c r="I126" s="518" t="str">
        <f t="shared" si="2"/>
        <v>0</v>
      </c>
      <c r="J126" s="520" t="b">
        <f t="shared" si="3"/>
        <v>0</v>
      </c>
      <c r="K126" s="521">
        <f>'Revenue Jrnl'!$G132</f>
        <v>0</v>
      </c>
      <c r="L126" s="522"/>
      <c r="M126" s="523"/>
      <c r="N126" s="524"/>
    </row>
    <row r="127" spans="2:14" s="1" customFormat="1" ht="30" hidden="1" customHeight="1" x14ac:dyDescent="0.2">
      <c r="B127" s="517">
        <f>IF(AND('Revenue Jrnl'!G133&lt;&gt;"",'Revenue Jrnl'!C133&lt;&gt;""),1,0)</f>
        <v>0</v>
      </c>
      <c r="C127" s="517">
        <f>'Revenue Jrnl'!$C133</f>
        <v>0</v>
      </c>
      <c r="D127" s="518">
        <f>'Revenue Jrnl'!$D133</f>
        <v>0</v>
      </c>
      <c r="E127" s="1523">
        <f>'Revenue Jrnl'!$F133</f>
        <v>0</v>
      </c>
      <c r="F127" s="1523"/>
      <c r="G127" s="519" t="str">
        <f>IF('Revenue Jrnl'!$E133="","",'Revenue Jrnl'!$E133)</f>
        <v/>
      </c>
      <c r="H127" s="518">
        <f>'Revenue Jrnl'!H133</f>
        <v>0</v>
      </c>
      <c r="I127" s="518" t="str">
        <f t="shared" si="2"/>
        <v>0</v>
      </c>
      <c r="J127" s="520" t="b">
        <f t="shared" si="3"/>
        <v>0</v>
      </c>
      <c r="K127" s="521">
        <f>'Revenue Jrnl'!$G133</f>
        <v>0</v>
      </c>
      <c r="L127" s="522"/>
      <c r="M127" s="523"/>
      <c r="N127" s="524"/>
    </row>
    <row r="128" spans="2:14" s="1" customFormat="1" ht="30" hidden="1" customHeight="1" x14ac:dyDescent="0.2">
      <c r="B128" s="517">
        <f>IF(AND('Revenue Jrnl'!G134&lt;&gt;"",'Revenue Jrnl'!C134&lt;&gt;""),1,0)</f>
        <v>0</v>
      </c>
      <c r="C128" s="517">
        <f>'Revenue Jrnl'!$C134</f>
        <v>0</v>
      </c>
      <c r="D128" s="518">
        <f>'Revenue Jrnl'!$D134</f>
        <v>0</v>
      </c>
      <c r="E128" s="1523">
        <f>'Revenue Jrnl'!$F134</f>
        <v>0</v>
      </c>
      <c r="F128" s="1523"/>
      <c r="G128" s="519" t="str">
        <f>IF('Revenue Jrnl'!$E134="","",'Revenue Jrnl'!$E134)</f>
        <v/>
      </c>
      <c r="H128" s="518">
        <f>'Revenue Jrnl'!H134</f>
        <v>0</v>
      </c>
      <c r="I128" s="518" t="str">
        <f t="shared" si="2"/>
        <v>0</v>
      </c>
      <c r="J128" s="520" t="b">
        <f t="shared" si="3"/>
        <v>0</v>
      </c>
      <c r="K128" s="521">
        <f>'Revenue Jrnl'!$G134</f>
        <v>0</v>
      </c>
      <c r="L128" s="522"/>
      <c r="M128" s="523"/>
      <c r="N128" s="524"/>
    </row>
    <row r="129" spans="2:14" s="1" customFormat="1" ht="30" hidden="1" customHeight="1" x14ac:dyDescent="0.2">
      <c r="B129" s="517">
        <f>IF(AND('Revenue Jrnl'!G135&lt;&gt;"",'Revenue Jrnl'!C135&lt;&gt;""),1,0)</f>
        <v>0</v>
      </c>
      <c r="C129" s="517">
        <f>'Revenue Jrnl'!$C135</f>
        <v>0</v>
      </c>
      <c r="D129" s="518">
        <f>'Revenue Jrnl'!$D135</f>
        <v>0</v>
      </c>
      <c r="E129" s="1523">
        <f>'Revenue Jrnl'!$F135</f>
        <v>0</v>
      </c>
      <c r="F129" s="1523"/>
      <c r="G129" s="519" t="str">
        <f>IF('Revenue Jrnl'!$E135="","",'Revenue Jrnl'!$E135)</f>
        <v/>
      </c>
      <c r="H129" s="518">
        <f>'Revenue Jrnl'!H135</f>
        <v>0</v>
      </c>
      <c r="I129" s="518" t="str">
        <f t="shared" si="2"/>
        <v>0</v>
      </c>
      <c r="J129" s="520" t="b">
        <f t="shared" si="3"/>
        <v>0</v>
      </c>
      <c r="K129" s="521">
        <f>'Revenue Jrnl'!$G135</f>
        <v>0</v>
      </c>
      <c r="L129" s="522"/>
      <c r="M129" s="523"/>
      <c r="N129" s="524"/>
    </row>
    <row r="130" spans="2:14" s="1" customFormat="1" ht="30" hidden="1" customHeight="1" x14ac:dyDescent="0.2">
      <c r="B130" s="517">
        <f>IF(AND('Revenue Jrnl'!G136&lt;&gt;"",'Revenue Jrnl'!C136&lt;&gt;""),1,0)</f>
        <v>0</v>
      </c>
      <c r="C130" s="517">
        <f>'Revenue Jrnl'!$C136</f>
        <v>0</v>
      </c>
      <c r="D130" s="518">
        <f>'Revenue Jrnl'!$D136</f>
        <v>0</v>
      </c>
      <c r="E130" s="1523">
        <f>'Revenue Jrnl'!$F136</f>
        <v>0</v>
      </c>
      <c r="F130" s="1523"/>
      <c r="G130" s="519" t="str">
        <f>IF('Revenue Jrnl'!$E136="","",'Revenue Jrnl'!$E136)</f>
        <v/>
      </c>
      <c r="H130" s="518">
        <f>'Revenue Jrnl'!H136</f>
        <v>0</v>
      </c>
      <c r="I130" s="518" t="str">
        <f t="shared" si="2"/>
        <v>0</v>
      </c>
      <c r="J130" s="520" t="b">
        <f t="shared" si="3"/>
        <v>0</v>
      </c>
      <c r="K130" s="521">
        <f>'Revenue Jrnl'!$G136</f>
        <v>0</v>
      </c>
      <c r="L130" s="522"/>
      <c r="M130" s="523"/>
      <c r="N130" s="524"/>
    </row>
    <row r="131" spans="2:14" s="1" customFormat="1" ht="30" hidden="1" customHeight="1" x14ac:dyDescent="0.2">
      <c r="B131" s="517">
        <f>IF(AND('Revenue Jrnl'!G137&lt;&gt;"",'Revenue Jrnl'!C137&lt;&gt;""),1,0)</f>
        <v>0</v>
      </c>
      <c r="C131" s="517">
        <f>'Revenue Jrnl'!$C137</f>
        <v>0</v>
      </c>
      <c r="D131" s="518">
        <f>'Revenue Jrnl'!$D137</f>
        <v>0</v>
      </c>
      <c r="E131" s="1523">
        <f>'Revenue Jrnl'!$F137</f>
        <v>0</v>
      </c>
      <c r="F131" s="1523"/>
      <c r="G131" s="519" t="str">
        <f>IF('Revenue Jrnl'!$E137="","",'Revenue Jrnl'!$E137)</f>
        <v/>
      </c>
      <c r="H131" s="518">
        <f>'Revenue Jrnl'!H137</f>
        <v>0</v>
      </c>
      <c r="I131" s="518" t="str">
        <f t="shared" si="2"/>
        <v>0</v>
      </c>
      <c r="J131" s="520" t="b">
        <f t="shared" si="3"/>
        <v>0</v>
      </c>
      <c r="K131" s="521">
        <f>'Revenue Jrnl'!$G137</f>
        <v>0</v>
      </c>
      <c r="L131" s="522"/>
      <c r="M131" s="523"/>
      <c r="N131" s="524"/>
    </row>
    <row r="132" spans="2:14" s="1" customFormat="1" ht="30" hidden="1" customHeight="1" x14ac:dyDescent="0.2">
      <c r="B132" s="517">
        <f>IF(AND('Revenue Jrnl'!G138&lt;&gt;"",'Revenue Jrnl'!C138&lt;&gt;""),1,0)</f>
        <v>0</v>
      </c>
      <c r="C132" s="517">
        <f>'Revenue Jrnl'!$C138</f>
        <v>0</v>
      </c>
      <c r="D132" s="518">
        <f>'Revenue Jrnl'!$D138</f>
        <v>0</v>
      </c>
      <c r="E132" s="1523">
        <f>'Revenue Jrnl'!$F138</f>
        <v>0</v>
      </c>
      <c r="F132" s="1523"/>
      <c r="G132" s="519" t="str">
        <f>IF('Revenue Jrnl'!$E138="","",'Revenue Jrnl'!$E138)</f>
        <v/>
      </c>
      <c r="H132" s="518">
        <f>'Revenue Jrnl'!H138</f>
        <v>0</v>
      </c>
      <c r="I132" s="518" t="str">
        <f t="shared" si="2"/>
        <v>0</v>
      </c>
      <c r="J132" s="520" t="b">
        <f t="shared" si="3"/>
        <v>0</v>
      </c>
      <c r="K132" s="521">
        <f>'Revenue Jrnl'!$G138</f>
        <v>0</v>
      </c>
      <c r="L132" s="522"/>
      <c r="M132" s="523"/>
      <c r="N132" s="524"/>
    </row>
    <row r="133" spans="2:14" s="1" customFormat="1" ht="30" hidden="1" customHeight="1" x14ac:dyDescent="0.2">
      <c r="B133" s="517">
        <f>IF(AND('Revenue Jrnl'!G139&lt;&gt;"",'Revenue Jrnl'!C139&lt;&gt;""),1,0)</f>
        <v>0</v>
      </c>
      <c r="C133" s="517">
        <f>'Revenue Jrnl'!$C139</f>
        <v>0</v>
      </c>
      <c r="D133" s="518">
        <f>'Revenue Jrnl'!$D139</f>
        <v>0</v>
      </c>
      <c r="E133" s="1523">
        <f>'Revenue Jrnl'!$F139</f>
        <v>0</v>
      </c>
      <c r="F133" s="1523"/>
      <c r="G133" s="519" t="str">
        <f>IF('Revenue Jrnl'!$E139="","",'Revenue Jrnl'!$E139)</f>
        <v/>
      </c>
      <c r="H133" s="518">
        <f>'Revenue Jrnl'!H139</f>
        <v>0</v>
      </c>
      <c r="I133" s="518" t="str">
        <f t="shared" si="2"/>
        <v>0</v>
      </c>
      <c r="J133" s="520" t="b">
        <f t="shared" si="3"/>
        <v>0</v>
      </c>
      <c r="K133" s="521">
        <f>'Revenue Jrnl'!$G139</f>
        <v>0</v>
      </c>
      <c r="L133" s="522"/>
      <c r="M133" s="523"/>
      <c r="N133" s="524"/>
    </row>
    <row r="134" spans="2:14" s="1" customFormat="1" ht="30" hidden="1" customHeight="1" x14ac:dyDescent="0.2">
      <c r="B134" s="517">
        <f>IF(AND('Revenue Jrnl'!G140&lt;&gt;"",'Revenue Jrnl'!C140&lt;&gt;""),1,0)</f>
        <v>0</v>
      </c>
      <c r="C134" s="517">
        <f>'Revenue Jrnl'!$C140</f>
        <v>0</v>
      </c>
      <c r="D134" s="518">
        <f>'Revenue Jrnl'!$D140</f>
        <v>0</v>
      </c>
      <c r="E134" s="1523">
        <f>'Revenue Jrnl'!$F140</f>
        <v>0</v>
      </c>
      <c r="F134" s="1523"/>
      <c r="G134" s="519" t="str">
        <f>IF('Revenue Jrnl'!$E140="","",'Revenue Jrnl'!$E140)</f>
        <v/>
      </c>
      <c r="H134" s="518">
        <f>'Revenue Jrnl'!H140</f>
        <v>0</v>
      </c>
      <c r="I134" s="518" t="str">
        <f t="shared" si="2"/>
        <v>0</v>
      </c>
      <c r="J134" s="520" t="b">
        <f t="shared" si="3"/>
        <v>0</v>
      </c>
      <c r="K134" s="521">
        <f>'Revenue Jrnl'!$G140</f>
        <v>0</v>
      </c>
      <c r="L134" s="522"/>
      <c r="M134" s="523"/>
      <c r="N134" s="524"/>
    </row>
    <row r="135" spans="2:14" s="1" customFormat="1" ht="30" hidden="1" customHeight="1" x14ac:dyDescent="0.2">
      <c r="B135" s="517">
        <f>IF(AND('Revenue Jrnl'!G141&lt;&gt;"",'Revenue Jrnl'!C141&lt;&gt;""),1,0)</f>
        <v>0</v>
      </c>
      <c r="C135" s="517">
        <f>'Revenue Jrnl'!$C141</f>
        <v>0</v>
      </c>
      <c r="D135" s="518">
        <f>'Revenue Jrnl'!$D141</f>
        <v>0</v>
      </c>
      <c r="E135" s="1523">
        <f>'Revenue Jrnl'!$F141</f>
        <v>0</v>
      </c>
      <c r="F135" s="1523"/>
      <c r="G135" s="519" t="str">
        <f>IF('Revenue Jrnl'!$E141="","",'Revenue Jrnl'!$E141)</f>
        <v/>
      </c>
      <c r="H135" s="518">
        <f>'Revenue Jrnl'!H141</f>
        <v>0</v>
      </c>
      <c r="I135" s="518" t="str">
        <f t="shared" si="2"/>
        <v>0</v>
      </c>
      <c r="J135" s="520" t="b">
        <f t="shared" si="3"/>
        <v>0</v>
      </c>
      <c r="K135" s="521">
        <f>'Revenue Jrnl'!$G141</f>
        <v>0</v>
      </c>
      <c r="L135" s="522"/>
      <c r="M135" s="523"/>
      <c r="N135" s="524"/>
    </row>
    <row r="136" spans="2:14" s="1" customFormat="1" ht="30" hidden="1" customHeight="1" x14ac:dyDescent="0.2">
      <c r="B136" s="517">
        <f>IF(AND('Revenue Jrnl'!G142&lt;&gt;"",'Revenue Jrnl'!C142&lt;&gt;""),1,0)</f>
        <v>0</v>
      </c>
      <c r="C136" s="517">
        <f>'Revenue Jrnl'!$C142</f>
        <v>0</v>
      </c>
      <c r="D136" s="518">
        <f>'Revenue Jrnl'!$D142</f>
        <v>0</v>
      </c>
      <c r="E136" s="1523">
        <f>'Revenue Jrnl'!$F142</f>
        <v>0</v>
      </c>
      <c r="F136" s="1523"/>
      <c r="G136" s="519" t="str">
        <f>IF('Revenue Jrnl'!$E142="","",'Revenue Jrnl'!$E142)</f>
        <v/>
      </c>
      <c r="H136" s="518">
        <f>'Revenue Jrnl'!H142</f>
        <v>0</v>
      </c>
      <c r="I136" s="518" t="str">
        <f t="shared" si="2"/>
        <v>0</v>
      </c>
      <c r="J136" s="520" t="b">
        <f t="shared" si="3"/>
        <v>0</v>
      </c>
      <c r="K136" s="521">
        <f>'Revenue Jrnl'!$G142</f>
        <v>0</v>
      </c>
      <c r="L136" s="522"/>
      <c r="M136" s="523"/>
      <c r="N136" s="524"/>
    </row>
    <row r="137" spans="2:14" s="1" customFormat="1" ht="30" hidden="1" customHeight="1" x14ac:dyDescent="0.2">
      <c r="B137" s="517">
        <f>IF(AND('Revenue Jrnl'!G143&lt;&gt;"",'Revenue Jrnl'!C143&lt;&gt;""),1,0)</f>
        <v>0</v>
      </c>
      <c r="C137" s="517">
        <f>'Revenue Jrnl'!$C143</f>
        <v>0</v>
      </c>
      <c r="D137" s="518">
        <f>'Revenue Jrnl'!$D143</f>
        <v>0</v>
      </c>
      <c r="E137" s="1523">
        <f>'Revenue Jrnl'!$F143</f>
        <v>0</v>
      </c>
      <c r="F137" s="1523"/>
      <c r="G137" s="519" t="str">
        <f>IF('Revenue Jrnl'!$E143="","",'Revenue Jrnl'!$E143)</f>
        <v/>
      </c>
      <c r="H137" s="518">
        <f>'Revenue Jrnl'!H143</f>
        <v>0</v>
      </c>
      <c r="I137" s="518" t="str">
        <f t="shared" si="2"/>
        <v>0</v>
      </c>
      <c r="J137" s="520" t="b">
        <f t="shared" si="3"/>
        <v>0</v>
      </c>
      <c r="K137" s="521">
        <f>'Revenue Jrnl'!$G143</f>
        <v>0</v>
      </c>
      <c r="L137" s="522"/>
      <c r="M137" s="523"/>
      <c r="N137" s="524"/>
    </row>
    <row r="138" spans="2:14" s="1" customFormat="1" ht="30" hidden="1" customHeight="1" x14ac:dyDescent="0.2">
      <c r="B138" s="517">
        <f>IF(AND('Revenue Jrnl'!G144&lt;&gt;"",'Revenue Jrnl'!C144&lt;&gt;""),1,0)</f>
        <v>0</v>
      </c>
      <c r="C138" s="517">
        <f>'Revenue Jrnl'!$C144</f>
        <v>0</v>
      </c>
      <c r="D138" s="518">
        <f>'Revenue Jrnl'!$D144</f>
        <v>0</v>
      </c>
      <c r="E138" s="1523">
        <f>'Revenue Jrnl'!$F144</f>
        <v>0</v>
      </c>
      <c r="F138" s="1523"/>
      <c r="G138" s="519" t="str">
        <f>IF('Revenue Jrnl'!$E144="","",'Revenue Jrnl'!$E144)</f>
        <v/>
      </c>
      <c r="H138" s="518">
        <f>'Revenue Jrnl'!H144</f>
        <v>0</v>
      </c>
      <c r="I138" s="518" t="str">
        <f t="shared" ref="I138:I201" si="4">LEFT(H138,4)</f>
        <v>0</v>
      </c>
      <c r="J138" s="520" t="b">
        <f t="shared" si="3"/>
        <v>0</v>
      </c>
      <c r="K138" s="521">
        <f>'Revenue Jrnl'!$G144</f>
        <v>0</v>
      </c>
      <c r="L138" s="522"/>
      <c r="M138" s="523"/>
      <c r="N138" s="524"/>
    </row>
    <row r="139" spans="2:14" s="1" customFormat="1" ht="30" hidden="1" customHeight="1" x14ac:dyDescent="0.2">
      <c r="B139" s="517">
        <f>IF(AND('Revenue Jrnl'!G145&lt;&gt;"",'Revenue Jrnl'!C145&lt;&gt;""),1,0)</f>
        <v>0</v>
      </c>
      <c r="C139" s="517">
        <f>'Revenue Jrnl'!$C145</f>
        <v>0</v>
      </c>
      <c r="D139" s="518">
        <f>'Revenue Jrnl'!$D145</f>
        <v>0</v>
      </c>
      <c r="E139" s="1523">
        <f>'Revenue Jrnl'!$F145</f>
        <v>0</v>
      </c>
      <c r="F139" s="1523"/>
      <c r="G139" s="519" t="str">
        <f>IF('Revenue Jrnl'!$E145="","",'Revenue Jrnl'!$E145)</f>
        <v/>
      </c>
      <c r="H139" s="518">
        <f>'Revenue Jrnl'!H145</f>
        <v>0</v>
      </c>
      <c r="I139" s="518" t="str">
        <f t="shared" si="4"/>
        <v>0</v>
      </c>
      <c r="J139" s="520" t="b">
        <f t="shared" ref="J139:J202" si="5">IF(I139="1020",IF(G139&gt;=$E$3,IF(G139&lt;=$G$3,K139,0)))</f>
        <v>0</v>
      </c>
      <c r="K139" s="521">
        <f>'Revenue Jrnl'!$G145</f>
        <v>0</v>
      </c>
      <c r="L139" s="522"/>
      <c r="M139" s="523"/>
      <c r="N139" s="524"/>
    </row>
    <row r="140" spans="2:14" s="1" customFormat="1" ht="30" hidden="1" customHeight="1" x14ac:dyDescent="0.2">
      <c r="B140" s="517">
        <f>IF(AND('Revenue Jrnl'!G146&lt;&gt;"",'Revenue Jrnl'!C146&lt;&gt;""),1,0)</f>
        <v>0</v>
      </c>
      <c r="C140" s="517">
        <f>'Revenue Jrnl'!$C146</f>
        <v>0</v>
      </c>
      <c r="D140" s="518">
        <f>'Revenue Jrnl'!$D146</f>
        <v>0</v>
      </c>
      <c r="E140" s="1523">
        <f>'Revenue Jrnl'!$F146</f>
        <v>0</v>
      </c>
      <c r="F140" s="1523"/>
      <c r="G140" s="519" t="str">
        <f>IF('Revenue Jrnl'!$E146="","",'Revenue Jrnl'!$E146)</f>
        <v/>
      </c>
      <c r="H140" s="518">
        <f>'Revenue Jrnl'!H146</f>
        <v>0</v>
      </c>
      <c r="I140" s="518" t="str">
        <f t="shared" si="4"/>
        <v>0</v>
      </c>
      <c r="J140" s="520" t="b">
        <f t="shared" si="5"/>
        <v>0</v>
      </c>
      <c r="K140" s="521">
        <f>'Revenue Jrnl'!$G146</f>
        <v>0</v>
      </c>
      <c r="L140" s="522"/>
      <c r="M140" s="523"/>
      <c r="N140" s="524"/>
    </row>
    <row r="141" spans="2:14" s="1" customFormat="1" ht="30" hidden="1" customHeight="1" x14ac:dyDescent="0.2">
      <c r="B141" s="517">
        <f>IF(AND('Revenue Jrnl'!G147&lt;&gt;"",'Revenue Jrnl'!C147&lt;&gt;""),1,0)</f>
        <v>0</v>
      </c>
      <c r="C141" s="517">
        <f>'Revenue Jrnl'!$C147</f>
        <v>0</v>
      </c>
      <c r="D141" s="518">
        <f>'Revenue Jrnl'!$D147</f>
        <v>0</v>
      </c>
      <c r="E141" s="1523">
        <f>'Revenue Jrnl'!$F147</f>
        <v>0</v>
      </c>
      <c r="F141" s="1523"/>
      <c r="G141" s="519" t="str">
        <f>IF('Revenue Jrnl'!$E147="","",'Revenue Jrnl'!$E147)</f>
        <v/>
      </c>
      <c r="H141" s="518">
        <f>'Revenue Jrnl'!H147</f>
        <v>0</v>
      </c>
      <c r="I141" s="518" t="str">
        <f t="shared" si="4"/>
        <v>0</v>
      </c>
      <c r="J141" s="520" t="b">
        <f t="shared" si="5"/>
        <v>0</v>
      </c>
      <c r="K141" s="521">
        <f>'Revenue Jrnl'!$G147</f>
        <v>0</v>
      </c>
      <c r="L141" s="522"/>
      <c r="M141" s="523"/>
      <c r="N141" s="524"/>
    </row>
    <row r="142" spans="2:14" s="1" customFormat="1" ht="30" hidden="1" customHeight="1" x14ac:dyDescent="0.2">
      <c r="B142" s="517">
        <f>IF(AND('Revenue Jrnl'!G148&lt;&gt;"",'Revenue Jrnl'!C148&lt;&gt;""),1,0)</f>
        <v>0</v>
      </c>
      <c r="C142" s="517">
        <f>'Revenue Jrnl'!$C148</f>
        <v>0</v>
      </c>
      <c r="D142" s="518">
        <f>'Revenue Jrnl'!$D148</f>
        <v>0</v>
      </c>
      <c r="E142" s="1523">
        <f>'Revenue Jrnl'!$F148</f>
        <v>0</v>
      </c>
      <c r="F142" s="1523"/>
      <c r="G142" s="519" t="str">
        <f>IF('Revenue Jrnl'!$E148="","",'Revenue Jrnl'!$E148)</f>
        <v/>
      </c>
      <c r="H142" s="518">
        <f>'Revenue Jrnl'!H148</f>
        <v>0</v>
      </c>
      <c r="I142" s="518" t="str">
        <f t="shared" si="4"/>
        <v>0</v>
      </c>
      <c r="J142" s="520" t="b">
        <f t="shared" si="5"/>
        <v>0</v>
      </c>
      <c r="K142" s="521">
        <f>'Revenue Jrnl'!$G148</f>
        <v>0</v>
      </c>
      <c r="L142" s="522"/>
      <c r="M142" s="523"/>
      <c r="N142" s="524"/>
    </row>
    <row r="143" spans="2:14" s="1" customFormat="1" ht="30" hidden="1" customHeight="1" x14ac:dyDescent="0.2">
      <c r="B143" s="517">
        <f>IF(AND('Revenue Jrnl'!G149&lt;&gt;"",'Revenue Jrnl'!C149&lt;&gt;""),1,0)</f>
        <v>0</v>
      </c>
      <c r="C143" s="517">
        <f>'Revenue Jrnl'!$C149</f>
        <v>0</v>
      </c>
      <c r="D143" s="518">
        <f>'Revenue Jrnl'!$D149</f>
        <v>0</v>
      </c>
      <c r="E143" s="1523">
        <f>'Revenue Jrnl'!$F149</f>
        <v>0</v>
      </c>
      <c r="F143" s="1523"/>
      <c r="G143" s="519" t="str">
        <f>IF('Revenue Jrnl'!$E149="","",'Revenue Jrnl'!$E149)</f>
        <v/>
      </c>
      <c r="H143" s="518">
        <f>'Revenue Jrnl'!H149</f>
        <v>0</v>
      </c>
      <c r="I143" s="518" t="str">
        <f t="shared" si="4"/>
        <v>0</v>
      </c>
      <c r="J143" s="520" t="b">
        <f t="shared" si="5"/>
        <v>0</v>
      </c>
      <c r="K143" s="521">
        <f>'Revenue Jrnl'!$G149</f>
        <v>0</v>
      </c>
      <c r="L143" s="522"/>
      <c r="M143" s="523"/>
      <c r="N143" s="524"/>
    </row>
    <row r="144" spans="2:14" s="1" customFormat="1" ht="30" hidden="1" customHeight="1" x14ac:dyDescent="0.2">
      <c r="B144" s="517">
        <f>IF(AND('Revenue Jrnl'!G150&lt;&gt;"",'Revenue Jrnl'!C150&lt;&gt;""),1,0)</f>
        <v>0</v>
      </c>
      <c r="C144" s="517">
        <f>'Revenue Jrnl'!$C150</f>
        <v>0</v>
      </c>
      <c r="D144" s="518">
        <f>'Revenue Jrnl'!$D150</f>
        <v>0</v>
      </c>
      <c r="E144" s="1523">
        <f>'Revenue Jrnl'!$F150</f>
        <v>0</v>
      </c>
      <c r="F144" s="1523"/>
      <c r="G144" s="519" t="str">
        <f>IF('Revenue Jrnl'!$E150="","",'Revenue Jrnl'!$E150)</f>
        <v/>
      </c>
      <c r="H144" s="518">
        <f>'Revenue Jrnl'!H150</f>
        <v>0</v>
      </c>
      <c r="I144" s="518" t="str">
        <f t="shared" si="4"/>
        <v>0</v>
      </c>
      <c r="J144" s="520" t="b">
        <f t="shared" si="5"/>
        <v>0</v>
      </c>
      <c r="K144" s="521">
        <f>'Revenue Jrnl'!$G150</f>
        <v>0</v>
      </c>
      <c r="L144" s="522"/>
      <c r="M144" s="523"/>
      <c r="N144" s="524"/>
    </row>
    <row r="145" spans="2:14" s="1" customFormat="1" ht="30" hidden="1" customHeight="1" x14ac:dyDescent="0.2">
      <c r="B145" s="517">
        <f>IF(AND('Revenue Jrnl'!G151&lt;&gt;"",'Revenue Jrnl'!C151&lt;&gt;""),1,0)</f>
        <v>0</v>
      </c>
      <c r="C145" s="517">
        <f>'Revenue Jrnl'!$C151</f>
        <v>0</v>
      </c>
      <c r="D145" s="518">
        <f>'Revenue Jrnl'!$D151</f>
        <v>0</v>
      </c>
      <c r="E145" s="1523">
        <f>'Revenue Jrnl'!$F151</f>
        <v>0</v>
      </c>
      <c r="F145" s="1523"/>
      <c r="G145" s="519" t="str">
        <f>IF('Revenue Jrnl'!$E151="","",'Revenue Jrnl'!$E151)</f>
        <v/>
      </c>
      <c r="H145" s="518">
        <f>'Revenue Jrnl'!H151</f>
        <v>0</v>
      </c>
      <c r="I145" s="518" t="str">
        <f t="shared" si="4"/>
        <v>0</v>
      </c>
      <c r="J145" s="520" t="b">
        <f t="shared" si="5"/>
        <v>0</v>
      </c>
      <c r="K145" s="521">
        <f>'Revenue Jrnl'!$G151</f>
        <v>0</v>
      </c>
      <c r="L145" s="522"/>
      <c r="M145" s="523"/>
      <c r="N145" s="524"/>
    </row>
    <row r="146" spans="2:14" s="1" customFormat="1" ht="30" hidden="1" customHeight="1" x14ac:dyDescent="0.2">
      <c r="B146" s="517">
        <f>IF(AND('Revenue Jrnl'!G152&lt;&gt;"",'Revenue Jrnl'!C152&lt;&gt;""),1,0)</f>
        <v>0</v>
      </c>
      <c r="C146" s="517">
        <f>'Revenue Jrnl'!$C152</f>
        <v>0</v>
      </c>
      <c r="D146" s="518">
        <f>'Revenue Jrnl'!$D152</f>
        <v>0</v>
      </c>
      <c r="E146" s="1523">
        <f>'Revenue Jrnl'!$F152</f>
        <v>0</v>
      </c>
      <c r="F146" s="1523"/>
      <c r="G146" s="519" t="str">
        <f>IF('Revenue Jrnl'!$E152="","",'Revenue Jrnl'!$E152)</f>
        <v/>
      </c>
      <c r="H146" s="518">
        <f>'Revenue Jrnl'!H152</f>
        <v>0</v>
      </c>
      <c r="I146" s="518" t="str">
        <f t="shared" si="4"/>
        <v>0</v>
      </c>
      <c r="J146" s="520" t="b">
        <f t="shared" si="5"/>
        <v>0</v>
      </c>
      <c r="K146" s="521">
        <f>'Revenue Jrnl'!$G152</f>
        <v>0</v>
      </c>
      <c r="L146" s="522"/>
      <c r="M146" s="523"/>
      <c r="N146" s="524"/>
    </row>
    <row r="147" spans="2:14" s="1" customFormat="1" ht="30" hidden="1" customHeight="1" x14ac:dyDescent="0.2">
      <c r="B147" s="517">
        <f>IF(AND('Revenue Jrnl'!G153&lt;&gt;"",'Revenue Jrnl'!C153&lt;&gt;""),1,0)</f>
        <v>0</v>
      </c>
      <c r="C147" s="517">
        <f>'Revenue Jrnl'!$C153</f>
        <v>0</v>
      </c>
      <c r="D147" s="518">
        <f>'Revenue Jrnl'!$D153</f>
        <v>0</v>
      </c>
      <c r="E147" s="1523">
        <f>'Revenue Jrnl'!$F153</f>
        <v>0</v>
      </c>
      <c r="F147" s="1523"/>
      <c r="G147" s="519" t="str">
        <f>IF('Revenue Jrnl'!$E153="","",'Revenue Jrnl'!$E153)</f>
        <v/>
      </c>
      <c r="H147" s="518">
        <f>'Revenue Jrnl'!H153</f>
        <v>0</v>
      </c>
      <c r="I147" s="518" t="str">
        <f t="shared" si="4"/>
        <v>0</v>
      </c>
      <c r="J147" s="520" t="b">
        <f t="shared" si="5"/>
        <v>0</v>
      </c>
      <c r="K147" s="521">
        <f>'Revenue Jrnl'!$G153</f>
        <v>0</v>
      </c>
      <c r="L147" s="522"/>
      <c r="M147" s="523"/>
      <c r="N147" s="524"/>
    </row>
    <row r="148" spans="2:14" s="1" customFormat="1" ht="30" hidden="1" customHeight="1" x14ac:dyDescent="0.2">
      <c r="B148" s="517">
        <f>IF(AND('Revenue Jrnl'!G154&lt;&gt;"",'Revenue Jrnl'!C154&lt;&gt;""),1,0)</f>
        <v>0</v>
      </c>
      <c r="C148" s="517">
        <f>'Revenue Jrnl'!$C154</f>
        <v>0</v>
      </c>
      <c r="D148" s="518">
        <f>'Revenue Jrnl'!$D154</f>
        <v>0</v>
      </c>
      <c r="E148" s="1523">
        <f>'Revenue Jrnl'!$F154</f>
        <v>0</v>
      </c>
      <c r="F148" s="1523"/>
      <c r="G148" s="519" t="str">
        <f>IF('Revenue Jrnl'!$E154="","",'Revenue Jrnl'!$E154)</f>
        <v/>
      </c>
      <c r="H148" s="518">
        <f>'Revenue Jrnl'!H154</f>
        <v>0</v>
      </c>
      <c r="I148" s="518" t="str">
        <f t="shared" si="4"/>
        <v>0</v>
      </c>
      <c r="J148" s="520" t="b">
        <f t="shared" si="5"/>
        <v>0</v>
      </c>
      <c r="K148" s="521">
        <f>'Revenue Jrnl'!$G154</f>
        <v>0</v>
      </c>
      <c r="L148" s="522"/>
      <c r="M148" s="523"/>
      <c r="N148" s="524"/>
    </row>
    <row r="149" spans="2:14" s="1" customFormat="1" ht="30" hidden="1" customHeight="1" x14ac:dyDescent="0.2">
      <c r="B149" s="517">
        <f>IF(AND('Revenue Jrnl'!G155&lt;&gt;"",'Revenue Jrnl'!C155&lt;&gt;""),1,0)</f>
        <v>0</v>
      </c>
      <c r="C149" s="517">
        <f>'Revenue Jrnl'!$C155</f>
        <v>0</v>
      </c>
      <c r="D149" s="518">
        <f>'Revenue Jrnl'!$D155</f>
        <v>0</v>
      </c>
      <c r="E149" s="1523">
        <f>'Revenue Jrnl'!$F155</f>
        <v>0</v>
      </c>
      <c r="F149" s="1523"/>
      <c r="G149" s="519" t="str">
        <f>IF('Revenue Jrnl'!$E155="","",'Revenue Jrnl'!$E155)</f>
        <v/>
      </c>
      <c r="H149" s="518">
        <f>'Revenue Jrnl'!H155</f>
        <v>0</v>
      </c>
      <c r="I149" s="518" t="str">
        <f t="shared" si="4"/>
        <v>0</v>
      </c>
      <c r="J149" s="520" t="b">
        <f t="shared" si="5"/>
        <v>0</v>
      </c>
      <c r="K149" s="521">
        <f>'Revenue Jrnl'!$G155</f>
        <v>0</v>
      </c>
      <c r="L149" s="522"/>
      <c r="M149" s="523"/>
      <c r="N149" s="524"/>
    </row>
    <row r="150" spans="2:14" s="1" customFormat="1" ht="30" hidden="1" customHeight="1" x14ac:dyDescent="0.2">
      <c r="B150" s="517">
        <f>IF(AND('Revenue Jrnl'!G156&lt;&gt;"",'Revenue Jrnl'!C156&lt;&gt;""),1,0)</f>
        <v>0</v>
      </c>
      <c r="C150" s="517">
        <f>'Revenue Jrnl'!$C156</f>
        <v>0</v>
      </c>
      <c r="D150" s="518">
        <f>'Revenue Jrnl'!$D156</f>
        <v>0</v>
      </c>
      <c r="E150" s="1523">
        <f>'Revenue Jrnl'!$F156</f>
        <v>0</v>
      </c>
      <c r="F150" s="1523"/>
      <c r="G150" s="519" t="str">
        <f>IF('Revenue Jrnl'!$E156="","",'Revenue Jrnl'!$E156)</f>
        <v/>
      </c>
      <c r="H150" s="518">
        <f>'Revenue Jrnl'!H156</f>
        <v>0</v>
      </c>
      <c r="I150" s="518" t="str">
        <f t="shared" si="4"/>
        <v>0</v>
      </c>
      <c r="J150" s="520" t="b">
        <f t="shared" si="5"/>
        <v>0</v>
      </c>
      <c r="K150" s="521">
        <f>'Revenue Jrnl'!$G156</f>
        <v>0</v>
      </c>
      <c r="L150" s="522"/>
      <c r="M150" s="523"/>
      <c r="N150" s="524"/>
    </row>
    <row r="151" spans="2:14" s="1" customFormat="1" ht="30" hidden="1" customHeight="1" x14ac:dyDescent="0.2">
      <c r="B151" s="517">
        <f>IF(AND('Revenue Jrnl'!G157&lt;&gt;"",'Revenue Jrnl'!C157&lt;&gt;""),1,0)</f>
        <v>0</v>
      </c>
      <c r="C151" s="517">
        <f>'Revenue Jrnl'!$C157</f>
        <v>0</v>
      </c>
      <c r="D151" s="518">
        <f>'Revenue Jrnl'!$D157</f>
        <v>0</v>
      </c>
      <c r="E151" s="1523">
        <f>'Revenue Jrnl'!$F157</f>
        <v>0</v>
      </c>
      <c r="F151" s="1523"/>
      <c r="G151" s="519" t="str">
        <f>IF('Revenue Jrnl'!$E157="","",'Revenue Jrnl'!$E157)</f>
        <v/>
      </c>
      <c r="H151" s="518">
        <f>'Revenue Jrnl'!H157</f>
        <v>0</v>
      </c>
      <c r="I151" s="518" t="str">
        <f t="shared" si="4"/>
        <v>0</v>
      </c>
      <c r="J151" s="520" t="b">
        <f t="shared" si="5"/>
        <v>0</v>
      </c>
      <c r="K151" s="521">
        <f>'Revenue Jrnl'!$G157</f>
        <v>0</v>
      </c>
      <c r="L151" s="522"/>
      <c r="M151" s="523"/>
      <c r="N151" s="524"/>
    </row>
    <row r="152" spans="2:14" s="1" customFormat="1" ht="30" hidden="1" customHeight="1" x14ac:dyDescent="0.2">
      <c r="B152" s="517">
        <f>IF(AND('Revenue Jrnl'!G158&lt;&gt;"",'Revenue Jrnl'!C158&lt;&gt;""),1,0)</f>
        <v>0</v>
      </c>
      <c r="C152" s="517">
        <f>'Revenue Jrnl'!$C158</f>
        <v>0</v>
      </c>
      <c r="D152" s="518">
        <f>'Revenue Jrnl'!$D158</f>
        <v>0</v>
      </c>
      <c r="E152" s="1523">
        <f>'Revenue Jrnl'!$F158</f>
        <v>0</v>
      </c>
      <c r="F152" s="1523"/>
      <c r="G152" s="519" t="str">
        <f>IF('Revenue Jrnl'!$E158="","",'Revenue Jrnl'!$E158)</f>
        <v/>
      </c>
      <c r="H152" s="518">
        <f>'Revenue Jrnl'!H158</f>
        <v>0</v>
      </c>
      <c r="I152" s="518" t="str">
        <f t="shared" si="4"/>
        <v>0</v>
      </c>
      <c r="J152" s="520" t="b">
        <f t="shared" si="5"/>
        <v>0</v>
      </c>
      <c r="K152" s="521">
        <f>'Revenue Jrnl'!$G158</f>
        <v>0</v>
      </c>
      <c r="L152" s="522"/>
      <c r="M152" s="523"/>
      <c r="N152" s="524"/>
    </row>
    <row r="153" spans="2:14" s="1" customFormat="1" ht="30" hidden="1" customHeight="1" x14ac:dyDescent="0.2">
      <c r="B153" s="517">
        <f>IF(AND('Revenue Jrnl'!G159&lt;&gt;"",'Revenue Jrnl'!C159&lt;&gt;""),1,0)</f>
        <v>0</v>
      </c>
      <c r="C153" s="517">
        <f>'Revenue Jrnl'!$C159</f>
        <v>0</v>
      </c>
      <c r="D153" s="518">
        <f>'Revenue Jrnl'!$D159</f>
        <v>0</v>
      </c>
      <c r="E153" s="1523">
        <f>'Revenue Jrnl'!$F159</f>
        <v>0</v>
      </c>
      <c r="F153" s="1523"/>
      <c r="G153" s="519" t="str">
        <f>IF('Revenue Jrnl'!$E159="","",'Revenue Jrnl'!$E159)</f>
        <v/>
      </c>
      <c r="H153" s="518">
        <f>'Revenue Jrnl'!H159</f>
        <v>0</v>
      </c>
      <c r="I153" s="518" t="str">
        <f t="shared" si="4"/>
        <v>0</v>
      </c>
      <c r="J153" s="520" t="b">
        <f t="shared" si="5"/>
        <v>0</v>
      </c>
      <c r="K153" s="521">
        <f>'Revenue Jrnl'!$G159</f>
        <v>0</v>
      </c>
      <c r="L153" s="522"/>
      <c r="M153" s="523"/>
      <c r="N153" s="524"/>
    </row>
    <row r="154" spans="2:14" s="1" customFormat="1" ht="30" hidden="1" customHeight="1" x14ac:dyDescent="0.2">
      <c r="B154" s="517">
        <f>IF(AND('Revenue Jrnl'!G160&lt;&gt;"",'Revenue Jrnl'!C160&lt;&gt;""),1,0)</f>
        <v>0</v>
      </c>
      <c r="C154" s="517">
        <f>'Revenue Jrnl'!$C160</f>
        <v>0</v>
      </c>
      <c r="D154" s="518">
        <f>'Revenue Jrnl'!$D160</f>
        <v>0</v>
      </c>
      <c r="E154" s="1523">
        <f>'Revenue Jrnl'!$F160</f>
        <v>0</v>
      </c>
      <c r="F154" s="1523"/>
      <c r="G154" s="519" t="str">
        <f>IF('Revenue Jrnl'!$E160="","",'Revenue Jrnl'!$E160)</f>
        <v/>
      </c>
      <c r="H154" s="518">
        <f>'Revenue Jrnl'!H160</f>
        <v>0</v>
      </c>
      <c r="I154" s="518" t="str">
        <f t="shared" si="4"/>
        <v>0</v>
      </c>
      <c r="J154" s="520" t="b">
        <f t="shared" si="5"/>
        <v>0</v>
      </c>
      <c r="K154" s="521">
        <f>'Revenue Jrnl'!$G160</f>
        <v>0</v>
      </c>
      <c r="L154" s="522"/>
      <c r="M154" s="523"/>
      <c r="N154" s="524"/>
    </row>
    <row r="155" spans="2:14" s="1" customFormat="1" ht="30" hidden="1" customHeight="1" x14ac:dyDescent="0.2">
      <c r="B155" s="517">
        <f>IF(AND('Revenue Jrnl'!G161&lt;&gt;"",'Revenue Jrnl'!C161&lt;&gt;""),1,0)</f>
        <v>0</v>
      </c>
      <c r="C155" s="517">
        <f>'Revenue Jrnl'!$C161</f>
        <v>0</v>
      </c>
      <c r="D155" s="518">
        <f>'Revenue Jrnl'!$D161</f>
        <v>0</v>
      </c>
      <c r="E155" s="1523">
        <f>'Revenue Jrnl'!$F161</f>
        <v>0</v>
      </c>
      <c r="F155" s="1523"/>
      <c r="G155" s="519" t="str">
        <f>IF('Revenue Jrnl'!$E161="","",'Revenue Jrnl'!$E161)</f>
        <v/>
      </c>
      <c r="H155" s="518">
        <f>'Revenue Jrnl'!H161</f>
        <v>0</v>
      </c>
      <c r="I155" s="518" t="str">
        <f t="shared" si="4"/>
        <v>0</v>
      </c>
      <c r="J155" s="520" t="b">
        <f t="shared" si="5"/>
        <v>0</v>
      </c>
      <c r="K155" s="521">
        <f>'Revenue Jrnl'!$G161</f>
        <v>0</v>
      </c>
      <c r="L155" s="522"/>
      <c r="M155" s="523"/>
      <c r="N155" s="524"/>
    </row>
    <row r="156" spans="2:14" s="1" customFormat="1" ht="30" hidden="1" customHeight="1" x14ac:dyDescent="0.2">
      <c r="B156" s="517">
        <f>IF(AND('Revenue Jrnl'!G162&lt;&gt;"",'Revenue Jrnl'!C162&lt;&gt;""),1,0)</f>
        <v>0</v>
      </c>
      <c r="C156" s="517">
        <f>'Revenue Jrnl'!$C162</f>
        <v>0</v>
      </c>
      <c r="D156" s="518">
        <f>'Revenue Jrnl'!$D162</f>
        <v>0</v>
      </c>
      <c r="E156" s="1523">
        <f>'Revenue Jrnl'!$F162</f>
        <v>0</v>
      </c>
      <c r="F156" s="1523"/>
      <c r="G156" s="519" t="str">
        <f>IF('Revenue Jrnl'!$E162="","",'Revenue Jrnl'!$E162)</f>
        <v/>
      </c>
      <c r="H156" s="518">
        <f>'Revenue Jrnl'!H162</f>
        <v>0</v>
      </c>
      <c r="I156" s="518" t="str">
        <f t="shared" si="4"/>
        <v>0</v>
      </c>
      <c r="J156" s="520" t="b">
        <f t="shared" si="5"/>
        <v>0</v>
      </c>
      <c r="K156" s="521">
        <f>'Revenue Jrnl'!$G162</f>
        <v>0</v>
      </c>
      <c r="L156" s="522"/>
      <c r="M156" s="523"/>
      <c r="N156" s="524"/>
    </row>
    <row r="157" spans="2:14" s="1" customFormat="1" ht="30" hidden="1" customHeight="1" x14ac:dyDescent="0.2">
      <c r="B157" s="517">
        <f>IF(AND('Revenue Jrnl'!G163&lt;&gt;"",'Revenue Jrnl'!C163&lt;&gt;""),1,0)</f>
        <v>0</v>
      </c>
      <c r="C157" s="517">
        <f>'Revenue Jrnl'!$C163</f>
        <v>0</v>
      </c>
      <c r="D157" s="518">
        <f>'Revenue Jrnl'!$D163</f>
        <v>0</v>
      </c>
      <c r="E157" s="1523">
        <f>'Revenue Jrnl'!$F163</f>
        <v>0</v>
      </c>
      <c r="F157" s="1523"/>
      <c r="G157" s="519" t="str">
        <f>IF('Revenue Jrnl'!$E163="","",'Revenue Jrnl'!$E163)</f>
        <v/>
      </c>
      <c r="H157" s="518">
        <f>'Revenue Jrnl'!H163</f>
        <v>0</v>
      </c>
      <c r="I157" s="518" t="str">
        <f t="shared" si="4"/>
        <v>0</v>
      </c>
      <c r="J157" s="520" t="b">
        <f t="shared" si="5"/>
        <v>0</v>
      </c>
      <c r="K157" s="521">
        <f>'Revenue Jrnl'!$G163</f>
        <v>0</v>
      </c>
      <c r="L157" s="522"/>
      <c r="M157" s="523"/>
      <c r="N157" s="524"/>
    </row>
    <row r="158" spans="2:14" s="1" customFormat="1" ht="30" hidden="1" customHeight="1" x14ac:dyDescent="0.2">
      <c r="B158" s="517">
        <f>IF(AND('Revenue Jrnl'!G164&lt;&gt;"",'Revenue Jrnl'!C164&lt;&gt;""),1,0)</f>
        <v>0</v>
      </c>
      <c r="C158" s="517">
        <f>'Revenue Jrnl'!$C164</f>
        <v>0</v>
      </c>
      <c r="D158" s="518">
        <f>'Revenue Jrnl'!$D164</f>
        <v>0</v>
      </c>
      <c r="E158" s="1523">
        <f>'Revenue Jrnl'!$F164</f>
        <v>0</v>
      </c>
      <c r="F158" s="1523"/>
      <c r="G158" s="519" t="str">
        <f>IF('Revenue Jrnl'!$E164="","",'Revenue Jrnl'!$E164)</f>
        <v/>
      </c>
      <c r="H158" s="518">
        <f>'Revenue Jrnl'!H164</f>
        <v>0</v>
      </c>
      <c r="I158" s="518" t="str">
        <f t="shared" si="4"/>
        <v>0</v>
      </c>
      <c r="J158" s="520" t="b">
        <f t="shared" si="5"/>
        <v>0</v>
      </c>
      <c r="K158" s="521">
        <f>'Revenue Jrnl'!$G164</f>
        <v>0</v>
      </c>
      <c r="L158" s="522"/>
      <c r="M158" s="523"/>
      <c r="N158" s="524"/>
    </row>
    <row r="159" spans="2:14" s="1" customFormat="1" ht="30" hidden="1" customHeight="1" x14ac:dyDescent="0.2">
      <c r="B159" s="517">
        <f>IF(AND('Revenue Jrnl'!G165&lt;&gt;"",'Revenue Jrnl'!C165&lt;&gt;""),1,0)</f>
        <v>0</v>
      </c>
      <c r="C159" s="517">
        <f>'Revenue Jrnl'!$C165</f>
        <v>0</v>
      </c>
      <c r="D159" s="518">
        <f>'Revenue Jrnl'!$D165</f>
        <v>0</v>
      </c>
      <c r="E159" s="1523">
        <f>'Revenue Jrnl'!$F165</f>
        <v>0</v>
      </c>
      <c r="F159" s="1523"/>
      <c r="G159" s="519" t="str">
        <f>IF('Revenue Jrnl'!$E165="","",'Revenue Jrnl'!$E165)</f>
        <v/>
      </c>
      <c r="H159" s="518">
        <f>'Revenue Jrnl'!H165</f>
        <v>0</v>
      </c>
      <c r="I159" s="518" t="str">
        <f t="shared" si="4"/>
        <v>0</v>
      </c>
      <c r="J159" s="520" t="b">
        <f t="shared" si="5"/>
        <v>0</v>
      </c>
      <c r="K159" s="521">
        <f>'Revenue Jrnl'!$G165</f>
        <v>0</v>
      </c>
      <c r="L159" s="522"/>
      <c r="M159" s="523"/>
      <c r="N159" s="524"/>
    </row>
    <row r="160" spans="2:14" s="1" customFormat="1" ht="30" hidden="1" customHeight="1" x14ac:dyDescent="0.2">
      <c r="B160" s="517">
        <f>IF(AND('Revenue Jrnl'!G166&lt;&gt;"",'Revenue Jrnl'!C166&lt;&gt;""),1,0)</f>
        <v>0</v>
      </c>
      <c r="C160" s="517">
        <f>'Revenue Jrnl'!$C166</f>
        <v>0</v>
      </c>
      <c r="D160" s="518">
        <f>'Revenue Jrnl'!$D166</f>
        <v>0</v>
      </c>
      <c r="E160" s="1523">
        <f>'Revenue Jrnl'!$F166</f>
        <v>0</v>
      </c>
      <c r="F160" s="1523"/>
      <c r="G160" s="519" t="str">
        <f>IF('Revenue Jrnl'!$E166="","",'Revenue Jrnl'!$E166)</f>
        <v/>
      </c>
      <c r="H160" s="518">
        <f>'Revenue Jrnl'!H166</f>
        <v>0</v>
      </c>
      <c r="I160" s="518" t="str">
        <f t="shared" si="4"/>
        <v>0</v>
      </c>
      <c r="J160" s="520" t="b">
        <f t="shared" si="5"/>
        <v>0</v>
      </c>
      <c r="K160" s="521">
        <f>'Revenue Jrnl'!$G166</f>
        <v>0</v>
      </c>
      <c r="L160" s="522"/>
      <c r="M160" s="523"/>
      <c r="N160" s="524"/>
    </row>
    <row r="161" spans="2:14" s="1" customFormat="1" ht="30" hidden="1" customHeight="1" x14ac:dyDescent="0.2">
      <c r="B161" s="517">
        <f>IF(AND('Revenue Jrnl'!G167&lt;&gt;"",'Revenue Jrnl'!C167&lt;&gt;""),1,0)</f>
        <v>0</v>
      </c>
      <c r="C161" s="517">
        <f>'Revenue Jrnl'!$C167</f>
        <v>0</v>
      </c>
      <c r="D161" s="518">
        <f>'Revenue Jrnl'!$D167</f>
        <v>0</v>
      </c>
      <c r="E161" s="1523">
        <f>'Revenue Jrnl'!$F167</f>
        <v>0</v>
      </c>
      <c r="F161" s="1523"/>
      <c r="G161" s="519" t="str">
        <f>IF('Revenue Jrnl'!$E167="","",'Revenue Jrnl'!$E167)</f>
        <v/>
      </c>
      <c r="H161" s="518">
        <f>'Revenue Jrnl'!H167</f>
        <v>0</v>
      </c>
      <c r="I161" s="518" t="str">
        <f t="shared" si="4"/>
        <v>0</v>
      </c>
      <c r="J161" s="520" t="b">
        <f t="shared" si="5"/>
        <v>0</v>
      </c>
      <c r="K161" s="521">
        <f>'Revenue Jrnl'!$G167</f>
        <v>0</v>
      </c>
      <c r="L161" s="522"/>
      <c r="M161" s="523"/>
      <c r="N161" s="524"/>
    </row>
    <row r="162" spans="2:14" s="1" customFormat="1" ht="30" hidden="1" customHeight="1" x14ac:dyDescent="0.2">
      <c r="B162" s="517">
        <f>IF(AND('Revenue Jrnl'!G168&lt;&gt;"",'Revenue Jrnl'!C168&lt;&gt;""),1,0)</f>
        <v>0</v>
      </c>
      <c r="C162" s="517">
        <f>'Revenue Jrnl'!$C168</f>
        <v>0</v>
      </c>
      <c r="D162" s="518">
        <f>'Revenue Jrnl'!$D168</f>
        <v>0</v>
      </c>
      <c r="E162" s="1523">
        <f>'Revenue Jrnl'!$F168</f>
        <v>0</v>
      </c>
      <c r="F162" s="1523"/>
      <c r="G162" s="519" t="str">
        <f>IF('Revenue Jrnl'!$E168="","",'Revenue Jrnl'!$E168)</f>
        <v/>
      </c>
      <c r="H162" s="518">
        <f>'Revenue Jrnl'!H168</f>
        <v>0</v>
      </c>
      <c r="I162" s="518" t="str">
        <f t="shared" si="4"/>
        <v>0</v>
      </c>
      <c r="J162" s="520" t="b">
        <f t="shared" si="5"/>
        <v>0</v>
      </c>
      <c r="K162" s="521">
        <f>'Revenue Jrnl'!$G168</f>
        <v>0</v>
      </c>
      <c r="L162" s="522"/>
      <c r="M162" s="523"/>
      <c r="N162" s="524"/>
    </row>
    <row r="163" spans="2:14" s="1" customFormat="1" ht="30" hidden="1" customHeight="1" x14ac:dyDescent="0.2">
      <c r="B163" s="517">
        <f>IF(AND('Revenue Jrnl'!G169&lt;&gt;"",'Revenue Jrnl'!C169&lt;&gt;""),1,0)</f>
        <v>0</v>
      </c>
      <c r="C163" s="517">
        <f>'Revenue Jrnl'!$C169</f>
        <v>0</v>
      </c>
      <c r="D163" s="518">
        <f>'Revenue Jrnl'!$D169</f>
        <v>0</v>
      </c>
      <c r="E163" s="1523">
        <f>'Revenue Jrnl'!$F169</f>
        <v>0</v>
      </c>
      <c r="F163" s="1523"/>
      <c r="G163" s="519" t="str">
        <f>IF('Revenue Jrnl'!$E169="","",'Revenue Jrnl'!$E169)</f>
        <v/>
      </c>
      <c r="H163" s="518">
        <f>'Revenue Jrnl'!H169</f>
        <v>0</v>
      </c>
      <c r="I163" s="518" t="str">
        <f t="shared" si="4"/>
        <v>0</v>
      </c>
      <c r="J163" s="520" t="b">
        <f t="shared" si="5"/>
        <v>0</v>
      </c>
      <c r="K163" s="521">
        <f>'Revenue Jrnl'!$G169</f>
        <v>0</v>
      </c>
      <c r="L163" s="522"/>
      <c r="M163" s="523"/>
      <c r="N163" s="524"/>
    </row>
    <row r="164" spans="2:14" s="1" customFormat="1" ht="30" hidden="1" customHeight="1" x14ac:dyDescent="0.2">
      <c r="B164" s="517">
        <f>IF(AND('Revenue Jrnl'!G170&lt;&gt;"",'Revenue Jrnl'!C170&lt;&gt;""),1,0)</f>
        <v>0</v>
      </c>
      <c r="C164" s="517">
        <f>'Revenue Jrnl'!$C170</f>
        <v>0</v>
      </c>
      <c r="D164" s="518">
        <f>'Revenue Jrnl'!$D170</f>
        <v>0</v>
      </c>
      <c r="E164" s="1523">
        <f>'Revenue Jrnl'!$F170</f>
        <v>0</v>
      </c>
      <c r="F164" s="1523"/>
      <c r="G164" s="519" t="str">
        <f>IF('Revenue Jrnl'!$E170="","",'Revenue Jrnl'!$E170)</f>
        <v/>
      </c>
      <c r="H164" s="518">
        <f>'Revenue Jrnl'!H170</f>
        <v>0</v>
      </c>
      <c r="I164" s="518" t="str">
        <f t="shared" si="4"/>
        <v>0</v>
      </c>
      <c r="J164" s="520" t="b">
        <f t="shared" si="5"/>
        <v>0</v>
      </c>
      <c r="K164" s="521">
        <f>'Revenue Jrnl'!$G170</f>
        <v>0</v>
      </c>
      <c r="L164" s="522"/>
      <c r="M164" s="523"/>
      <c r="N164" s="524"/>
    </row>
    <row r="165" spans="2:14" s="1" customFormat="1" ht="30" hidden="1" customHeight="1" x14ac:dyDescent="0.2">
      <c r="B165" s="517">
        <f>IF(AND('Revenue Jrnl'!G171&lt;&gt;"",'Revenue Jrnl'!C171&lt;&gt;""),1,0)</f>
        <v>0</v>
      </c>
      <c r="C165" s="517">
        <f>'Revenue Jrnl'!$C171</f>
        <v>0</v>
      </c>
      <c r="D165" s="518">
        <f>'Revenue Jrnl'!$D171</f>
        <v>0</v>
      </c>
      <c r="E165" s="1523">
        <f>'Revenue Jrnl'!$F171</f>
        <v>0</v>
      </c>
      <c r="F165" s="1523"/>
      <c r="G165" s="519" t="str">
        <f>IF('Revenue Jrnl'!$E171="","",'Revenue Jrnl'!$E171)</f>
        <v/>
      </c>
      <c r="H165" s="518">
        <f>'Revenue Jrnl'!H171</f>
        <v>0</v>
      </c>
      <c r="I165" s="518" t="str">
        <f t="shared" si="4"/>
        <v>0</v>
      </c>
      <c r="J165" s="520" t="b">
        <f t="shared" si="5"/>
        <v>0</v>
      </c>
      <c r="K165" s="521">
        <f>'Revenue Jrnl'!$G171</f>
        <v>0</v>
      </c>
      <c r="L165" s="522"/>
      <c r="M165" s="523"/>
      <c r="N165" s="524"/>
    </row>
    <row r="166" spans="2:14" s="1" customFormat="1" ht="30" hidden="1" customHeight="1" x14ac:dyDescent="0.2">
      <c r="B166" s="517">
        <f>IF(AND('Revenue Jrnl'!G172&lt;&gt;"",'Revenue Jrnl'!C172&lt;&gt;""),1,0)</f>
        <v>0</v>
      </c>
      <c r="C166" s="517">
        <f>'Revenue Jrnl'!$C172</f>
        <v>0</v>
      </c>
      <c r="D166" s="518">
        <f>'Revenue Jrnl'!$D172</f>
        <v>0</v>
      </c>
      <c r="E166" s="1523">
        <f>'Revenue Jrnl'!$F172</f>
        <v>0</v>
      </c>
      <c r="F166" s="1523"/>
      <c r="G166" s="519" t="str">
        <f>IF('Revenue Jrnl'!$E172="","",'Revenue Jrnl'!$E172)</f>
        <v/>
      </c>
      <c r="H166" s="518">
        <f>'Revenue Jrnl'!H172</f>
        <v>0</v>
      </c>
      <c r="I166" s="518" t="str">
        <f t="shared" si="4"/>
        <v>0</v>
      </c>
      <c r="J166" s="520" t="b">
        <f t="shared" si="5"/>
        <v>0</v>
      </c>
      <c r="K166" s="521">
        <f>'Revenue Jrnl'!$G172</f>
        <v>0</v>
      </c>
      <c r="L166" s="522"/>
      <c r="M166" s="523"/>
      <c r="N166" s="524"/>
    </row>
    <row r="167" spans="2:14" s="1" customFormat="1" ht="30" hidden="1" customHeight="1" x14ac:dyDescent="0.2">
      <c r="B167" s="517">
        <f>IF(AND('Revenue Jrnl'!G173&lt;&gt;"",'Revenue Jrnl'!C173&lt;&gt;""),1,0)</f>
        <v>0</v>
      </c>
      <c r="C167" s="517">
        <f>'Revenue Jrnl'!$C173</f>
        <v>0</v>
      </c>
      <c r="D167" s="518">
        <f>'Revenue Jrnl'!$D173</f>
        <v>0</v>
      </c>
      <c r="E167" s="1523">
        <f>'Revenue Jrnl'!$F173</f>
        <v>0</v>
      </c>
      <c r="F167" s="1523"/>
      <c r="G167" s="519" t="str">
        <f>IF('Revenue Jrnl'!$E173="","",'Revenue Jrnl'!$E173)</f>
        <v/>
      </c>
      <c r="H167" s="518">
        <f>'Revenue Jrnl'!H173</f>
        <v>0</v>
      </c>
      <c r="I167" s="518" t="str">
        <f t="shared" si="4"/>
        <v>0</v>
      </c>
      <c r="J167" s="520" t="b">
        <f t="shared" si="5"/>
        <v>0</v>
      </c>
      <c r="K167" s="521">
        <f>'Revenue Jrnl'!$G173</f>
        <v>0</v>
      </c>
      <c r="L167" s="522"/>
      <c r="M167" s="523"/>
      <c r="N167" s="524"/>
    </row>
    <row r="168" spans="2:14" s="1" customFormat="1" ht="30" hidden="1" customHeight="1" x14ac:dyDescent="0.2">
      <c r="B168" s="517">
        <f>IF(AND('Revenue Jrnl'!G174&lt;&gt;"",'Revenue Jrnl'!C174&lt;&gt;""),1,0)</f>
        <v>0</v>
      </c>
      <c r="C168" s="517">
        <f>'Revenue Jrnl'!$C174</f>
        <v>0</v>
      </c>
      <c r="D168" s="518">
        <f>'Revenue Jrnl'!$D174</f>
        <v>0</v>
      </c>
      <c r="E168" s="1523">
        <f>'Revenue Jrnl'!$F174</f>
        <v>0</v>
      </c>
      <c r="F168" s="1523"/>
      <c r="G168" s="519" t="str">
        <f>IF('Revenue Jrnl'!$E174="","",'Revenue Jrnl'!$E174)</f>
        <v/>
      </c>
      <c r="H168" s="518">
        <f>'Revenue Jrnl'!H174</f>
        <v>0</v>
      </c>
      <c r="I168" s="518" t="str">
        <f t="shared" si="4"/>
        <v>0</v>
      </c>
      <c r="J168" s="520" t="b">
        <f t="shared" si="5"/>
        <v>0</v>
      </c>
      <c r="K168" s="521">
        <f>'Revenue Jrnl'!$G174</f>
        <v>0</v>
      </c>
      <c r="L168" s="522"/>
      <c r="M168" s="523"/>
      <c r="N168" s="524"/>
    </row>
    <row r="169" spans="2:14" s="1" customFormat="1" ht="30" hidden="1" customHeight="1" x14ac:dyDescent="0.2">
      <c r="B169" s="517">
        <f>IF(AND('Revenue Jrnl'!G175&lt;&gt;"",'Revenue Jrnl'!C175&lt;&gt;""),1,0)</f>
        <v>0</v>
      </c>
      <c r="C169" s="517">
        <f>'Revenue Jrnl'!$C175</f>
        <v>0</v>
      </c>
      <c r="D169" s="518">
        <f>'Revenue Jrnl'!$D175</f>
        <v>0</v>
      </c>
      <c r="E169" s="1523">
        <f>'Revenue Jrnl'!$F175</f>
        <v>0</v>
      </c>
      <c r="F169" s="1523"/>
      <c r="G169" s="519" t="str">
        <f>IF('Revenue Jrnl'!$E175="","",'Revenue Jrnl'!$E175)</f>
        <v/>
      </c>
      <c r="H169" s="518">
        <f>'Revenue Jrnl'!H175</f>
        <v>0</v>
      </c>
      <c r="I169" s="518" t="str">
        <f t="shared" si="4"/>
        <v>0</v>
      </c>
      <c r="J169" s="520" t="b">
        <f t="shared" si="5"/>
        <v>0</v>
      </c>
      <c r="K169" s="521">
        <f>'Revenue Jrnl'!$G175</f>
        <v>0</v>
      </c>
      <c r="L169" s="522"/>
      <c r="M169" s="523"/>
      <c r="N169" s="524"/>
    </row>
    <row r="170" spans="2:14" s="1" customFormat="1" ht="30" hidden="1" customHeight="1" x14ac:dyDescent="0.2">
      <c r="B170" s="517">
        <f>IF(AND('Revenue Jrnl'!G176&lt;&gt;"",'Revenue Jrnl'!C176&lt;&gt;""),1,0)</f>
        <v>0</v>
      </c>
      <c r="C170" s="517">
        <f>'Revenue Jrnl'!$C176</f>
        <v>0</v>
      </c>
      <c r="D170" s="518">
        <f>'Revenue Jrnl'!$D176</f>
        <v>0</v>
      </c>
      <c r="E170" s="1523">
        <f>'Revenue Jrnl'!$F176</f>
        <v>0</v>
      </c>
      <c r="F170" s="1523"/>
      <c r="G170" s="519" t="str">
        <f>IF('Revenue Jrnl'!$E176="","",'Revenue Jrnl'!$E176)</f>
        <v/>
      </c>
      <c r="H170" s="518">
        <f>'Revenue Jrnl'!H176</f>
        <v>0</v>
      </c>
      <c r="I170" s="518" t="str">
        <f t="shared" si="4"/>
        <v>0</v>
      </c>
      <c r="J170" s="520" t="b">
        <f t="shared" si="5"/>
        <v>0</v>
      </c>
      <c r="K170" s="521">
        <f>'Revenue Jrnl'!$G176</f>
        <v>0</v>
      </c>
      <c r="L170" s="522"/>
      <c r="M170" s="523"/>
      <c r="N170" s="524"/>
    </row>
    <row r="171" spans="2:14" s="1" customFormat="1" ht="30" hidden="1" customHeight="1" x14ac:dyDescent="0.2">
      <c r="B171" s="517">
        <f>IF(AND('Revenue Jrnl'!G177&lt;&gt;"",'Revenue Jrnl'!C177&lt;&gt;""),1,0)</f>
        <v>0</v>
      </c>
      <c r="C171" s="517">
        <f>'Revenue Jrnl'!$C177</f>
        <v>0</v>
      </c>
      <c r="D171" s="518">
        <f>'Revenue Jrnl'!$D177</f>
        <v>0</v>
      </c>
      <c r="E171" s="1523">
        <f>'Revenue Jrnl'!$F177</f>
        <v>0</v>
      </c>
      <c r="F171" s="1523"/>
      <c r="G171" s="519" t="str">
        <f>IF('Revenue Jrnl'!$E177="","",'Revenue Jrnl'!$E177)</f>
        <v/>
      </c>
      <c r="H171" s="518">
        <f>'Revenue Jrnl'!H177</f>
        <v>0</v>
      </c>
      <c r="I171" s="518" t="str">
        <f t="shared" si="4"/>
        <v>0</v>
      </c>
      <c r="J171" s="520" t="b">
        <f t="shared" si="5"/>
        <v>0</v>
      </c>
      <c r="K171" s="521">
        <f>'Revenue Jrnl'!$G177</f>
        <v>0</v>
      </c>
      <c r="L171" s="522"/>
      <c r="M171" s="523"/>
      <c r="N171" s="524"/>
    </row>
    <row r="172" spans="2:14" s="1" customFormat="1" ht="30" hidden="1" customHeight="1" x14ac:dyDescent="0.2">
      <c r="B172" s="517">
        <f>IF(AND('Revenue Jrnl'!G178&lt;&gt;"",'Revenue Jrnl'!C178&lt;&gt;""),1,0)</f>
        <v>0</v>
      </c>
      <c r="C172" s="517">
        <f>'Revenue Jrnl'!$C178</f>
        <v>0</v>
      </c>
      <c r="D172" s="518">
        <f>'Revenue Jrnl'!$D178</f>
        <v>0</v>
      </c>
      <c r="E172" s="1523">
        <f>'Revenue Jrnl'!$F178</f>
        <v>0</v>
      </c>
      <c r="F172" s="1523"/>
      <c r="G172" s="519" t="str">
        <f>IF('Revenue Jrnl'!$E178="","",'Revenue Jrnl'!$E178)</f>
        <v/>
      </c>
      <c r="H172" s="518">
        <f>'Revenue Jrnl'!H178</f>
        <v>0</v>
      </c>
      <c r="I172" s="518" t="str">
        <f t="shared" si="4"/>
        <v>0</v>
      </c>
      <c r="J172" s="520" t="b">
        <f t="shared" si="5"/>
        <v>0</v>
      </c>
      <c r="K172" s="521">
        <f>'Revenue Jrnl'!$G178</f>
        <v>0</v>
      </c>
      <c r="L172" s="522"/>
      <c r="M172" s="523"/>
      <c r="N172" s="524"/>
    </row>
    <row r="173" spans="2:14" s="1" customFormat="1" ht="30" hidden="1" customHeight="1" x14ac:dyDescent="0.2">
      <c r="B173" s="517">
        <f>IF(AND('Revenue Jrnl'!G179&lt;&gt;"",'Revenue Jrnl'!C179&lt;&gt;""),1,0)</f>
        <v>0</v>
      </c>
      <c r="C173" s="517">
        <f>'Revenue Jrnl'!$C179</f>
        <v>0</v>
      </c>
      <c r="D173" s="518">
        <f>'Revenue Jrnl'!$D179</f>
        <v>0</v>
      </c>
      <c r="E173" s="1523">
        <f>'Revenue Jrnl'!$F179</f>
        <v>0</v>
      </c>
      <c r="F173" s="1523"/>
      <c r="G173" s="519" t="str">
        <f>IF('Revenue Jrnl'!$E179="","",'Revenue Jrnl'!$E179)</f>
        <v/>
      </c>
      <c r="H173" s="518">
        <f>'Revenue Jrnl'!H179</f>
        <v>0</v>
      </c>
      <c r="I173" s="518" t="str">
        <f t="shared" si="4"/>
        <v>0</v>
      </c>
      <c r="J173" s="520" t="b">
        <f t="shared" si="5"/>
        <v>0</v>
      </c>
      <c r="K173" s="521">
        <f>'Revenue Jrnl'!$G179</f>
        <v>0</v>
      </c>
      <c r="L173" s="522"/>
      <c r="M173" s="523"/>
      <c r="N173" s="524"/>
    </row>
    <row r="174" spans="2:14" s="1" customFormat="1" ht="30" hidden="1" customHeight="1" x14ac:dyDescent="0.2">
      <c r="B174" s="517">
        <f>IF(AND('Revenue Jrnl'!G180&lt;&gt;"",'Revenue Jrnl'!C180&lt;&gt;""),1,0)</f>
        <v>0</v>
      </c>
      <c r="C174" s="517">
        <f>'Revenue Jrnl'!$C180</f>
        <v>0</v>
      </c>
      <c r="D174" s="518">
        <f>'Revenue Jrnl'!$D180</f>
        <v>0</v>
      </c>
      <c r="E174" s="1523">
        <f>'Revenue Jrnl'!$F180</f>
        <v>0</v>
      </c>
      <c r="F174" s="1523"/>
      <c r="G174" s="519" t="str">
        <f>IF('Revenue Jrnl'!$E180="","",'Revenue Jrnl'!$E180)</f>
        <v/>
      </c>
      <c r="H174" s="518">
        <f>'Revenue Jrnl'!H180</f>
        <v>0</v>
      </c>
      <c r="I174" s="518" t="str">
        <f t="shared" si="4"/>
        <v>0</v>
      </c>
      <c r="J174" s="520" t="b">
        <f t="shared" si="5"/>
        <v>0</v>
      </c>
      <c r="K174" s="521">
        <f>'Revenue Jrnl'!$G180</f>
        <v>0</v>
      </c>
      <c r="L174" s="522"/>
      <c r="M174" s="523"/>
      <c r="N174" s="524"/>
    </row>
    <row r="175" spans="2:14" s="1" customFormat="1" ht="30" hidden="1" customHeight="1" x14ac:dyDescent="0.2">
      <c r="B175" s="517">
        <f>IF(AND('Revenue Jrnl'!G181&lt;&gt;"",'Revenue Jrnl'!C181&lt;&gt;""),1,0)</f>
        <v>0</v>
      </c>
      <c r="C175" s="517">
        <f>'Revenue Jrnl'!$C181</f>
        <v>0</v>
      </c>
      <c r="D175" s="518">
        <f>'Revenue Jrnl'!$D181</f>
        <v>0</v>
      </c>
      <c r="E175" s="1523">
        <f>'Revenue Jrnl'!$F181</f>
        <v>0</v>
      </c>
      <c r="F175" s="1523"/>
      <c r="G175" s="519" t="str">
        <f>IF('Revenue Jrnl'!$E181="","",'Revenue Jrnl'!$E181)</f>
        <v/>
      </c>
      <c r="H175" s="518">
        <f>'Revenue Jrnl'!H181</f>
        <v>0</v>
      </c>
      <c r="I175" s="518" t="str">
        <f t="shared" si="4"/>
        <v>0</v>
      </c>
      <c r="J175" s="520" t="b">
        <f t="shared" si="5"/>
        <v>0</v>
      </c>
      <c r="K175" s="521">
        <f>'Revenue Jrnl'!$G181</f>
        <v>0</v>
      </c>
      <c r="L175" s="522"/>
      <c r="M175" s="523"/>
      <c r="N175" s="524"/>
    </row>
    <row r="176" spans="2:14" s="1" customFormat="1" ht="30" hidden="1" customHeight="1" x14ac:dyDescent="0.2">
      <c r="B176" s="517">
        <f>IF(AND('Revenue Jrnl'!G182&lt;&gt;"",'Revenue Jrnl'!C182&lt;&gt;""),1,0)</f>
        <v>0</v>
      </c>
      <c r="C176" s="517">
        <f>'Revenue Jrnl'!$C182</f>
        <v>0</v>
      </c>
      <c r="D176" s="518">
        <f>'Revenue Jrnl'!$D182</f>
        <v>0</v>
      </c>
      <c r="E176" s="1523">
        <f>'Revenue Jrnl'!$F182</f>
        <v>0</v>
      </c>
      <c r="F176" s="1523"/>
      <c r="G176" s="519" t="str">
        <f>IF('Revenue Jrnl'!$E182="","",'Revenue Jrnl'!$E182)</f>
        <v/>
      </c>
      <c r="H176" s="518">
        <f>'Revenue Jrnl'!H182</f>
        <v>0</v>
      </c>
      <c r="I176" s="518" t="str">
        <f t="shared" si="4"/>
        <v>0</v>
      </c>
      <c r="J176" s="520" t="b">
        <f t="shared" si="5"/>
        <v>0</v>
      </c>
      <c r="K176" s="521">
        <f>'Revenue Jrnl'!$G182</f>
        <v>0</v>
      </c>
      <c r="L176" s="522"/>
      <c r="M176" s="523"/>
      <c r="N176" s="524"/>
    </row>
    <row r="177" spans="2:14" s="1" customFormat="1" ht="30" hidden="1" customHeight="1" x14ac:dyDescent="0.2">
      <c r="B177" s="517">
        <f>IF(AND('Revenue Jrnl'!G183&lt;&gt;"",'Revenue Jrnl'!C183&lt;&gt;""),1,0)</f>
        <v>0</v>
      </c>
      <c r="C177" s="517">
        <f>'Revenue Jrnl'!$C183</f>
        <v>0</v>
      </c>
      <c r="D177" s="518">
        <f>'Revenue Jrnl'!$D183</f>
        <v>0</v>
      </c>
      <c r="E177" s="1523">
        <f>'Revenue Jrnl'!$F183</f>
        <v>0</v>
      </c>
      <c r="F177" s="1523"/>
      <c r="G177" s="519" t="str">
        <f>IF('Revenue Jrnl'!$E183="","",'Revenue Jrnl'!$E183)</f>
        <v/>
      </c>
      <c r="H177" s="518">
        <f>'Revenue Jrnl'!H183</f>
        <v>0</v>
      </c>
      <c r="I177" s="518" t="str">
        <f t="shared" si="4"/>
        <v>0</v>
      </c>
      <c r="J177" s="520" t="b">
        <f t="shared" si="5"/>
        <v>0</v>
      </c>
      <c r="K177" s="521">
        <f>'Revenue Jrnl'!$G183</f>
        <v>0</v>
      </c>
      <c r="L177" s="522"/>
      <c r="M177" s="523"/>
      <c r="N177" s="524"/>
    </row>
    <row r="178" spans="2:14" s="1" customFormat="1" ht="30" hidden="1" customHeight="1" x14ac:dyDescent="0.2">
      <c r="B178" s="517">
        <f>IF(AND('Revenue Jrnl'!G184&lt;&gt;"",'Revenue Jrnl'!C184&lt;&gt;""),1,0)</f>
        <v>0</v>
      </c>
      <c r="C178" s="517">
        <f>'Revenue Jrnl'!$C184</f>
        <v>0</v>
      </c>
      <c r="D178" s="518">
        <f>'Revenue Jrnl'!$D184</f>
        <v>0</v>
      </c>
      <c r="E178" s="1523">
        <f>'Revenue Jrnl'!$F184</f>
        <v>0</v>
      </c>
      <c r="F178" s="1523"/>
      <c r="G178" s="519" t="str">
        <f>IF('Revenue Jrnl'!$E184="","",'Revenue Jrnl'!$E184)</f>
        <v/>
      </c>
      <c r="H178" s="518">
        <f>'Revenue Jrnl'!H184</f>
        <v>0</v>
      </c>
      <c r="I178" s="518" t="str">
        <f t="shared" si="4"/>
        <v>0</v>
      </c>
      <c r="J178" s="520" t="b">
        <f t="shared" si="5"/>
        <v>0</v>
      </c>
      <c r="K178" s="521">
        <f>'Revenue Jrnl'!$G184</f>
        <v>0</v>
      </c>
      <c r="L178" s="522"/>
      <c r="M178" s="523"/>
      <c r="N178" s="524"/>
    </row>
    <row r="179" spans="2:14" s="1" customFormat="1" ht="30" hidden="1" customHeight="1" x14ac:dyDescent="0.2">
      <c r="B179" s="517">
        <f>IF(AND('Revenue Jrnl'!G185&lt;&gt;"",'Revenue Jrnl'!C185&lt;&gt;""),1,0)</f>
        <v>0</v>
      </c>
      <c r="C179" s="517">
        <f>'Revenue Jrnl'!$C185</f>
        <v>0</v>
      </c>
      <c r="D179" s="518">
        <f>'Revenue Jrnl'!$D185</f>
        <v>0</v>
      </c>
      <c r="E179" s="1523">
        <f>'Revenue Jrnl'!$F185</f>
        <v>0</v>
      </c>
      <c r="F179" s="1523"/>
      <c r="G179" s="519" t="str">
        <f>IF('Revenue Jrnl'!$E185="","",'Revenue Jrnl'!$E185)</f>
        <v/>
      </c>
      <c r="H179" s="518">
        <f>'Revenue Jrnl'!H185</f>
        <v>0</v>
      </c>
      <c r="I179" s="518" t="str">
        <f t="shared" si="4"/>
        <v>0</v>
      </c>
      <c r="J179" s="520" t="b">
        <f t="shared" si="5"/>
        <v>0</v>
      </c>
      <c r="K179" s="521">
        <f>'Revenue Jrnl'!$G185</f>
        <v>0</v>
      </c>
      <c r="L179" s="522"/>
      <c r="M179" s="523"/>
      <c r="N179" s="524"/>
    </row>
    <row r="180" spans="2:14" s="1" customFormat="1" ht="30" hidden="1" customHeight="1" x14ac:dyDescent="0.2">
      <c r="B180" s="517">
        <f>IF(AND('Revenue Jrnl'!G186&lt;&gt;"",'Revenue Jrnl'!C186&lt;&gt;""),1,0)</f>
        <v>0</v>
      </c>
      <c r="C180" s="517">
        <f>'Revenue Jrnl'!$C186</f>
        <v>0</v>
      </c>
      <c r="D180" s="518">
        <f>'Revenue Jrnl'!$D186</f>
        <v>0</v>
      </c>
      <c r="E180" s="1523">
        <f>'Revenue Jrnl'!$F186</f>
        <v>0</v>
      </c>
      <c r="F180" s="1523"/>
      <c r="G180" s="519" t="str">
        <f>IF('Revenue Jrnl'!$E186="","",'Revenue Jrnl'!$E186)</f>
        <v/>
      </c>
      <c r="H180" s="518">
        <f>'Revenue Jrnl'!H186</f>
        <v>0</v>
      </c>
      <c r="I180" s="518" t="str">
        <f t="shared" si="4"/>
        <v>0</v>
      </c>
      <c r="J180" s="520" t="b">
        <f t="shared" si="5"/>
        <v>0</v>
      </c>
      <c r="K180" s="521">
        <f>'Revenue Jrnl'!$G186</f>
        <v>0</v>
      </c>
      <c r="L180" s="522"/>
      <c r="M180" s="523"/>
      <c r="N180" s="524"/>
    </row>
    <row r="181" spans="2:14" s="1" customFormat="1" ht="30" hidden="1" customHeight="1" x14ac:dyDescent="0.2">
      <c r="B181" s="517">
        <f>IF(AND('Revenue Jrnl'!G187&lt;&gt;"",'Revenue Jrnl'!C187&lt;&gt;""),1,0)</f>
        <v>0</v>
      </c>
      <c r="C181" s="517">
        <f>'Revenue Jrnl'!$C187</f>
        <v>0</v>
      </c>
      <c r="D181" s="518">
        <f>'Revenue Jrnl'!$D187</f>
        <v>0</v>
      </c>
      <c r="E181" s="1523">
        <f>'Revenue Jrnl'!$F187</f>
        <v>0</v>
      </c>
      <c r="F181" s="1523"/>
      <c r="G181" s="519" t="str">
        <f>IF('Revenue Jrnl'!$E187="","",'Revenue Jrnl'!$E187)</f>
        <v/>
      </c>
      <c r="H181" s="518">
        <f>'Revenue Jrnl'!H187</f>
        <v>0</v>
      </c>
      <c r="I181" s="518" t="str">
        <f t="shared" si="4"/>
        <v>0</v>
      </c>
      <c r="J181" s="520" t="b">
        <f t="shared" si="5"/>
        <v>0</v>
      </c>
      <c r="K181" s="521">
        <f>'Revenue Jrnl'!$G187</f>
        <v>0</v>
      </c>
      <c r="L181" s="522"/>
      <c r="M181" s="523"/>
      <c r="N181" s="524"/>
    </row>
    <row r="182" spans="2:14" s="1" customFormat="1" ht="30" hidden="1" customHeight="1" x14ac:dyDescent="0.2">
      <c r="B182" s="517">
        <f>IF(AND('Revenue Jrnl'!G188&lt;&gt;"",'Revenue Jrnl'!C188&lt;&gt;""),1,0)</f>
        <v>0</v>
      </c>
      <c r="C182" s="517">
        <f>'Revenue Jrnl'!$C188</f>
        <v>0</v>
      </c>
      <c r="D182" s="518">
        <f>'Revenue Jrnl'!$D188</f>
        <v>0</v>
      </c>
      <c r="E182" s="1523">
        <f>'Revenue Jrnl'!$F188</f>
        <v>0</v>
      </c>
      <c r="F182" s="1523"/>
      <c r="G182" s="519" t="str">
        <f>IF('Revenue Jrnl'!$E188="","",'Revenue Jrnl'!$E188)</f>
        <v/>
      </c>
      <c r="H182" s="518">
        <f>'Revenue Jrnl'!H188</f>
        <v>0</v>
      </c>
      <c r="I182" s="518" t="str">
        <f t="shared" si="4"/>
        <v>0</v>
      </c>
      <c r="J182" s="520" t="b">
        <f t="shared" si="5"/>
        <v>0</v>
      </c>
      <c r="K182" s="521">
        <f>'Revenue Jrnl'!$G188</f>
        <v>0</v>
      </c>
      <c r="L182" s="522"/>
      <c r="M182" s="523"/>
      <c r="N182" s="524"/>
    </row>
    <row r="183" spans="2:14" s="1" customFormat="1" ht="30" hidden="1" customHeight="1" x14ac:dyDescent="0.2">
      <c r="B183" s="517">
        <f>IF(AND('Revenue Jrnl'!G189&lt;&gt;"",'Revenue Jrnl'!C189&lt;&gt;""),1,0)</f>
        <v>0</v>
      </c>
      <c r="C183" s="517">
        <f>'Revenue Jrnl'!$C189</f>
        <v>0</v>
      </c>
      <c r="D183" s="518">
        <f>'Revenue Jrnl'!$D189</f>
        <v>0</v>
      </c>
      <c r="E183" s="1523">
        <f>'Revenue Jrnl'!$F189</f>
        <v>0</v>
      </c>
      <c r="F183" s="1523"/>
      <c r="G183" s="519" t="str">
        <f>IF('Revenue Jrnl'!$E189="","",'Revenue Jrnl'!$E189)</f>
        <v/>
      </c>
      <c r="H183" s="518">
        <f>'Revenue Jrnl'!H189</f>
        <v>0</v>
      </c>
      <c r="I183" s="518" t="str">
        <f t="shared" si="4"/>
        <v>0</v>
      </c>
      <c r="J183" s="520" t="b">
        <f t="shared" si="5"/>
        <v>0</v>
      </c>
      <c r="K183" s="521">
        <f>'Revenue Jrnl'!$G189</f>
        <v>0</v>
      </c>
      <c r="L183" s="522"/>
      <c r="M183" s="523"/>
      <c r="N183" s="524"/>
    </row>
    <row r="184" spans="2:14" s="1" customFormat="1" ht="30" hidden="1" customHeight="1" x14ac:dyDescent="0.2">
      <c r="B184" s="517">
        <f>IF(AND('Revenue Jrnl'!G190&lt;&gt;"",'Revenue Jrnl'!C190&lt;&gt;""),1,0)</f>
        <v>0</v>
      </c>
      <c r="C184" s="517">
        <f>'Revenue Jrnl'!$C190</f>
        <v>0</v>
      </c>
      <c r="D184" s="518">
        <f>'Revenue Jrnl'!$D190</f>
        <v>0</v>
      </c>
      <c r="E184" s="1523">
        <f>'Revenue Jrnl'!$F190</f>
        <v>0</v>
      </c>
      <c r="F184" s="1523"/>
      <c r="G184" s="519" t="str">
        <f>IF('Revenue Jrnl'!$E190="","",'Revenue Jrnl'!$E190)</f>
        <v/>
      </c>
      <c r="H184" s="518">
        <f>'Revenue Jrnl'!H190</f>
        <v>0</v>
      </c>
      <c r="I184" s="518" t="str">
        <f t="shared" si="4"/>
        <v>0</v>
      </c>
      <c r="J184" s="520" t="b">
        <f t="shared" si="5"/>
        <v>0</v>
      </c>
      <c r="K184" s="521">
        <f>'Revenue Jrnl'!$G190</f>
        <v>0</v>
      </c>
      <c r="L184" s="522"/>
      <c r="M184" s="523"/>
      <c r="N184" s="524"/>
    </row>
    <row r="185" spans="2:14" s="1" customFormat="1" ht="30" hidden="1" customHeight="1" x14ac:dyDescent="0.2">
      <c r="B185" s="517">
        <f>IF(AND('Revenue Jrnl'!G191&lt;&gt;"",'Revenue Jrnl'!C191&lt;&gt;""),1,0)</f>
        <v>0</v>
      </c>
      <c r="C185" s="517">
        <f>'Revenue Jrnl'!$C191</f>
        <v>0</v>
      </c>
      <c r="D185" s="518">
        <f>'Revenue Jrnl'!$D191</f>
        <v>0</v>
      </c>
      <c r="E185" s="1523">
        <f>'Revenue Jrnl'!$F191</f>
        <v>0</v>
      </c>
      <c r="F185" s="1523"/>
      <c r="G185" s="519" t="str">
        <f>IF('Revenue Jrnl'!$E191="","",'Revenue Jrnl'!$E191)</f>
        <v/>
      </c>
      <c r="H185" s="518">
        <f>'Revenue Jrnl'!H191</f>
        <v>0</v>
      </c>
      <c r="I185" s="518" t="str">
        <f t="shared" si="4"/>
        <v>0</v>
      </c>
      <c r="J185" s="520" t="b">
        <f t="shared" si="5"/>
        <v>0</v>
      </c>
      <c r="K185" s="521">
        <f>'Revenue Jrnl'!$G191</f>
        <v>0</v>
      </c>
      <c r="L185" s="522"/>
      <c r="M185" s="523"/>
      <c r="N185" s="524"/>
    </row>
    <row r="186" spans="2:14" s="1" customFormat="1" ht="30" hidden="1" customHeight="1" x14ac:dyDescent="0.2">
      <c r="B186" s="517">
        <f>IF(AND('Revenue Jrnl'!G192&lt;&gt;"",'Revenue Jrnl'!C192&lt;&gt;""),1,0)</f>
        <v>0</v>
      </c>
      <c r="C186" s="517">
        <f>'Revenue Jrnl'!$C192</f>
        <v>0</v>
      </c>
      <c r="D186" s="518">
        <f>'Revenue Jrnl'!$D192</f>
        <v>0</v>
      </c>
      <c r="E186" s="1523">
        <f>'Revenue Jrnl'!$F192</f>
        <v>0</v>
      </c>
      <c r="F186" s="1523"/>
      <c r="G186" s="519" t="str">
        <f>IF('Revenue Jrnl'!$E192="","",'Revenue Jrnl'!$E192)</f>
        <v/>
      </c>
      <c r="H186" s="518">
        <f>'Revenue Jrnl'!H192</f>
        <v>0</v>
      </c>
      <c r="I186" s="518" t="str">
        <f t="shared" si="4"/>
        <v>0</v>
      </c>
      <c r="J186" s="520" t="b">
        <f t="shared" si="5"/>
        <v>0</v>
      </c>
      <c r="K186" s="521">
        <f>'Revenue Jrnl'!$G192</f>
        <v>0</v>
      </c>
      <c r="L186" s="522"/>
      <c r="M186" s="523"/>
      <c r="N186" s="524"/>
    </row>
    <row r="187" spans="2:14" s="1" customFormat="1" ht="30" hidden="1" customHeight="1" x14ac:dyDescent="0.2">
      <c r="B187" s="517">
        <f>IF(AND('Revenue Jrnl'!G193&lt;&gt;"",'Revenue Jrnl'!C193&lt;&gt;""),1,0)</f>
        <v>0</v>
      </c>
      <c r="C187" s="517">
        <f>'Revenue Jrnl'!$C193</f>
        <v>0</v>
      </c>
      <c r="D187" s="518">
        <f>'Revenue Jrnl'!$D193</f>
        <v>0</v>
      </c>
      <c r="E187" s="1523">
        <f>'Revenue Jrnl'!$F193</f>
        <v>0</v>
      </c>
      <c r="F187" s="1523"/>
      <c r="G187" s="519" t="str">
        <f>IF('Revenue Jrnl'!$E193="","",'Revenue Jrnl'!$E193)</f>
        <v/>
      </c>
      <c r="H187" s="518">
        <f>'Revenue Jrnl'!H193</f>
        <v>0</v>
      </c>
      <c r="I187" s="518" t="str">
        <f t="shared" si="4"/>
        <v>0</v>
      </c>
      <c r="J187" s="520" t="b">
        <f t="shared" si="5"/>
        <v>0</v>
      </c>
      <c r="K187" s="521">
        <f>'Revenue Jrnl'!$G193</f>
        <v>0</v>
      </c>
      <c r="L187" s="522"/>
      <c r="M187" s="523"/>
      <c r="N187" s="524"/>
    </row>
    <row r="188" spans="2:14" s="1" customFormat="1" ht="30" hidden="1" customHeight="1" x14ac:dyDescent="0.2">
      <c r="B188" s="517">
        <f>IF(AND('Revenue Jrnl'!G194&lt;&gt;"",'Revenue Jrnl'!C194&lt;&gt;""),1,0)</f>
        <v>0</v>
      </c>
      <c r="C188" s="517">
        <f>'Revenue Jrnl'!$C194</f>
        <v>0</v>
      </c>
      <c r="D188" s="518">
        <f>'Revenue Jrnl'!$D194</f>
        <v>0</v>
      </c>
      <c r="E188" s="1523">
        <f>'Revenue Jrnl'!$F194</f>
        <v>0</v>
      </c>
      <c r="F188" s="1523"/>
      <c r="G188" s="519" t="str">
        <f>IF('Revenue Jrnl'!$E194="","",'Revenue Jrnl'!$E194)</f>
        <v/>
      </c>
      <c r="H188" s="518">
        <f>'Revenue Jrnl'!H194</f>
        <v>0</v>
      </c>
      <c r="I188" s="518" t="str">
        <f t="shared" si="4"/>
        <v>0</v>
      </c>
      <c r="J188" s="520" t="b">
        <f t="shared" si="5"/>
        <v>0</v>
      </c>
      <c r="K188" s="521">
        <f>'Revenue Jrnl'!$G194</f>
        <v>0</v>
      </c>
      <c r="L188" s="522"/>
      <c r="M188" s="523"/>
      <c r="N188" s="524"/>
    </row>
    <row r="189" spans="2:14" s="1" customFormat="1" ht="30" hidden="1" customHeight="1" x14ac:dyDescent="0.2">
      <c r="B189" s="517">
        <f>IF(AND('Revenue Jrnl'!G195&lt;&gt;"",'Revenue Jrnl'!C195&lt;&gt;""),1,0)</f>
        <v>0</v>
      </c>
      <c r="C189" s="517">
        <f>'Revenue Jrnl'!$C195</f>
        <v>0</v>
      </c>
      <c r="D189" s="518">
        <f>'Revenue Jrnl'!$D195</f>
        <v>0</v>
      </c>
      <c r="E189" s="1523">
        <f>'Revenue Jrnl'!$F195</f>
        <v>0</v>
      </c>
      <c r="F189" s="1523"/>
      <c r="G189" s="519" t="str">
        <f>IF('Revenue Jrnl'!$E195="","",'Revenue Jrnl'!$E195)</f>
        <v/>
      </c>
      <c r="H189" s="518">
        <f>'Revenue Jrnl'!H195</f>
        <v>0</v>
      </c>
      <c r="I189" s="518" t="str">
        <f t="shared" si="4"/>
        <v>0</v>
      </c>
      <c r="J189" s="520" t="b">
        <f t="shared" si="5"/>
        <v>0</v>
      </c>
      <c r="K189" s="521">
        <f>'Revenue Jrnl'!$G195</f>
        <v>0</v>
      </c>
      <c r="L189" s="522"/>
      <c r="M189" s="523"/>
      <c r="N189" s="524"/>
    </row>
    <row r="190" spans="2:14" s="1" customFormat="1" ht="30" hidden="1" customHeight="1" x14ac:dyDescent="0.2">
      <c r="B190" s="517">
        <f>IF(AND('Revenue Jrnl'!G196&lt;&gt;"",'Revenue Jrnl'!C196&lt;&gt;""),1,0)</f>
        <v>0</v>
      </c>
      <c r="C190" s="517">
        <f>'Revenue Jrnl'!$C196</f>
        <v>0</v>
      </c>
      <c r="D190" s="518">
        <f>'Revenue Jrnl'!$D196</f>
        <v>0</v>
      </c>
      <c r="E190" s="1523">
        <f>'Revenue Jrnl'!$F196</f>
        <v>0</v>
      </c>
      <c r="F190" s="1523"/>
      <c r="G190" s="519" t="str">
        <f>IF('Revenue Jrnl'!$E196="","",'Revenue Jrnl'!$E196)</f>
        <v/>
      </c>
      <c r="H190" s="518">
        <f>'Revenue Jrnl'!H196</f>
        <v>0</v>
      </c>
      <c r="I190" s="518" t="str">
        <f t="shared" si="4"/>
        <v>0</v>
      </c>
      <c r="J190" s="520" t="b">
        <f t="shared" si="5"/>
        <v>0</v>
      </c>
      <c r="K190" s="521">
        <f>'Revenue Jrnl'!$G196</f>
        <v>0</v>
      </c>
      <c r="L190" s="522"/>
      <c r="M190" s="523"/>
      <c r="N190" s="524"/>
    </row>
    <row r="191" spans="2:14" s="1" customFormat="1" ht="30" hidden="1" customHeight="1" x14ac:dyDescent="0.2">
      <c r="B191" s="517">
        <f>IF(AND('Revenue Jrnl'!G197&lt;&gt;"",'Revenue Jrnl'!C197&lt;&gt;""),1,0)</f>
        <v>0</v>
      </c>
      <c r="C191" s="517">
        <f>'Revenue Jrnl'!$C197</f>
        <v>0</v>
      </c>
      <c r="D191" s="518">
        <f>'Revenue Jrnl'!$D197</f>
        <v>0</v>
      </c>
      <c r="E191" s="1523">
        <f>'Revenue Jrnl'!$F197</f>
        <v>0</v>
      </c>
      <c r="F191" s="1523"/>
      <c r="G191" s="519" t="str">
        <f>IF('Revenue Jrnl'!$E197="","",'Revenue Jrnl'!$E197)</f>
        <v/>
      </c>
      <c r="H191" s="518">
        <f>'Revenue Jrnl'!H197</f>
        <v>0</v>
      </c>
      <c r="I191" s="518" t="str">
        <f t="shared" si="4"/>
        <v>0</v>
      </c>
      <c r="J191" s="520" t="b">
        <f t="shared" si="5"/>
        <v>0</v>
      </c>
      <c r="K191" s="521">
        <f>'Revenue Jrnl'!$G197</f>
        <v>0</v>
      </c>
      <c r="L191" s="522"/>
      <c r="M191" s="523"/>
      <c r="N191" s="524"/>
    </row>
    <row r="192" spans="2:14" s="1" customFormat="1" ht="30" hidden="1" customHeight="1" x14ac:dyDescent="0.2">
      <c r="B192" s="517">
        <f>IF(AND('Revenue Jrnl'!G198&lt;&gt;"",'Revenue Jrnl'!C198&lt;&gt;""),1,0)</f>
        <v>0</v>
      </c>
      <c r="C192" s="517">
        <f>'Revenue Jrnl'!$C198</f>
        <v>0</v>
      </c>
      <c r="D192" s="518">
        <f>'Revenue Jrnl'!$D198</f>
        <v>0</v>
      </c>
      <c r="E192" s="1523">
        <f>'Revenue Jrnl'!$F198</f>
        <v>0</v>
      </c>
      <c r="F192" s="1523"/>
      <c r="G192" s="519" t="str">
        <f>IF('Revenue Jrnl'!$E198="","",'Revenue Jrnl'!$E198)</f>
        <v/>
      </c>
      <c r="H192" s="518">
        <f>'Revenue Jrnl'!H198</f>
        <v>0</v>
      </c>
      <c r="I192" s="518" t="str">
        <f t="shared" si="4"/>
        <v>0</v>
      </c>
      <c r="J192" s="520" t="b">
        <f t="shared" si="5"/>
        <v>0</v>
      </c>
      <c r="K192" s="521">
        <f>'Revenue Jrnl'!$G198</f>
        <v>0</v>
      </c>
      <c r="L192" s="522"/>
      <c r="M192" s="523"/>
      <c r="N192" s="524"/>
    </row>
    <row r="193" spans="2:14" s="1" customFormat="1" ht="30" hidden="1" customHeight="1" x14ac:dyDescent="0.2">
      <c r="B193" s="517">
        <f>IF(AND('Revenue Jrnl'!G199&lt;&gt;"",'Revenue Jrnl'!C199&lt;&gt;""),1,0)</f>
        <v>0</v>
      </c>
      <c r="C193" s="517">
        <f>'Revenue Jrnl'!$C199</f>
        <v>0</v>
      </c>
      <c r="D193" s="518">
        <f>'Revenue Jrnl'!$D199</f>
        <v>0</v>
      </c>
      <c r="E193" s="1523">
        <f>'Revenue Jrnl'!$F199</f>
        <v>0</v>
      </c>
      <c r="F193" s="1523"/>
      <c r="G193" s="519" t="str">
        <f>IF('Revenue Jrnl'!$E199="","",'Revenue Jrnl'!$E199)</f>
        <v/>
      </c>
      <c r="H193" s="518">
        <f>'Revenue Jrnl'!H199</f>
        <v>0</v>
      </c>
      <c r="I193" s="518" t="str">
        <f t="shared" si="4"/>
        <v>0</v>
      </c>
      <c r="J193" s="520" t="b">
        <f t="shared" si="5"/>
        <v>0</v>
      </c>
      <c r="K193" s="521">
        <f>'Revenue Jrnl'!$G199</f>
        <v>0</v>
      </c>
      <c r="L193" s="522"/>
      <c r="M193" s="523"/>
      <c r="N193" s="524"/>
    </row>
    <row r="194" spans="2:14" s="1" customFormat="1" ht="30" hidden="1" customHeight="1" x14ac:dyDescent="0.2">
      <c r="B194" s="517">
        <f>IF(AND('Revenue Jrnl'!G200&lt;&gt;"",'Revenue Jrnl'!C200&lt;&gt;""),1,0)</f>
        <v>0</v>
      </c>
      <c r="C194" s="517">
        <f>'Revenue Jrnl'!$C200</f>
        <v>0</v>
      </c>
      <c r="D194" s="518">
        <f>'Revenue Jrnl'!$D200</f>
        <v>0</v>
      </c>
      <c r="E194" s="1523">
        <f>'Revenue Jrnl'!$F200</f>
        <v>0</v>
      </c>
      <c r="F194" s="1523"/>
      <c r="G194" s="519" t="str">
        <f>IF('Revenue Jrnl'!$E200="","",'Revenue Jrnl'!$E200)</f>
        <v/>
      </c>
      <c r="H194" s="518">
        <f>'Revenue Jrnl'!H200</f>
        <v>0</v>
      </c>
      <c r="I194" s="518" t="str">
        <f t="shared" si="4"/>
        <v>0</v>
      </c>
      <c r="J194" s="520" t="b">
        <f t="shared" si="5"/>
        <v>0</v>
      </c>
      <c r="K194" s="521">
        <f>'Revenue Jrnl'!$G200</f>
        <v>0</v>
      </c>
      <c r="L194" s="522"/>
      <c r="M194" s="523"/>
      <c r="N194" s="524"/>
    </row>
    <row r="195" spans="2:14" s="1" customFormat="1" ht="30" hidden="1" customHeight="1" x14ac:dyDescent="0.2">
      <c r="B195" s="517">
        <f>IF(AND('Revenue Jrnl'!G201&lt;&gt;"",'Revenue Jrnl'!C201&lt;&gt;""),1,0)</f>
        <v>0</v>
      </c>
      <c r="C195" s="517">
        <f>'Revenue Jrnl'!$C201</f>
        <v>0</v>
      </c>
      <c r="D195" s="518">
        <f>'Revenue Jrnl'!$D201</f>
        <v>0</v>
      </c>
      <c r="E195" s="1523">
        <f>'Revenue Jrnl'!$F201</f>
        <v>0</v>
      </c>
      <c r="F195" s="1523"/>
      <c r="G195" s="519" t="str">
        <f>IF('Revenue Jrnl'!$E201="","",'Revenue Jrnl'!$E201)</f>
        <v/>
      </c>
      <c r="H195" s="518">
        <f>'Revenue Jrnl'!H201</f>
        <v>0</v>
      </c>
      <c r="I195" s="518" t="str">
        <f t="shared" si="4"/>
        <v>0</v>
      </c>
      <c r="J195" s="520" t="b">
        <f t="shared" si="5"/>
        <v>0</v>
      </c>
      <c r="K195" s="521">
        <f>'Revenue Jrnl'!$G201</f>
        <v>0</v>
      </c>
      <c r="L195" s="522"/>
      <c r="M195" s="523"/>
      <c r="N195" s="524"/>
    </row>
    <row r="196" spans="2:14" s="1" customFormat="1" ht="30" hidden="1" customHeight="1" x14ac:dyDescent="0.2">
      <c r="B196" s="517">
        <f>IF(AND('Revenue Jrnl'!G202&lt;&gt;"",'Revenue Jrnl'!C202&lt;&gt;""),1,0)</f>
        <v>0</v>
      </c>
      <c r="C196" s="517">
        <f>'Revenue Jrnl'!$C202</f>
        <v>0</v>
      </c>
      <c r="D196" s="518">
        <f>'Revenue Jrnl'!$D202</f>
        <v>0</v>
      </c>
      <c r="E196" s="1523">
        <f>'Revenue Jrnl'!$F202</f>
        <v>0</v>
      </c>
      <c r="F196" s="1523"/>
      <c r="G196" s="519" t="str">
        <f>IF('Revenue Jrnl'!$E202="","",'Revenue Jrnl'!$E202)</f>
        <v/>
      </c>
      <c r="H196" s="518">
        <f>'Revenue Jrnl'!H202</f>
        <v>0</v>
      </c>
      <c r="I196" s="518" t="str">
        <f t="shared" si="4"/>
        <v>0</v>
      </c>
      <c r="J196" s="520" t="b">
        <f t="shared" si="5"/>
        <v>0</v>
      </c>
      <c r="K196" s="521">
        <f>'Revenue Jrnl'!$G202</f>
        <v>0</v>
      </c>
      <c r="L196" s="522"/>
      <c r="M196" s="523"/>
      <c r="N196" s="524"/>
    </row>
    <row r="197" spans="2:14" s="1" customFormat="1" ht="30" hidden="1" customHeight="1" x14ac:dyDescent="0.2">
      <c r="B197" s="517">
        <f>IF(AND('Revenue Jrnl'!G203&lt;&gt;"",'Revenue Jrnl'!C203&lt;&gt;""),1,0)</f>
        <v>0</v>
      </c>
      <c r="C197" s="517">
        <f>'Revenue Jrnl'!$C203</f>
        <v>0</v>
      </c>
      <c r="D197" s="518">
        <f>'Revenue Jrnl'!$D203</f>
        <v>0</v>
      </c>
      <c r="E197" s="1523">
        <f>'Revenue Jrnl'!$F203</f>
        <v>0</v>
      </c>
      <c r="F197" s="1523"/>
      <c r="G197" s="519" t="str">
        <f>IF('Revenue Jrnl'!$E203="","",'Revenue Jrnl'!$E203)</f>
        <v/>
      </c>
      <c r="H197" s="518">
        <f>'Revenue Jrnl'!H203</f>
        <v>0</v>
      </c>
      <c r="I197" s="518" t="str">
        <f t="shared" si="4"/>
        <v>0</v>
      </c>
      <c r="J197" s="520" t="b">
        <f t="shared" si="5"/>
        <v>0</v>
      </c>
      <c r="K197" s="521">
        <f>'Revenue Jrnl'!$G203</f>
        <v>0</v>
      </c>
      <c r="L197" s="522"/>
      <c r="M197" s="523"/>
      <c r="N197" s="524"/>
    </row>
    <row r="198" spans="2:14" s="1" customFormat="1" ht="30" hidden="1" customHeight="1" x14ac:dyDescent="0.2">
      <c r="B198" s="517">
        <f>IF(AND('Revenue Jrnl'!G204&lt;&gt;"",'Revenue Jrnl'!C204&lt;&gt;""),1,0)</f>
        <v>0</v>
      </c>
      <c r="C198" s="517">
        <f>'Revenue Jrnl'!$C204</f>
        <v>0</v>
      </c>
      <c r="D198" s="518">
        <f>'Revenue Jrnl'!$D204</f>
        <v>0</v>
      </c>
      <c r="E198" s="1523">
        <f>'Revenue Jrnl'!$F204</f>
        <v>0</v>
      </c>
      <c r="F198" s="1523"/>
      <c r="G198" s="519" t="str">
        <f>IF('Revenue Jrnl'!$E204="","",'Revenue Jrnl'!$E204)</f>
        <v/>
      </c>
      <c r="H198" s="518">
        <f>'Revenue Jrnl'!H204</f>
        <v>0</v>
      </c>
      <c r="I198" s="518" t="str">
        <f t="shared" si="4"/>
        <v>0</v>
      </c>
      <c r="J198" s="520" t="b">
        <f t="shared" si="5"/>
        <v>0</v>
      </c>
      <c r="K198" s="521">
        <f>'Revenue Jrnl'!$G204</f>
        <v>0</v>
      </c>
      <c r="L198" s="522"/>
      <c r="M198" s="523"/>
      <c r="N198" s="524"/>
    </row>
    <row r="199" spans="2:14" s="1" customFormat="1" ht="30" hidden="1" customHeight="1" x14ac:dyDescent="0.2">
      <c r="B199" s="517">
        <f>IF(AND('Revenue Jrnl'!G205&lt;&gt;"",'Revenue Jrnl'!C205&lt;&gt;""),1,0)</f>
        <v>0</v>
      </c>
      <c r="C199" s="517">
        <f>'Revenue Jrnl'!$C205</f>
        <v>0</v>
      </c>
      <c r="D199" s="518">
        <f>'Revenue Jrnl'!$D205</f>
        <v>0</v>
      </c>
      <c r="E199" s="1523">
        <f>'Revenue Jrnl'!$F205</f>
        <v>0</v>
      </c>
      <c r="F199" s="1523"/>
      <c r="G199" s="519" t="str">
        <f>IF('Revenue Jrnl'!$E205="","",'Revenue Jrnl'!$E205)</f>
        <v/>
      </c>
      <c r="H199" s="518">
        <f>'Revenue Jrnl'!H205</f>
        <v>0</v>
      </c>
      <c r="I199" s="518" t="str">
        <f t="shared" si="4"/>
        <v>0</v>
      </c>
      <c r="J199" s="520" t="b">
        <f t="shared" si="5"/>
        <v>0</v>
      </c>
      <c r="K199" s="521">
        <f>'Revenue Jrnl'!$G205</f>
        <v>0</v>
      </c>
      <c r="L199" s="522"/>
      <c r="M199" s="523"/>
      <c r="N199" s="524"/>
    </row>
    <row r="200" spans="2:14" s="1" customFormat="1" ht="30" hidden="1" customHeight="1" x14ac:dyDescent="0.2">
      <c r="B200" s="517">
        <f>IF(AND('Revenue Jrnl'!G206&lt;&gt;"",'Revenue Jrnl'!C206&lt;&gt;""),1,0)</f>
        <v>0</v>
      </c>
      <c r="C200" s="517">
        <f>'Revenue Jrnl'!$C206</f>
        <v>0</v>
      </c>
      <c r="D200" s="518">
        <f>'Revenue Jrnl'!$D206</f>
        <v>0</v>
      </c>
      <c r="E200" s="1523">
        <f>'Revenue Jrnl'!$F206</f>
        <v>0</v>
      </c>
      <c r="F200" s="1523"/>
      <c r="G200" s="519" t="str">
        <f>IF('Revenue Jrnl'!$E206="","",'Revenue Jrnl'!$E206)</f>
        <v/>
      </c>
      <c r="H200" s="518">
        <f>'Revenue Jrnl'!H206</f>
        <v>0</v>
      </c>
      <c r="I200" s="518" t="str">
        <f t="shared" si="4"/>
        <v>0</v>
      </c>
      <c r="J200" s="520" t="b">
        <f t="shared" si="5"/>
        <v>0</v>
      </c>
      <c r="K200" s="521">
        <f>'Revenue Jrnl'!$G206</f>
        <v>0</v>
      </c>
      <c r="L200" s="522"/>
      <c r="M200" s="523"/>
      <c r="N200" s="524"/>
    </row>
    <row r="201" spans="2:14" s="1" customFormat="1" ht="30" hidden="1" customHeight="1" x14ac:dyDescent="0.2">
      <c r="B201" s="517">
        <f>IF(AND('Revenue Jrnl'!G207&lt;&gt;"",'Revenue Jrnl'!C207&lt;&gt;""),1,0)</f>
        <v>0</v>
      </c>
      <c r="C201" s="517">
        <f>'Revenue Jrnl'!$C207</f>
        <v>0</v>
      </c>
      <c r="D201" s="518">
        <f>'Revenue Jrnl'!$D207</f>
        <v>0</v>
      </c>
      <c r="E201" s="1523">
        <f>'Revenue Jrnl'!$F207</f>
        <v>0</v>
      </c>
      <c r="F201" s="1523"/>
      <c r="G201" s="519" t="str">
        <f>IF('Revenue Jrnl'!$E207="","",'Revenue Jrnl'!$E207)</f>
        <v/>
      </c>
      <c r="H201" s="518">
        <f>'Revenue Jrnl'!H207</f>
        <v>0</v>
      </c>
      <c r="I201" s="518" t="str">
        <f t="shared" si="4"/>
        <v>0</v>
      </c>
      <c r="J201" s="520" t="b">
        <f t="shared" si="5"/>
        <v>0</v>
      </c>
      <c r="K201" s="521">
        <f>'Revenue Jrnl'!$G207</f>
        <v>0</v>
      </c>
      <c r="L201" s="522"/>
      <c r="M201" s="523"/>
      <c r="N201" s="524"/>
    </row>
    <row r="202" spans="2:14" s="1" customFormat="1" ht="30" hidden="1" customHeight="1" x14ac:dyDescent="0.2">
      <c r="B202" s="517">
        <f>IF(AND('Revenue Jrnl'!G208&lt;&gt;"",'Revenue Jrnl'!C208&lt;&gt;""),1,0)</f>
        <v>0</v>
      </c>
      <c r="C202" s="517">
        <f>'Revenue Jrnl'!$C208</f>
        <v>0</v>
      </c>
      <c r="D202" s="518">
        <f>'Revenue Jrnl'!$D208</f>
        <v>0</v>
      </c>
      <c r="E202" s="1523">
        <f>'Revenue Jrnl'!$F208</f>
        <v>0</v>
      </c>
      <c r="F202" s="1523"/>
      <c r="G202" s="519" t="str">
        <f>IF('Revenue Jrnl'!$E208="","",'Revenue Jrnl'!$E208)</f>
        <v/>
      </c>
      <c r="H202" s="518">
        <f>'Revenue Jrnl'!H208</f>
        <v>0</v>
      </c>
      <c r="I202" s="518" t="str">
        <f t="shared" ref="I202:I265" si="6">LEFT(H202,4)</f>
        <v>0</v>
      </c>
      <c r="J202" s="520" t="b">
        <f t="shared" si="5"/>
        <v>0</v>
      </c>
      <c r="K202" s="521">
        <f>'Revenue Jrnl'!$G208</f>
        <v>0</v>
      </c>
      <c r="L202" s="522"/>
      <c r="M202" s="523"/>
      <c r="N202" s="524"/>
    </row>
    <row r="203" spans="2:14" s="1" customFormat="1" ht="30" hidden="1" customHeight="1" x14ac:dyDescent="0.2">
      <c r="B203" s="517">
        <f>IF(AND('Revenue Jrnl'!G209&lt;&gt;"",'Revenue Jrnl'!C209&lt;&gt;""),1,0)</f>
        <v>0</v>
      </c>
      <c r="C203" s="517">
        <f>'Revenue Jrnl'!$C209</f>
        <v>0</v>
      </c>
      <c r="D203" s="518">
        <f>'Revenue Jrnl'!$D209</f>
        <v>0</v>
      </c>
      <c r="E203" s="1523">
        <f>'Revenue Jrnl'!$F209</f>
        <v>0</v>
      </c>
      <c r="F203" s="1523"/>
      <c r="G203" s="519" t="str">
        <f>IF('Revenue Jrnl'!$E209="","",'Revenue Jrnl'!$E209)</f>
        <v/>
      </c>
      <c r="H203" s="518">
        <f>'Revenue Jrnl'!H209</f>
        <v>0</v>
      </c>
      <c r="I203" s="518" t="str">
        <f t="shared" si="6"/>
        <v>0</v>
      </c>
      <c r="J203" s="520" t="b">
        <f t="shared" ref="J203:J266" si="7">IF(I203="1020",IF(G203&gt;=$E$3,IF(G203&lt;=$G$3,K203,0)))</f>
        <v>0</v>
      </c>
      <c r="K203" s="521">
        <f>'Revenue Jrnl'!$G209</f>
        <v>0</v>
      </c>
      <c r="L203" s="522"/>
      <c r="M203" s="523"/>
      <c r="N203" s="524"/>
    </row>
    <row r="204" spans="2:14" s="1" customFormat="1" ht="30" hidden="1" customHeight="1" x14ac:dyDescent="0.2">
      <c r="B204" s="517">
        <f>IF(AND('Revenue Jrnl'!G210&lt;&gt;"",'Revenue Jrnl'!C210&lt;&gt;""),1,0)</f>
        <v>0</v>
      </c>
      <c r="C204" s="517">
        <f>'Revenue Jrnl'!$C210</f>
        <v>0</v>
      </c>
      <c r="D204" s="518">
        <f>'Revenue Jrnl'!$D210</f>
        <v>0</v>
      </c>
      <c r="E204" s="1523">
        <f>'Revenue Jrnl'!$F210</f>
        <v>0</v>
      </c>
      <c r="F204" s="1523"/>
      <c r="G204" s="519" t="str">
        <f>IF('Revenue Jrnl'!$E210="","",'Revenue Jrnl'!$E210)</f>
        <v/>
      </c>
      <c r="H204" s="518">
        <f>'Revenue Jrnl'!H210</f>
        <v>0</v>
      </c>
      <c r="I204" s="518" t="str">
        <f t="shared" si="6"/>
        <v>0</v>
      </c>
      <c r="J204" s="520" t="b">
        <f t="shared" si="7"/>
        <v>0</v>
      </c>
      <c r="K204" s="521">
        <f>'Revenue Jrnl'!$G210</f>
        <v>0</v>
      </c>
      <c r="L204" s="522"/>
      <c r="M204" s="523"/>
      <c r="N204" s="524"/>
    </row>
    <row r="205" spans="2:14" s="1" customFormat="1" ht="30" hidden="1" customHeight="1" x14ac:dyDescent="0.2">
      <c r="B205" s="517">
        <f>IF(AND('Revenue Jrnl'!G211&lt;&gt;"",'Revenue Jrnl'!C211&lt;&gt;""),1,0)</f>
        <v>0</v>
      </c>
      <c r="C205" s="517">
        <f>'Revenue Jrnl'!$C211</f>
        <v>0</v>
      </c>
      <c r="D205" s="518">
        <f>'Revenue Jrnl'!$D211</f>
        <v>0</v>
      </c>
      <c r="E205" s="1523">
        <f>'Revenue Jrnl'!$F211</f>
        <v>0</v>
      </c>
      <c r="F205" s="1523"/>
      <c r="G205" s="519" t="str">
        <f>IF('Revenue Jrnl'!$E211="","",'Revenue Jrnl'!$E211)</f>
        <v/>
      </c>
      <c r="H205" s="518">
        <f>'Revenue Jrnl'!H211</f>
        <v>0</v>
      </c>
      <c r="I205" s="518" t="str">
        <f t="shared" si="6"/>
        <v>0</v>
      </c>
      <c r="J205" s="520" t="b">
        <f t="shared" si="7"/>
        <v>0</v>
      </c>
      <c r="K205" s="521">
        <f>'Revenue Jrnl'!$G211</f>
        <v>0</v>
      </c>
      <c r="L205" s="522"/>
      <c r="M205" s="523"/>
      <c r="N205" s="524"/>
    </row>
    <row r="206" spans="2:14" s="1" customFormat="1" ht="30" hidden="1" customHeight="1" x14ac:dyDescent="0.2">
      <c r="B206" s="517">
        <f>IF(AND('Revenue Jrnl'!G212&lt;&gt;"",'Revenue Jrnl'!C212&lt;&gt;""),1,0)</f>
        <v>0</v>
      </c>
      <c r="C206" s="517">
        <f>'Revenue Jrnl'!$C212</f>
        <v>0</v>
      </c>
      <c r="D206" s="518">
        <f>'Revenue Jrnl'!$D212</f>
        <v>0</v>
      </c>
      <c r="E206" s="1523">
        <f>'Revenue Jrnl'!$F212</f>
        <v>0</v>
      </c>
      <c r="F206" s="1523"/>
      <c r="G206" s="519" t="str">
        <f>IF('Revenue Jrnl'!$E212="","",'Revenue Jrnl'!$E212)</f>
        <v/>
      </c>
      <c r="H206" s="518">
        <f>'Revenue Jrnl'!H212</f>
        <v>0</v>
      </c>
      <c r="I206" s="518" t="str">
        <f t="shared" si="6"/>
        <v>0</v>
      </c>
      <c r="J206" s="520" t="b">
        <f t="shared" si="7"/>
        <v>0</v>
      </c>
      <c r="K206" s="521">
        <f>'Revenue Jrnl'!$G212</f>
        <v>0</v>
      </c>
      <c r="L206" s="522"/>
      <c r="M206" s="523"/>
      <c r="N206" s="524"/>
    </row>
    <row r="207" spans="2:14" s="1" customFormat="1" ht="30" hidden="1" customHeight="1" x14ac:dyDescent="0.2">
      <c r="B207" s="517">
        <f>IF(AND('Revenue Jrnl'!G213&lt;&gt;"",'Revenue Jrnl'!C213&lt;&gt;""),1,0)</f>
        <v>0</v>
      </c>
      <c r="C207" s="517">
        <f>'Revenue Jrnl'!$C213</f>
        <v>0</v>
      </c>
      <c r="D207" s="518">
        <f>'Revenue Jrnl'!$D213</f>
        <v>0</v>
      </c>
      <c r="E207" s="1523">
        <f>'Revenue Jrnl'!$F213</f>
        <v>0</v>
      </c>
      <c r="F207" s="1523"/>
      <c r="G207" s="519" t="str">
        <f>IF('Revenue Jrnl'!$E213="","",'Revenue Jrnl'!$E213)</f>
        <v/>
      </c>
      <c r="H207" s="518">
        <f>'Revenue Jrnl'!H213</f>
        <v>0</v>
      </c>
      <c r="I207" s="518" t="str">
        <f t="shared" si="6"/>
        <v>0</v>
      </c>
      <c r="J207" s="520" t="b">
        <f t="shared" si="7"/>
        <v>0</v>
      </c>
      <c r="K207" s="521">
        <f>'Revenue Jrnl'!$G213</f>
        <v>0</v>
      </c>
      <c r="L207" s="522"/>
      <c r="M207" s="523"/>
      <c r="N207" s="524"/>
    </row>
    <row r="208" spans="2:14" s="1" customFormat="1" ht="30" hidden="1" customHeight="1" x14ac:dyDescent="0.2">
      <c r="B208" s="517">
        <f>IF(AND('Revenue Jrnl'!G214&lt;&gt;"",'Revenue Jrnl'!C214&lt;&gt;""),1,0)</f>
        <v>0</v>
      </c>
      <c r="C208" s="517">
        <f>'Revenue Jrnl'!$C214</f>
        <v>0</v>
      </c>
      <c r="D208" s="518">
        <f>'Revenue Jrnl'!$D214</f>
        <v>0</v>
      </c>
      <c r="E208" s="1523">
        <f>'Revenue Jrnl'!$F214</f>
        <v>0</v>
      </c>
      <c r="F208" s="1523"/>
      <c r="G208" s="519" t="str">
        <f>IF('Revenue Jrnl'!$E214="","",'Revenue Jrnl'!$E214)</f>
        <v/>
      </c>
      <c r="H208" s="518">
        <f>'Revenue Jrnl'!H214</f>
        <v>0</v>
      </c>
      <c r="I208" s="518" t="str">
        <f t="shared" si="6"/>
        <v>0</v>
      </c>
      <c r="J208" s="520" t="b">
        <f t="shared" si="7"/>
        <v>0</v>
      </c>
      <c r="K208" s="521">
        <f>'Revenue Jrnl'!$G214</f>
        <v>0</v>
      </c>
      <c r="L208" s="522"/>
      <c r="M208" s="523"/>
      <c r="N208" s="524"/>
    </row>
    <row r="209" spans="2:14" s="1" customFormat="1" ht="30" hidden="1" customHeight="1" x14ac:dyDescent="0.2">
      <c r="B209" s="517">
        <f>IF(AND('Revenue Jrnl'!G215&lt;&gt;"",'Revenue Jrnl'!C215&lt;&gt;""),1,0)</f>
        <v>0</v>
      </c>
      <c r="C209" s="517">
        <f>'Revenue Jrnl'!$C215</f>
        <v>0</v>
      </c>
      <c r="D209" s="518">
        <f>'Revenue Jrnl'!$D215</f>
        <v>0</v>
      </c>
      <c r="E209" s="1523">
        <f>'Revenue Jrnl'!$F215</f>
        <v>0</v>
      </c>
      <c r="F209" s="1523"/>
      <c r="G209" s="519" t="str">
        <f>IF('Revenue Jrnl'!$E215="","",'Revenue Jrnl'!$E215)</f>
        <v/>
      </c>
      <c r="H209" s="518">
        <f>'Revenue Jrnl'!H215</f>
        <v>0</v>
      </c>
      <c r="I209" s="518" t="str">
        <f t="shared" si="6"/>
        <v>0</v>
      </c>
      <c r="J209" s="520" t="b">
        <f t="shared" si="7"/>
        <v>0</v>
      </c>
      <c r="K209" s="521">
        <f>'Revenue Jrnl'!$G215</f>
        <v>0</v>
      </c>
      <c r="L209" s="522"/>
      <c r="M209" s="523"/>
      <c r="N209" s="524"/>
    </row>
    <row r="210" spans="2:14" s="1" customFormat="1" ht="30" hidden="1" customHeight="1" x14ac:dyDescent="0.2">
      <c r="B210" s="517">
        <f>IF(AND('Revenue Jrnl'!G216&lt;&gt;"",'Revenue Jrnl'!C216&lt;&gt;""),1,0)</f>
        <v>0</v>
      </c>
      <c r="C210" s="517">
        <f>'Revenue Jrnl'!$C216</f>
        <v>0</v>
      </c>
      <c r="D210" s="518">
        <f>'Revenue Jrnl'!$D216</f>
        <v>0</v>
      </c>
      <c r="E210" s="1523">
        <f>'Revenue Jrnl'!$F216</f>
        <v>0</v>
      </c>
      <c r="F210" s="1523"/>
      <c r="G210" s="519" t="str">
        <f>IF('Revenue Jrnl'!$E216="","",'Revenue Jrnl'!$E216)</f>
        <v/>
      </c>
      <c r="H210" s="518">
        <f>'Revenue Jrnl'!H216</f>
        <v>0</v>
      </c>
      <c r="I210" s="518" t="str">
        <f t="shared" si="6"/>
        <v>0</v>
      </c>
      <c r="J210" s="520" t="b">
        <f t="shared" si="7"/>
        <v>0</v>
      </c>
      <c r="K210" s="521">
        <f>'Revenue Jrnl'!$G216</f>
        <v>0</v>
      </c>
      <c r="L210" s="522"/>
      <c r="M210" s="523"/>
      <c r="N210" s="524"/>
    </row>
    <row r="211" spans="2:14" s="1" customFormat="1" ht="30" hidden="1" customHeight="1" x14ac:dyDescent="0.2">
      <c r="B211" s="517">
        <f>IF(AND('Revenue Jrnl'!G217&lt;&gt;"",'Revenue Jrnl'!C217&lt;&gt;""),1,0)</f>
        <v>0</v>
      </c>
      <c r="C211" s="517">
        <f>'Revenue Jrnl'!$C217</f>
        <v>0</v>
      </c>
      <c r="D211" s="518">
        <f>'Revenue Jrnl'!$D217</f>
        <v>0</v>
      </c>
      <c r="E211" s="1523">
        <f>'Revenue Jrnl'!$F217</f>
        <v>0</v>
      </c>
      <c r="F211" s="1523"/>
      <c r="G211" s="519" t="str">
        <f>IF('Revenue Jrnl'!$E217="","",'Revenue Jrnl'!$E217)</f>
        <v/>
      </c>
      <c r="H211" s="518">
        <f>'Revenue Jrnl'!H217</f>
        <v>0</v>
      </c>
      <c r="I211" s="518" t="str">
        <f t="shared" si="6"/>
        <v>0</v>
      </c>
      <c r="J211" s="520" t="b">
        <f t="shared" si="7"/>
        <v>0</v>
      </c>
      <c r="K211" s="521">
        <f>'Revenue Jrnl'!$G217</f>
        <v>0</v>
      </c>
      <c r="L211" s="522"/>
      <c r="M211" s="523"/>
      <c r="N211" s="524"/>
    </row>
    <row r="212" spans="2:14" s="1" customFormat="1" ht="30" hidden="1" customHeight="1" x14ac:dyDescent="0.2">
      <c r="B212" s="517">
        <f>IF(AND('Revenue Jrnl'!G218&lt;&gt;"",'Revenue Jrnl'!C218&lt;&gt;""),1,0)</f>
        <v>0</v>
      </c>
      <c r="C212" s="517">
        <f>'Revenue Jrnl'!$C218</f>
        <v>0</v>
      </c>
      <c r="D212" s="518">
        <f>'Revenue Jrnl'!$D218</f>
        <v>0</v>
      </c>
      <c r="E212" s="1523">
        <f>'Revenue Jrnl'!$F218</f>
        <v>0</v>
      </c>
      <c r="F212" s="1523"/>
      <c r="G212" s="519" t="str">
        <f>IF('Revenue Jrnl'!$E218="","",'Revenue Jrnl'!$E218)</f>
        <v/>
      </c>
      <c r="H212" s="518">
        <f>'Revenue Jrnl'!H218</f>
        <v>0</v>
      </c>
      <c r="I212" s="518" t="str">
        <f t="shared" si="6"/>
        <v>0</v>
      </c>
      <c r="J212" s="520" t="b">
        <f t="shared" si="7"/>
        <v>0</v>
      </c>
      <c r="K212" s="521">
        <f>'Revenue Jrnl'!$G218</f>
        <v>0</v>
      </c>
      <c r="L212" s="522"/>
      <c r="M212" s="523"/>
      <c r="N212" s="524"/>
    </row>
    <row r="213" spans="2:14" s="1" customFormat="1" ht="30" hidden="1" customHeight="1" x14ac:dyDescent="0.2">
      <c r="B213" s="517">
        <f>IF(AND('Revenue Jrnl'!G219&lt;&gt;"",'Revenue Jrnl'!C219&lt;&gt;""),1,0)</f>
        <v>0</v>
      </c>
      <c r="C213" s="517">
        <f>'Revenue Jrnl'!$C219</f>
        <v>0</v>
      </c>
      <c r="D213" s="518">
        <f>'Revenue Jrnl'!$D219</f>
        <v>0</v>
      </c>
      <c r="E213" s="1523">
        <f>'Revenue Jrnl'!$F219</f>
        <v>0</v>
      </c>
      <c r="F213" s="1523"/>
      <c r="G213" s="519" t="str">
        <f>IF('Revenue Jrnl'!$E219="","",'Revenue Jrnl'!$E219)</f>
        <v/>
      </c>
      <c r="H213" s="518">
        <f>'Revenue Jrnl'!H219</f>
        <v>0</v>
      </c>
      <c r="I213" s="518" t="str">
        <f t="shared" si="6"/>
        <v>0</v>
      </c>
      <c r="J213" s="520" t="b">
        <f t="shared" si="7"/>
        <v>0</v>
      </c>
      <c r="K213" s="521">
        <f>'Revenue Jrnl'!$G219</f>
        <v>0</v>
      </c>
      <c r="L213" s="522"/>
      <c r="M213" s="523"/>
      <c r="N213" s="524"/>
    </row>
    <row r="214" spans="2:14" s="1" customFormat="1" ht="30" hidden="1" customHeight="1" x14ac:dyDescent="0.2">
      <c r="B214" s="517">
        <f>IF(AND('Revenue Jrnl'!G220&lt;&gt;"",'Revenue Jrnl'!C220&lt;&gt;""),1,0)</f>
        <v>0</v>
      </c>
      <c r="C214" s="517">
        <f>'Revenue Jrnl'!$C220</f>
        <v>0</v>
      </c>
      <c r="D214" s="518">
        <f>'Revenue Jrnl'!$D220</f>
        <v>0</v>
      </c>
      <c r="E214" s="1523">
        <f>'Revenue Jrnl'!$F220</f>
        <v>0</v>
      </c>
      <c r="F214" s="1523"/>
      <c r="G214" s="519" t="str">
        <f>IF('Revenue Jrnl'!$E220="","",'Revenue Jrnl'!$E220)</f>
        <v/>
      </c>
      <c r="H214" s="518">
        <f>'Revenue Jrnl'!H220</f>
        <v>0</v>
      </c>
      <c r="I214" s="518" t="str">
        <f t="shared" si="6"/>
        <v>0</v>
      </c>
      <c r="J214" s="520" t="b">
        <f t="shared" si="7"/>
        <v>0</v>
      </c>
      <c r="K214" s="521">
        <f>'Revenue Jrnl'!$G220</f>
        <v>0</v>
      </c>
      <c r="L214" s="522"/>
      <c r="M214" s="523"/>
      <c r="N214" s="524"/>
    </row>
    <row r="215" spans="2:14" s="1" customFormat="1" ht="30" hidden="1" customHeight="1" x14ac:dyDescent="0.2">
      <c r="B215" s="517">
        <f>IF(AND('Revenue Jrnl'!G221&lt;&gt;"",'Revenue Jrnl'!C221&lt;&gt;""),1,0)</f>
        <v>0</v>
      </c>
      <c r="C215" s="517">
        <f>'Revenue Jrnl'!$C221</f>
        <v>0</v>
      </c>
      <c r="D215" s="518">
        <f>'Revenue Jrnl'!$D221</f>
        <v>0</v>
      </c>
      <c r="E215" s="1523">
        <f>'Revenue Jrnl'!$F221</f>
        <v>0</v>
      </c>
      <c r="F215" s="1523"/>
      <c r="G215" s="519" t="str">
        <f>IF('Revenue Jrnl'!$E221="","",'Revenue Jrnl'!$E221)</f>
        <v/>
      </c>
      <c r="H215" s="518">
        <f>'Revenue Jrnl'!H221</f>
        <v>0</v>
      </c>
      <c r="I215" s="518" t="str">
        <f t="shared" si="6"/>
        <v>0</v>
      </c>
      <c r="J215" s="520" t="b">
        <f t="shared" si="7"/>
        <v>0</v>
      </c>
      <c r="K215" s="521">
        <f>'Revenue Jrnl'!$G221</f>
        <v>0</v>
      </c>
      <c r="L215" s="522"/>
      <c r="M215" s="523"/>
      <c r="N215" s="524"/>
    </row>
    <row r="216" spans="2:14" s="1" customFormat="1" ht="30" hidden="1" customHeight="1" x14ac:dyDescent="0.2">
      <c r="B216" s="517">
        <f>IF(AND('Revenue Jrnl'!G222&lt;&gt;"",'Revenue Jrnl'!C222&lt;&gt;""),1,0)</f>
        <v>0</v>
      </c>
      <c r="C216" s="517">
        <f>'Revenue Jrnl'!$C222</f>
        <v>0</v>
      </c>
      <c r="D216" s="518">
        <f>'Revenue Jrnl'!$D222</f>
        <v>0</v>
      </c>
      <c r="E216" s="1523">
        <f>'Revenue Jrnl'!$F222</f>
        <v>0</v>
      </c>
      <c r="F216" s="1523"/>
      <c r="G216" s="519" t="str">
        <f>IF('Revenue Jrnl'!$E222="","",'Revenue Jrnl'!$E222)</f>
        <v/>
      </c>
      <c r="H216" s="518">
        <f>'Revenue Jrnl'!H222</f>
        <v>0</v>
      </c>
      <c r="I216" s="518" t="str">
        <f t="shared" si="6"/>
        <v>0</v>
      </c>
      <c r="J216" s="520" t="b">
        <f t="shared" si="7"/>
        <v>0</v>
      </c>
      <c r="K216" s="521">
        <f>'Revenue Jrnl'!$G222</f>
        <v>0</v>
      </c>
      <c r="L216" s="522"/>
      <c r="M216" s="523"/>
      <c r="N216" s="524"/>
    </row>
    <row r="217" spans="2:14" s="1" customFormat="1" ht="30" hidden="1" customHeight="1" x14ac:dyDescent="0.2">
      <c r="B217" s="517">
        <f>IF(AND('Revenue Jrnl'!G223&lt;&gt;"",'Revenue Jrnl'!C223&lt;&gt;""),1,0)</f>
        <v>0</v>
      </c>
      <c r="C217" s="517">
        <f>'Revenue Jrnl'!$C223</f>
        <v>0</v>
      </c>
      <c r="D217" s="518">
        <f>'Revenue Jrnl'!$D223</f>
        <v>0</v>
      </c>
      <c r="E217" s="1523">
        <f>'Revenue Jrnl'!$F223</f>
        <v>0</v>
      </c>
      <c r="F217" s="1523"/>
      <c r="G217" s="519" t="str">
        <f>IF('Revenue Jrnl'!$E223="","",'Revenue Jrnl'!$E223)</f>
        <v/>
      </c>
      <c r="H217" s="518">
        <f>'Revenue Jrnl'!H223</f>
        <v>0</v>
      </c>
      <c r="I217" s="518" t="str">
        <f t="shared" si="6"/>
        <v>0</v>
      </c>
      <c r="J217" s="520" t="b">
        <f t="shared" si="7"/>
        <v>0</v>
      </c>
      <c r="K217" s="521">
        <f>'Revenue Jrnl'!$G223</f>
        <v>0</v>
      </c>
      <c r="L217" s="522"/>
      <c r="M217" s="523"/>
      <c r="N217" s="524"/>
    </row>
    <row r="218" spans="2:14" s="1" customFormat="1" ht="30" hidden="1" customHeight="1" x14ac:dyDescent="0.2">
      <c r="B218" s="517">
        <f>IF(AND('Revenue Jrnl'!G224&lt;&gt;"",'Revenue Jrnl'!C224&lt;&gt;""),1,0)</f>
        <v>0</v>
      </c>
      <c r="C218" s="517">
        <f>'Revenue Jrnl'!$C224</f>
        <v>0</v>
      </c>
      <c r="D218" s="518">
        <f>'Revenue Jrnl'!$D224</f>
        <v>0</v>
      </c>
      <c r="E218" s="1523">
        <f>'Revenue Jrnl'!$F224</f>
        <v>0</v>
      </c>
      <c r="F218" s="1523"/>
      <c r="G218" s="519" t="str">
        <f>IF('Revenue Jrnl'!$E224="","",'Revenue Jrnl'!$E224)</f>
        <v/>
      </c>
      <c r="H218" s="518">
        <f>'Revenue Jrnl'!H224</f>
        <v>0</v>
      </c>
      <c r="I218" s="518" t="str">
        <f t="shared" si="6"/>
        <v>0</v>
      </c>
      <c r="J218" s="520" t="b">
        <f t="shared" si="7"/>
        <v>0</v>
      </c>
      <c r="K218" s="521">
        <f>'Revenue Jrnl'!$G224</f>
        <v>0</v>
      </c>
      <c r="L218" s="522"/>
      <c r="M218" s="523"/>
      <c r="N218" s="524"/>
    </row>
    <row r="219" spans="2:14" s="1" customFormat="1" ht="30" hidden="1" customHeight="1" x14ac:dyDescent="0.2">
      <c r="B219" s="517">
        <f>IF(AND('Revenue Jrnl'!G225&lt;&gt;"",'Revenue Jrnl'!C225&lt;&gt;""),1,0)</f>
        <v>0</v>
      </c>
      <c r="C219" s="517">
        <f>'Revenue Jrnl'!$C225</f>
        <v>0</v>
      </c>
      <c r="D219" s="518">
        <f>'Revenue Jrnl'!$D225</f>
        <v>0</v>
      </c>
      <c r="E219" s="1523">
        <f>'Revenue Jrnl'!$F225</f>
        <v>0</v>
      </c>
      <c r="F219" s="1523"/>
      <c r="G219" s="519" t="str">
        <f>IF('Revenue Jrnl'!$E225="","",'Revenue Jrnl'!$E225)</f>
        <v/>
      </c>
      <c r="H219" s="518">
        <f>'Revenue Jrnl'!H225</f>
        <v>0</v>
      </c>
      <c r="I219" s="518" t="str">
        <f t="shared" si="6"/>
        <v>0</v>
      </c>
      <c r="J219" s="520" t="b">
        <f t="shared" si="7"/>
        <v>0</v>
      </c>
      <c r="K219" s="521">
        <f>'Revenue Jrnl'!$G225</f>
        <v>0</v>
      </c>
      <c r="L219" s="522"/>
      <c r="M219" s="523"/>
      <c r="N219" s="524"/>
    </row>
    <row r="220" spans="2:14" s="1" customFormat="1" ht="30" hidden="1" customHeight="1" x14ac:dyDescent="0.2">
      <c r="B220" s="517">
        <f>IF(AND('Revenue Jrnl'!G226&lt;&gt;"",'Revenue Jrnl'!C226&lt;&gt;""),1,0)</f>
        <v>0</v>
      </c>
      <c r="C220" s="517">
        <f>'Revenue Jrnl'!$C226</f>
        <v>0</v>
      </c>
      <c r="D220" s="518">
        <f>'Revenue Jrnl'!$D226</f>
        <v>0</v>
      </c>
      <c r="E220" s="1523">
        <f>'Revenue Jrnl'!$F226</f>
        <v>0</v>
      </c>
      <c r="F220" s="1523"/>
      <c r="G220" s="519" t="str">
        <f>IF('Revenue Jrnl'!$E226="","",'Revenue Jrnl'!$E226)</f>
        <v/>
      </c>
      <c r="H220" s="518">
        <f>'Revenue Jrnl'!H226</f>
        <v>0</v>
      </c>
      <c r="I220" s="518" t="str">
        <f t="shared" si="6"/>
        <v>0</v>
      </c>
      <c r="J220" s="520" t="b">
        <f t="shared" si="7"/>
        <v>0</v>
      </c>
      <c r="K220" s="521">
        <f>'Revenue Jrnl'!$G226</f>
        <v>0</v>
      </c>
      <c r="L220" s="522"/>
      <c r="M220" s="523"/>
      <c r="N220" s="524"/>
    </row>
    <row r="221" spans="2:14" s="1" customFormat="1" ht="30" hidden="1" customHeight="1" x14ac:dyDescent="0.2">
      <c r="B221" s="517">
        <f>IF(AND('Revenue Jrnl'!G227&lt;&gt;"",'Revenue Jrnl'!C227&lt;&gt;""),1,0)</f>
        <v>0</v>
      </c>
      <c r="C221" s="517">
        <f>'Revenue Jrnl'!$C227</f>
        <v>0</v>
      </c>
      <c r="D221" s="518">
        <f>'Revenue Jrnl'!$D227</f>
        <v>0</v>
      </c>
      <c r="E221" s="1523">
        <f>'Revenue Jrnl'!$F227</f>
        <v>0</v>
      </c>
      <c r="F221" s="1523"/>
      <c r="G221" s="519" t="str">
        <f>IF('Revenue Jrnl'!$E227="","",'Revenue Jrnl'!$E227)</f>
        <v/>
      </c>
      <c r="H221" s="518">
        <f>'Revenue Jrnl'!H227</f>
        <v>0</v>
      </c>
      <c r="I221" s="518" t="str">
        <f t="shared" si="6"/>
        <v>0</v>
      </c>
      <c r="J221" s="520" t="b">
        <f t="shared" si="7"/>
        <v>0</v>
      </c>
      <c r="K221" s="521">
        <f>'Revenue Jrnl'!$G227</f>
        <v>0</v>
      </c>
      <c r="L221" s="522"/>
      <c r="M221" s="523"/>
      <c r="N221" s="524"/>
    </row>
    <row r="222" spans="2:14" s="1" customFormat="1" ht="30" hidden="1" customHeight="1" x14ac:dyDescent="0.2">
      <c r="B222" s="517">
        <f>IF(AND('Revenue Jrnl'!G228&lt;&gt;"",'Revenue Jrnl'!C228&lt;&gt;""),1,0)</f>
        <v>0</v>
      </c>
      <c r="C222" s="517">
        <f>'Revenue Jrnl'!$C228</f>
        <v>0</v>
      </c>
      <c r="D222" s="518">
        <f>'Revenue Jrnl'!$D228</f>
        <v>0</v>
      </c>
      <c r="E222" s="1523">
        <f>'Revenue Jrnl'!$F228</f>
        <v>0</v>
      </c>
      <c r="F222" s="1523"/>
      <c r="G222" s="519" t="str">
        <f>IF('Revenue Jrnl'!$E228="","",'Revenue Jrnl'!$E228)</f>
        <v/>
      </c>
      <c r="H222" s="518">
        <f>'Revenue Jrnl'!H228</f>
        <v>0</v>
      </c>
      <c r="I222" s="518" t="str">
        <f t="shared" si="6"/>
        <v>0</v>
      </c>
      <c r="J222" s="520" t="b">
        <f t="shared" si="7"/>
        <v>0</v>
      </c>
      <c r="K222" s="521">
        <f>'Revenue Jrnl'!$G228</f>
        <v>0</v>
      </c>
      <c r="L222" s="522"/>
      <c r="M222" s="523"/>
      <c r="N222" s="524"/>
    </row>
    <row r="223" spans="2:14" s="1" customFormat="1" ht="30" hidden="1" customHeight="1" x14ac:dyDescent="0.2">
      <c r="B223" s="517">
        <f>IF(AND('Revenue Jrnl'!G229&lt;&gt;"",'Revenue Jrnl'!C229&lt;&gt;""),1,0)</f>
        <v>0</v>
      </c>
      <c r="C223" s="517">
        <f>'Revenue Jrnl'!$C229</f>
        <v>0</v>
      </c>
      <c r="D223" s="518">
        <f>'Revenue Jrnl'!$D229</f>
        <v>0</v>
      </c>
      <c r="E223" s="1523">
        <f>'Revenue Jrnl'!$F229</f>
        <v>0</v>
      </c>
      <c r="F223" s="1523"/>
      <c r="G223" s="519" t="str">
        <f>IF('Revenue Jrnl'!$E229="","",'Revenue Jrnl'!$E229)</f>
        <v/>
      </c>
      <c r="H223" s="518">
        <f>'Revenue Jrnl'!H229</f>
        <v>0</v>
      </c>
      <c r="I223" s="518" t="str">
        <f t="shared" si="6"/>
        <v>0</v>
      </c>
      <c r="J223" s="520" t="b">
        <f t="shared" si="7"/>
        <v>0</v>
      </c>
      <c r="K223" s="521">
        <f>'Revenue Jrnl'!$G229</f>
        <v>0</v>
      </c>
      <c r="L223" s="522"/>
      <c r="M223" s="523"/>
      <c r="N223" s="524"/>
    </row>
    <row r="224" spans="2:14" s="1" customFormat="1" ht="30" hidden="1" customHeight="1" x14ac:dyDescent="0.2">
      <c r="B224" s="517">
        <f>IF(AND('Revenue Jrnl'!G230&lt;&gt;"",'Revenue Jrnl'!C230&lt;&gt;""),1,0)</f>
        <v>0</v>
      </c>
      <c r="C224" s="517">
        <f>'Revenue Jrnl'!$C230</f>
        <v>0</v>
      </c>
      <c r="D224" s="518">
        <f>'Revenue Jrnl'!$D230</f>
        <v>0</v>
      </c>
      <c r="E224" s="1523">
        <f>'Revenue Jrnl'!$F230</f>
        <v>0</v>
      </c>
      <c r="F224" s="1523"/>
      <c r="G224" s="519" t="str">
        <f>IF('Revenue Jrnl'!$E230="","",'Revenue Jrnl'!$E230)</f>
        <v/>
      </c>
      <c r="H224" s="518">
        <f>'Revenue Jrnl'!H230</f>
        <v>0</v>
      </c>
      <c r="I224" s="518" t="str">
        <f t="shared" si="6"/>
        <v>0</v>
      </c>
      <c r="J224" s="520" t="b">
        <f t="shared" si="7"/>
        <v>0</v>
      </c>
      <c r="K224" s="521">
        <f>'Revenue Jrnl'!$G230</f>
        <v>0</v>
      </c>
      <c r="L224" s="522"/>
      <c r="M224" s="523"/>
      <c r="N224" s="524"/>
    </row>
    <row r="225" spans="2:14" s="1" customFormat="1" ht="30" hidden="1" customHeight="1" x14ac:dyDescent="0.2">
      <c r="B225" s="517">
        <f>IF(AND('Revenue Jrnl'!G231&lt;&gt;"",'Revenue Jrnl'!C231&lt;&gt;""),1,0)</f>
        <v>0</v>
      </c>
      <c r="C225" s="517">
        <f>'Revenue Jrnl'!$C231</f>
        <v>0</v>
      </c>
      <c r="D225" s="518">
        <f>'Revenue Jrnl'!$D231</f>
        <v>0</v>
      </c>
      <c r="E225" s="1523">
        <f>'Revenue Jrnl'!$F231</f>
        <v>0</v>
      </c>
      <c r="F225" s="1523"/>
      <c r="G225" s="519" t="str">
        <f>IF('Revenue Jrnl'!$E231="","",'Revenue Jrnl'!$E231)</f>
        <v/>
      </c>
      <c r="H225" s="518">
        <f>'Revenue Jrnl'!H231</f>
        <v>0</v>
      </c>
      <c r="I225" s="518" t="str">
        <f t="shared" si="6"/>
        <v>0</v>
      </c>
      <c r="J225" s="520" t="b">
        <f t="shared" si="7"/>
        <v>0</v>
      </c>
      <c r="K225" s="521">
        <f>'Revenue Jrnl'!$G231</f>
        <v>0</v>
      </c>
      <c r="L225" s="522"/>
      <c r="M225" s="523"/>
      <c r="N225" s="524"/>
    </row>
    <row r="226" spans="2:14" s="1" customFormat="1" ht="30" hidden="1" customHeight="1" x14ac:dyDescent="0.2">
      <c r="B226" s="517">
        <f>IF(AND('Revenue Jrnl'!G232&lt;&gt;"",'Revenue Jrnl'!C232&lt;&gt;""),1,0)</f>
        <v>0</v>
      </c>
      <c r="C226" s="517">
        <f>'Revenue Jrnl'!$C232</f>
        <v>0</v>
      </c>
      <c r="D226" s="518">
        <f>'Revenue Jrnl'!$D232</f>
        <v>0</v>
      </c>
      <c r="E226" s="1523">
        <f>'Revenue Jrnl'!$F232</f>
        <v>0</v>
      </c>
      <c r="F226" s="1523"/>
      <c r="G226" s="519" t="str">
        <f>IF('Revenue Jrnl'!$E232="","",'Revenue Jrnl'!$E232)</f>
        <v/>
      </c>
      <c r="H226" s="518">
        <f>'Revenue Jrnl'!H232</f>
        <v>0</v>
      </c>
      <c r="I226" s="518" t="str">
        <f t="shared" si="6"/>
        <v>0</v>
      </c>
      <c r="J226" s="520" t="b">
        <f t="shared" si="7"/>
        <v>0</v>
      </c>
      <c r="K226" s="521">
        <f>'Revenue Jrnl'!$G232</f>
        <v>0</v>
      </c>
      <c r="L226" s="522"/>
      <c r="M226" s="523"/>
      <c r="N226" s="524"/>
    </row>
    <row r="227" spans="2:14" s="1" customFormat="1" ht="30" hidden="1" customHeight="1" x14ac:dyDescent="0.2">
      <c r="B227" s="517">
        <f>IF(AND('Revenue Jrnl'!G233&lt;&gt;"",'Revenue Jrnl'!C233&lt;&gt;""),1,0)</f>
        <v>0</v>
      </c>
      <c r="C227" s="517">
        <f>'Revenue Jrnl'!$C233</f>
        <v>0</v>
      </c>
      <c r="D227" s="518">
        <f>'Revenue Jrnl'!$D233</f>
        <v>0</v>
      </c>
      <c r="E227" s="1523">
        <f>'Revenue Jrnl'!$F233</f>
        <v>0</v>
      </c>
      <c r="F227" s="1523"/>
      <c r="G227" s="519" t="str">
        <f>IF('Revenue Jrnl'!$E233="","",'Revenue Jrnl'!$E233)</f>
        <v/>
      </c>
      <c r="H227" s="518">
        <f>'Revenue Jrnl'!H233</f>
        <v>0</v>
      </c>
      <c r="I227" s="518" t="str">
        <f t="shared" si="6"/>
        <v>0</v>
      </c>
      <c r="J227" s="520" t="b">
        <f t="shared" si="7"/>
        <v>0</v>
      </c>
      <c r="K227" s="521">
        <f>'Revenue Jrnl'!$G233</f>
        <v>0</v>
      </c>
      <c r="L227" s="522"/>
      <c r="M227" s="523"/>
      <c r="N227" s="524"/>
    </row>
    <row r="228" spans="2:14" s="1" customFormat="1" ht="30" hidden="1" customHeight="1" x14ac:dyDescent="0.2">
      <c r="B228" s="517">
        <f>IF(AND('Revenue Jrnl'!G234&lt;&gt;"",'Revenue Jrnl'!C234&lt;&gt;""),1,0)</f>
        <v>0</v>
      </c>
      <c r="C228" s="517">
        <f>'Revenue Jrnl'!$C234</f>
        <v>0</v>
      </c>
      <c r="D228" s="518">
        <f>'Revenue Jrnl'!$D234</f>
        <v>0</v>
      </c>
      <c r="E228" s="1523">
        <f>'Revenue Jrnl'!$F234</f>
        <v>0</v>
      </c>
      <c r="F228" s="1523"/>
      <c r="G228" s="519" t="str">
        <f>IF('Revenue Jrnl'!$E234="","",'Revenue Jrnl'!$E234)</f>
        <v/>
      </c>
      <c r="H228" s="518">
        <f>'Revenue Jrnl'!H234</f>
        <v>0</v>
      </c>
      <c r="I228" s="518" t="str">
        <f t="shared" si="6"/>
        <v>0</v>
      </c>
      <c r="J228" s="520" t="b">
        <f t="shared" si="7"/>
        <v>0</v>
      </c>
      <c r="K228" s="521">
        <f>'Revenue Jrnl'!$G234</f>
        <v>0</v>
      </c>
      <c r="L228" s="522"/>
      <c r="M228" s="523"/>
      <c r="N228" s="524"/>
    </row>
    <row r="229" spans="2:14" s="1" customFormat="1" ht="30" hidden="1" customHeight="1" x14ac:dyDescent="0.2">
      <c r="B229" s="517">
        <f>IF(AND('Revenue Jrnl'!G235&lt;&gt;"",'Revenue Jrnl'!C235&lt;&gt;""),1,0)</f>
        <v>0</v>
      </c>
      <c r="C229" s="517">
        <f>'Revenue Jrnl'!$C235</f>
        <v>0</v>
      </c>
      <c r="D229" s="518">
        <f>'Revenue Jrnl'!$D235</f>
        <v>0</v>
      </c>
      <c r="E229" s="1523">
        <f>'Revenue Jrnl'!$F235</f>
        <v>0</v>
      </c>
      <c r="F229" s="1523"/>
      <c r="G229" s="519" t="str">
        <f>IF('Revenue Jrnl'!$E235="","",'Revenue Jrnl'!$E235)</f>
        <v/>
      </c>
      <c r="H229" s="518">
        <f>'Revenue Jrnl'!H235</f>
        <v>0</v>
      </c>
      <c r="I229" s="518" t="str">
        <f t="shared" si="6"/>
        <v>0</v>
      </c>
      <c r="J229" s="520" t="b">
        <f t="shared" si="7"/>
        <v>0</v>
      </c>
      <c r="K229" s="521">
        <f>'Revenue Jrnl'!$G235</f>
        <v>0</v>
      </c>
      <c r="L229" s="522"/>
      <c r="M229" s="523"/>
      <c r="N229" s="524"/>
    </row>
    <row r="230" spans="2:14" s="1" customFormat="1" ht="30" hidden="1" customHeight="1" x14ac:dyDescent="0.2">
      <c r="B230" s="517">
        <f>IF(AND('Revenue Jrnl'!G236&lt;&gt;"",'Revenue Jrnl'!C236&lt;&gt;""),1,0)</f>
        <v>0</v>
      </c>
      <c r="C230" s="517">
        <f>'Revenue Jrnl'!$C236</f>
        <v>0</v>
      </c>
      <c r="D230" s="518">
        <f>'Revenue Jrnl'!$D236</f>
        <v>0</v>
      </c>
      <c r="E230" s="1523">
        <f>'Revenue Jrnl'!$F236</f>
        <v>0</v>
      </c>
      <c r="F230" s="1523"/>
      <c r="G230" s="519" t="str">
        <f>IF('Revenue Jrnl'!$E236="","",'Revenue Jrnl'!$E236)</f>
        <v/>
      </c>
      <c r="H230" s="518">
        <f>'Revenue Jrnl'!H236</f>
        <v>0</v>
      </c>
      <c r="I230" s="518" t="str">
        <f t="shared" si="6"/>
        <v>0</v>
      </c>
      <c r="J230" s="520" t="b">
        <f t="shared" si="7"/>
        <v>0</v>
      </c>
      <c r="K230" s="521">
        <f>'Revenue Jrnl'!$G236</f>
        <v>0</v>
      </c>
      <c r="L230" s="522"/>
      <c r="M230" s="523"/>
      <c r="N230" s="524"/>
    </row>
    <row r="231" spans="2:14" s="1" customFormat="1" ht="30" hidden="1" customHeight="1" x14ac:dyDescent="0.2">
      <c r="B231" s="517">
        <f>IF(AND('Revenue Jrnl'!G237&lt;&gt;"",'Revenue Jrnl'!C237&lt;&gt;""),1,0)</f>
        <v>0</v>
      </c>
      <c r="C231" s="517">
        <f>'Revenue Jrnl'!$C237</f>
        <v>0</v>
      </c>
      <c r="D231" s="518">
        <f>'Revenue Jrnl'!$D237</f>
        <v>0</v>
      </c>
      <c r="E231" s="1523">
        <f>'Revenue Jrnl'!$F237</f>
        <v>0</v>
      </c>
      <c r="F231" s="1523"/>
      <c r="G231" s="519" t="str">
        <f>IF('Revenue Jrnl'!$E237="","",'Revenue Jrnl'!$E237)</f>
        <v/>
      </c>
      <c r="H231" s="518">
        <f>'Revenue Jrnl'!H237</f>
        <v>0</v>
      </c>
      <c r="I231" s="518" t="str">
        <f t="shared" si="6"/>
        <v>0</v>
      </c>
      <c r="J231" s="520" t="b">
        <f t="shared" si="7"/>
        <v>0</v>
      </c>
      <c r="K231" s="521">
        <f>'Revenue Jrnl'!$G237</f>
        <v>0</v>
      </c>
      <c r="L231" s="522"/>
      <c r="M231" s="523"/>
      <c r="N231" s="524"/>
    </row>
    <row r="232" spans="2:14" s="1" customFormat="1" ht="30" hidden="1" customHeight="1" x14ac:dyDescent="0.2">
      <c r="B232" s="517">
        <f>IF(AND('Revenue Jrnl'!G238&lt;&gt;"",'Revenue Jrnl'!C238&lt;&gt;""),1,0)</f>
        <v>0</v>
      </c>
      <c r="C232" s="517">
        <f>'Revenue Jrnl'!$C238</f>
        <v>0</v>
      </c>
      <c r="D232" s="518">
        <f>'Revenue Jrnl'!$D238</f>
        <v>0</v>
      </c>
      <c r="E232" s="1523">
        <f>'Revenue Jrnl'!$F238</f>
        <v>0</v>
      </c>
      <c r="F232" s="1523"/>
      <c r="G232" s="519" t="str">
        <f>IF('Revenue Jrnl'!$E238="","",'Revenue Jrnl'!$E238)</f>
        <v/>
      </c>
      <c r="H232" s="518">
        <f>'Revenue Jrnl'!H238</f>
        <v>0</v>
      </c>
      <c r="I232" s="518" t="str">
        <f t="shared" si="6"/>
        <v>0</v>
      </c>
      <c r="J232" s="520" t="b">
        <f t="shared" si="7"/>
        <v>0</v>
      </c>
      <c r="K232" s="521">
        <f>'Revenue Jrnl'!$G238</f>
        <v>0</v>
      </c>
      <c r="L232" s="522"/>
      <c r="M232" s="523"/>
      <c r="N232" s="524"/>
    </row>
    <row r="233" spans="2:14" s="1" customFormat="1" ht="30" hidden="1" customHeight="1" x14ac:dyDescent="0.2">
      <c r="B233" s="517">
        <f>IF(AND('Revenue Jrnl'!G239&lt;&gt;"",'Revenue Jrnl'!C239&lt;&gt;""),1,0)</f>
        <v>0</v>
      </c>
      <c r="C233" s="517">
        <f>'Revenue Jrnl'!$C239</f>
        <v>0</v>
      </c>
      <c r="D233" s="518">
        <f>'Revenue Jrnl'!$D239</f>
        <v>0</v>
      </c>
      <c r="E233" s="1523">
        <f>'Revenue Jrnl'!$F239</f>
        <v>0</v>
      </c>
      <c r="F233" s="1523"/>
      <c r="G233" s="519" t="str">
        <f>IF('Revenue Jrnl'!$E239="","",'Revenue Jrnl'!$E239)</f>
        <v/>
      </c>
      <c r="H233" s="518">
        <f>'Revenue Jrnl'!H239</f>
        <v>0</v>
      </c>
      <c r="I233" s="518" t="str">
        <f t="shared" si="6"/>
        <v>0</v>
      </c>
      <c r="J233" s="520" t="b">
        <f t="shared" si="7"/>
        <v>0</v>
      </c>
      <c r="K233" s="521">
        <f>'Revenue Jrnl'!$G239</f>
        <v>0</v>
      </c>
      <c r="L233" s="522"/>
      <c r="M233" s="523"/>
      <c r="N233" s="524"/>
    </row>
    <row r="234" spans="2:14" s="1" customFormat="1" ht="30" hidden="1" customHeight="1" x14ac:dyDescent="0.2">
      <c r="B234" s="517">
        <f>IF(AND('Revenue Jrnl'!G240&lt;&gt;"",'Revenue Jrnl'!C240&lt;&gt;""),1,0)</f>
        <v>0</v>
      </c>
      <c r="C234" s="517">
        <f>'Revenue Jrnl'!$C240</f>
        <v>0</v>
      </c>
      <c r="D234" s="518">
        <f>'Revenue Jrnl'!$D240</f>
        <v>0</v>
      </c>
      <c r="E234" s="1523">
        <f>'Revenue Jrnl'!$F240</f>
        <v>0</v>
      </c>
      <c r="F234" s="1523"/>
      <c r="G234" s="519" t="str">
        <f>IF('Revenue Jrnl'!$E240="","",'Revenue Jrnl'!$E240)</f>
        <v/>
      </c>
      <c r="H234" s="518">
        <f>'Revenue Jrnl'!H240</f>
        <v>0</v>
      </c>
      <c r="I234" s="518" t="str">
        <f t="shared" si="6"/>
        <v>0</v>
      </c>
      <c r="J234" s="520" t="b">
        <f t="shared" si="7"/>
        <v>0</v>
      </c>
      <c r="K234" s="521">
        <f>'Revenue Jrnl'!$G240</f>
        <v>0</v>
      </c>
      <c r="L234" s="522"/>
      <c r="M234" s="523"/>
      <c r="N234" s="524"/>
    </row>
    <row r="235" spans="2:14" s="1" customFormat="1" ht="30" hidden="1" customHeight="1" x14ac:dyDescent="0.2">
      <c r="B235" s="517">
        <f>IF(AND('Revenue Jrnl'!G241&lt;&gt;"",'Revenue Jrnl'!C241&lt;&gt;""),1,0)</f>
        <v>0</v>
      </c>
      <c r="C235" s="517">
        <f>'Revenue Jrnl'!$C241</f>
        <v>0</v>
      </c>
      <c r="D235" s="518">
        <f>'Revenue Jrnl'!$D241</f>
        <v>0</v>
      </c>
      <c r="E235" s="1523">
        <f>'Revenue Jrnl'!$F241</f>
        <v>0</v>
      </c>
      <c r="F235" s="1523"/>
      <c r="G235" s="519" t="str">
        <f>IF('Revenue Jrnl'!$E241="","",'Revenue Jrnl'!$E241)</f>
        <v/>
      </c>
      <c r="H235" s="518">
        <f>'Revenue Jrnl'!H241</f>
        <v>0</v>
      </c>
      <c r="I235" s="518" t="str">
        <f t="shared" si="6"/>
        <v>0</v>
      </c>
      <c r="J235" s="520" t="b">
        <f t="shared" si="7"/>
        <v>0</v>
      </c>
      <c r="K235" s="521">
        <f>'Revenue Jrnl'!$G241</f>
        <v>0</v>
      </c>
      <c r="L235" s="522"/>
      <c r="M235" s="523"/>
      <c r="N235" s="524"/>
    </row>
    <row r="236" spans="2:14" s="1" customFormat="1" ht="30" hidden="1" customHeight="1" x14ac:dyDescent="0.2">
      <c r="B236" s="517">
        <f>IF(AND('Revenue Jrnl'!G242&lt;&gt;"",'Revenue Jrnl'!C242&lt;&gt;""),1,0)</f>
        <v>0</v>
      </c>
      <c r="C236" s="517">
        <f>'Revenue Jrnl'!$C242</f>
        <v>0</v>
      </c>
      <c r="D236" s="518">
        <f>'Revenue Jrnl'!$D242</f>
        <v>0</v>
      </c>
      <c r="E236" s="1523">
        <f>'Revenue Jrnl'!$F242</f>
        <v>0</v>
      </c>
      <c r="F236" s="1523"/>
      <c r="G236" s="519" t="str">
        <f>IF('Revenue Jrnl'!$E242="","",'Revenue Jrnl'!$E242)</f>
        <v/>
      </c>
      <c r="H236" s="518">
        <f>'Revenue Jrnl'!H242</f>
        <v>0</v>
      </c>
      <c r="I236" s="518" t="str">
        <f t="shared" si="6"/>
        <v>0</v>
      </c>
      <c r="J236" s="520" t="b">
        <f t="shared" si="7"/>
        <v>0</v>
      </c>
      <c r="K236" s="521">
        <f>'Revenue Jrnl'!$G242</f>
        <v>0</v>
      </c>
      <c r="L236" s="522"/>
      <c r="M236" s="523"/>
      <c r="N236" s="524"/>
    </row>
    <row r="237" spans="2:14" s="1" customFormat="1" ht="30" hidden="1" customHeight="1" x14ac:dyDescent="0.2">
      <c r="B237" s="517">
        <f>IF(AND('Revenue Jrnl'!G243&lt;&gt;"",'Revenue Jrnl'!C243&lt;&gt;""),1,0)</f>
        <v>0</v>
      </c>
      <c r="C237" s="517">
        <f>'Revenue Jrnl'!$C243</f>
        <v>0</v>
      </c>
      <c r="D237" s="518">
        <f>'Revenue Jrnl'!$D243</f>
        <v>0</v>
      </c>
      <c r="E237" s="1523">
        <f>'Revenue Jrnl'!$F243</f>
        <v>0</v>
      </c>
      <c r="F237" s="1523"/>
      <c r="G237" s="519" t="str">
        <f>IF('Revenue Jrnl'!$E243="","",'Revenue Jrnl'!$E243)</f>
        <v/>
      </c>
      <c r="H237" s="518">
        <f>'Revenue Jrnl'!H243</f>
        <v>0</v>
      </c>
      <c r="I237" s="518" t="str">
        <f t="shared" si="6"/>
        <v>0</v>
      </c>
      <c r="J237" s="520" t="b">
        <f t="shared" si="7"/>
        <v>0</v>
      </c>
      <c r="K237" s="521">
        <f>'Revenue Jrnl'!$G243</f>
        <v>0</v>
      </c>
      <c r="L237" s="522"/>
      <c r="M237" s="523"/>
      <c r="N237" s="524"/>
    </row>
    <row r="238" spans="2:14" s="1" customFormat="1" ht="30" hidden="1" customHeight="1" x14ac:dyDescent="0.2">
      <c r="B238" s="517">
        <f>IF(AND('Revenue Jrnl'!G244&lt;&gt;"",'Revenue Jrnl'!C244&lt;&gt;""),1,0)</f>
        <v>0</v>
      </c>
      <c r="C238" s="517">
        <f>'Revenue Jrnl'!$C244</f>
        <v>0</v>
      </c>
      <c r="D238" s="518">
        <f>'Revenue Jrnl'!$D244</f>
        <v>0</v>
      </c>
      <c r="E238" s="1523">
        <f>'Revenue Jrnl'!$F244</f>
        <v>0</v>
      </c>
      <c r="F238" s="1523"/>
      <c r="G238" s="519" t="str">
        <f>IF('Revenue Jrnl'!$E244="","",'Revenue Jrnl'!$E244)</f>
        <v/>
      </c>
      <c r="H238" s="518">
        <f>'Revenue Jrnl'!H244</f>
        <v>0</v>
      </c>
      <c r="I238" s="518" t="str">
        <f t="shared" si="6"/>
        <v>0</v>
      </c>
      <c r="J238" s="520" t="b">
        <f t="shared" si="7"/>
        <v>0</v>
      </c>
      <c r="K238" s="521">
        <f>'Revenue Jrnl'!$G244</f>
        <v>0</v>
      </c>
      <c r="L238" s="522"/>
      <c r="M238" s="523"/>
      <c r="N238" s="524"/>
    </row>
    <row r="239" spans="2:14" s="1" customFormat="1" ht="30" hidden="1" customHeight="1" x14ac:dyDescent="0.2">
      <c r="B239" s="517">
        <f>IF(AND('Revenue Jrnl'!G245&lt;&gt;"",'Revenue Jrnl'!C245&lt;&gt;""),1,0)</f>
        <v>0</v>
      </c>
      <c r="C239" s="517">
        <f>'Revenue Jrnl'!$C245</f>
        <v>0</v>
      </c>
      <c r="D239" s="518">
        <f>'Revenue Jrnl'!$D245</f>
        <v>0</v>
      </c>
      <c r="E239" s="1523">
        <f>'Revenue Jrnl'!$F245</f>
        <v>0</v>
      </c>
      <c r="F239" s="1523"/>
      <c r="G239" s="519" t="str">
        <f>IF('Revenue Jrnl'!$E245="","",'Revenue Jrnl'!$E245)</f>
        <v/>
      </c>
      <c r="H239" s="518">
        <f>'Revenue Jrnl'!H245</f>
        <v>0</v>
      </c>
      <c r="I239" s="518" t="str">
        <f t="shared" si="6"/>
        <v>0</v>
      </c>
      <c r="J239" s="520" t="b">
        <f t="shared" si="7"/>
        <v>0</v>
      </c>
      <c r="K239" s="521">
        <f>'Revenue Jrnl'!$G245</f>
        <v>0</v>
      </c>
      <c r="L239" s="522"/>
      <c r="M239" s="523"/>
      <c r="N239" s="524"/>
    </row>
    <row r="240" spans="2:14" s="1" customFormat="1" ht="30" hidden="1" customHeight="1" x14ac:dyDescent="0.2">
      <c r="B240" s="517">
        <f>IF(AND('Revenue Jrnl'!G246&lt;&gt;"",'Revenue Jrnl'!C246&lt;&gt;""),1,0)</f>
        <v>0</v>
      </c>
      <c r="C240" s="517">
        <f>'Revenue Jrnl'!$C246</f>
        <v>0</v>
      </c>
      <c r="D240" s="518">
        <f>'Revenue Jrnl'!$D246</f>
        <v>0</v>
      </c>
      <c r="E240" s="1523">
        <f>'Revenue Jrnl'!$F246</f>
        <v>0</v>
      </c>
      <c r="F240" s="1523"/>
      <c r="G240" s="519" t="str">
        <f>IF('Revenue Jrnl'!$E246="","",'Revenue Jrnl'!$E246)</f>
        <v/>
      </c>
      <c r="H240" s="518">
        <f>'Revenue Jrnl'!H246</f>
        <v>0</v>
      </c>
      <c r="I240" s="518" t="str">
        <f t="shared" si="6"/>
        <v>0</v>
      </c>
      <c r="J240" s="520" t="b">
        <f t="shared" si="7"/>
        <v>0</v>
      </c>
      <c r="K240" s="521">
        <f>'Revenue Jrnl'!$G246</f>
        <v>0</v>
      </c>
      <c r="L240" s="522"/>
      <c r="M240" s="523"/>
      <c r="N240" s="524"/>
    </row>
    <row r="241" spans="2:14" s="1" customFormat="1" ht="30" hidden="1" customHeight="1" x14ac:dyDescent="0.2">
      <c r="B241" s="517">
        <f>IF(AND('Revenue Jrnl'!G247&lt;&gt;"",'Revenue Jrnl'!C247&lt;&gt;""),1,0)</f>
        <v>0</v>
      </c>
      <c r="C241" s="517">
        <f>'Revenue Jrnl'!$C247</f>
        <v>0</v>
      </c>
      <c r="D241" s="518">
        <f>'Revenue Jrnl'!$D247</f>
        <v>0</v>
      </c>
      <c r="E241" s="1523">
        <f>'Revenue Jrnl'!$F247</f>
        <v>0</v>
      </c>
      <c r="F241" s="1523"/>
      <c r="G241" s="519" t="str">
        <f>IF('Revenue Jrnl'!$E247="","",'Revenue Jrnl'!$E247)</f>
        <v/>
      </c>
      <c r="H241" s="518">
        <f>'Revenue Jrnl'!H247</f>
        <v>0</v>
      </c>
      <c r="I241" s="518" t="str">
        <f t="shared" si="6"/>
        <v>0</v>
      </c>
      <c r="J241" s="520" t="b">
        <f t="shared" si="7"/>
        <v>0</v>
      </c>
      <c r="K241" s="521">
        <f>'Revenue Jrnl'!$G247</f>
        <v>0</v>
      </c>
      <c r="L241" s="522"/>
      <c r="M241" s="523"/>
      <c r="N241" s="524"/>
    </row>
    <row r="242" spans="2:14" s="1" customFormat="1" ht="30" hidden="1" customHeight="1" x14ac:dyDescent="0.2">
      <c r="B242" s="517">
        <f>IF(AND('Revenue Jrnl'!G248&lt;&gt;"",'Revenue Jrnl'!C248&lt;&gt;""),1,0)</f>
        <v>0</v>
      </c>
      <c r="C242" s="517">
        <f>'Revenue Jrnl'!$C248</f>
        <v>0</v>
      </c>
      <c r="D242" s="518">
        <f>'Revenue Jrnl'!$D248</f>
        <v>0</v>
      </c>
      <c r="E242" s="1523">
        <f>'Revenue Jrnl'!$F248</f>
        <v>0</v>
      </c>
      <c r="F242" s="1523"/>
      <c r="G242" s="519" t="str">
        <f>IF('Revenue Jrnl'!$E248="","",'Revenue Jrnl'!$E248)</f>
        <v/>
      </c>
      <c r="H242" s="518">
        <f>'Revenue Jrnl'!H248</f>
        <v>0</v>
      </c>
      <c r="I242" s="518" t="str">
        <f t="shared" si="6"/>
        <v>0</v>
      </c>
      <c r="J242" s="520" t="b">
        <f t="shared" si="7"/>
        <v>0</v>
      </c>
      <c r="K242" s="521">
        <f>'Revenue Jrnl'!$G248</f>
        <v>0</v>
      </c>
      <c r="L242" s="522"/>
      <c r="M242" s="523"/>
      <c r="N242" s="524"/>
    </row>
    <row r="243" spans="2:14" s="1" customFormat="1" ht="30" hidden="1" customHeight="1" x14ac:dyDescent="0.2">
      <c r="B243" s="517">
        <f>IF(AND('Revenue Jrnl'!G249&lt;&gt;"",'Revenue Jrnl'!C249&lt;&gt;""),1,0)</f>
        <v>0</v>
      </c>
      <c r="C243" s="517">
        <f>'Revenue Jrnl'!$C249</f>
        <v>0</v>
      </c>
      <c r="D243" s="518">
        <f>'Revenue Jrnl'!$D249</f>
        <v>0</v>
      </c>
      <c r="E243" s="1523">
        <f>'Revenue Jrnl'!$F249</f>
        <v>0</v>
      </c>
      <c r="F243" s="1523"/>
      <c r="G243" s="519" t="str">
        <f>IF('Revenue Jrnl'!$E249="","",'Revenue Jrnl'!$E249)</f>
        <v/>
      </c>
      <c r="H243" s="518">
        <f>'Revenue Jrnl'!H249</f>
        <v>0</v>
      </c>
      <c r="I243" s="518" t="str">
        <f t="shared" si="6"/>
        <v>0</v>
      </c>
      <c r="J243" s="520" t="b">
        <f t="shared" si="7"/>
        <v>0</v>
      </c>
      <c r="K243" s="521">
        <f>'Revenue Jrnl'!$G249</f>
        <v>0</v>
      </c>
      <c r="L243" s="522"/>
      <c r="M243" s="523"/>
      <c r="N243" s="524"/>
    </row>
    <row r="244" spans="2:14" s="1" customFormat="1" ht="30" hidden="1" customHeight="1" x14ac:dyDescent="0.2">
      <c r="B244" s="517">
        <f>IF(AND('Revenue Jrnl'!G250&lt;&gt;"",'Revenue Jrnl'!C250&lt;&gt;""),1,0)</f>
        <v>0</v>
      </c>
      <c r="C244" s="517">
        <f>'Revenue Jrnl'!$C250</f>
        <v>0</v>
      </c>
      <c r="D244" s="518">
        <f>'Revenue Jrnl'!$D250</f>
        <v>0</v>
      </c>
      <c r="E244" s="1523">
        <f>'Revenue Jrnl'!$F250</f>
        <v>0</v>
      </c>
      <c r="F244" s="1523"/>
      <c r="G244" s="519" t="str">
        <f>IF('Revenue Jrnl'!$E250="","",'Revenue Jrnl'!$E250)</f>
        <v/>
      </c>
      <c r="H244" s="518">
        <f>'Revenue Jrnl'!H250</f>
        <v>0</v>
      </c>
      <c r="I244" s="518" t="str">
        <f t="shared" si="6"/>
        <v>0</v>
      </c>
      <c r="J244" s="520" t="b">
        <f t="shared" si="7"/>
        <v>0</v>
      </c>
      <c r="K244" s="521">
        <f>'Revenue Jrnl'!$G250</f>
        <v>0</v>
      </c>
      <c r="L244" s="522"/>
      <c r="M244" s="523"/>
      <c r="N244" s="524"/>
    </row>
    <row r="245" spans="2:14" s="1" customFormat="1" ht="30" hidden="1" customHeight="1" x14ac:dyDescent="0.2">
      <c r="B245" s="517">
        <f>IF(AND('Revenue Jrnl'!G251&lt;&gt;"",'Revenue Jrnl'!C251&lt;&gt;""),1,0)</f>
        <v>0</v>
      </c>
      <c r="C245" s="517">
        <f>'Revenue Jrnl'!$C251</f>
        <v>0</v>
      </c>
      <c r="D245" s="518">
        <f>'Revenue Jrnl'!$D251</f>
        <v>0</v>
      </c>
      <c r="E245" s="1523">
        <f>'Revenue Jrnl'!$F251</f>
        <v>0</v>
      </c>
      <c r="F245" s="1523"/>
      <c r="G245" s="519" t="str">
        <f>IF('Revenue Jrnl'!$E251="","",'Revenue Jrnl'!$E251)</f>
        <v/>
      </c>
      <c r="H245" s="518">
        <f>'Revenue Jrnl'!H251</f>
        <v>0</v>
      </c>
      <c r="I245" s="518" t="str">
        <f t="shared" si="6"/>
        <v>0</v>
      </c>
      <c r="J245" s="520" t="b">
        <f t="shared" si="7"/>
        <v>0</v>
      </c>
      <c r="K245" s="521">
        <f>'Revenue Jrnl'!$G251</f>
        <v>0</v>
      </c>
      <c r="L245" s="522"/>
      <c r="M245" s="523"/>
      <c r="N245" s="524"/>
    </row>
    <row r="246" spans="2:14" s="1" customFormat="1" ht="30" hidden="1" customHeight="1" x14ac:dyDescent="0.2">
      <c r="B246" s="517">
        <f>IF(AND('Revenue Jrnl'!G252&lt;&gt;"",'Revenue Jrnl'!C252&lt;&gt;""),1,0)</f>
        <v>0</v>
      </c>
      <c r="C246" s="517">
        <f>'Revenue Jrnl'!$C252</f>
        <v>0</v>
      </c>
      <c r="D246" s="518">
        <f>'Revenue Jrnl'!$D252</f>
        <v>0</v>
      </c>
      <c r="E246" s="1523">
        <f>'Revenue Jrnl'!$F252</f>
        <v>0</v>
      </c>
      <c r="F246" s="1523"/>
      <c r="G246" s="519" t="str">
        <f>IF('Revenue Jrnl'!$E252="","",'Revenue Jrnl'!$E252)</f>
        <v/>
      </c>
      <c r="H246" s="518">
        <f>'Revenue Jrnl'!H252</f>
        <v>0</v>
      </c>
      <c r="I246" s="518" t="str">
        <f t="shared" si="6"/>
        <v>0</v>
      </c>
      <c r="J246" s="520" t="b">
        <f t="shared" si="7"/>
        <v>0</v>
      </c>
      <c r="K246" s="521">
        <f>'Revenue Jrnl'!$G252</f>
        <v>0</v>
      </c>
      <c r="L246" s="522"/>
      <c r="M246" s="523"/>
      <c r="N246" s="524"/>
    </row>
    <row r="247" spans="2:14" s="1" customFormat="1" ht="30" hidden="1" customHeight="1" x14ac:dyDescent="0.2">
      <c r="B247" s="517">
        <f>IF(AND('Revenue Jrnl'!G253&lt;&gt;"",'Revenue Jrnl'!C253&lt;&gt;""),1,0)</f>
        <v>0</v>
      </c>
      <c r="C247" s="517">
        <f>'Revenue Jrnl'!$C253</f>
        <v>0</v>
      </c>
      <c r="D247" s="518">
        <f>'Revenue Jrnl'!$D253</f>
        <v>0</v>
      </c>
      <c r="E247" s="1523">
        <f>'Revenue Jrnl'!$F253</f>
        <v>0</v>
      </c>
      <c r="F247" s="1523"/>
      <c r="G247" s="519" t="str">
        <f>IF('Revenue Jrnl'!$E253="","",'Revenue Jrnl'!$E253)</f>
        <v/>
      </c>
      <c r="H247" s="518">
        <f>'Revenue Jrnl'!H253</f>
        <v>0</v>
      </c>
      <c r="I247" s="518" t="str">
        <f t="shared" si="6"/>
        <v>0</v>
      </c>
      <c r="J247" s="520" t="b">
        <f t="shared" si="7"/>
        <v>0</v>
      </c>
      <c r="K247" s="521">
        <f>'Revenue Jrnl'!$G253</f>
        <v>0</v>
      </c>
      <c r="L247" s="522"/>
      <c r="M247" s="523"/>
      <c r="N247" s="524"/>
    </row>
    <row r="248" spans="2:14" s="1" customFormat="1" ht="30" hidden="1" customHeight="1" x14ac:dyDescent="0.2">
      <c r="B248" s="517">
        <f>IF(AND('Revenue Jrnl'!G254&lt;&gt;"",'Revenue Jrnl'!C254&lt;&gt;""),1,0)</f>
        <v>0</v>
      </c>
      <c r="C248" s="517">
        <f>'Revenue Jrnl'!$C254</f>
        <v>0</v>
      </c>
      <c r="D248" s="518">
        <f>'Revenue Jrnl'!$D254</f>
        <v>0</v>
      </c>
      <c r="E248" s="1523">
        <f>'Revenue Jrnl'!$F254</f>
        <v>0</v>
      </c>
      <c r="F248" s="1523"/>
      <c r="G248" s="519" t="str">
        <f>IF('Revenue Jrnl'!$E254="","",'Revenue Jrnl'!$E254)</f>
        <v/>
      </c>
      <c r="H248" s="518">
        <f>'Revenue Jrnl'!H254</f>
        <v>0</v>
      </c>
      <c r="I248" s="518" t="str">
        <f t="shared" si="6"/>
        <v>0</v>
      </c>
      <c r="J248" s="520" t="b">
        <f t="shared" si="7"/>
        <v>0</v>
      </c>
      <c r="K248" s="521">
        <f>'Revenue Jrnl'!$G254</f>
        <v>0</v>
      </c>
      <c r="L248" s="522"/>
      <c r="M248" s="523"/>
      <c r="N248" s="524"/>
    </row>
    <row r="249" spans="2:14" s="1" customFormat="1" ht="30" hidden="1" customHeight="1" x14ac:dyDescent="0.2">
      <c r="B249" s="517">
        <f>IF(AND('Revenue Jrnl'!G255&lt;&gt;"",'Revenue Jrnl'!C255&lt;&gt;""),1,0)</f>
        <v>0</v>
      </c>
      <c r="C249" s="517">
        <f>'Revenue Jrnl'!$C255</f>
        <v>0</v>
      </c>
      <c r="D249" s="518">
        <f>'Revenue Jrnl'!$D255</f>
        <v>0</v>
      </c>
      <c r="E249" s="1523">
        <f>'Revenue Jrnl'!$F255</f>
        <v>0</v>
      </c>
      <c r="F249" s="1523"/>
      <c r="G249" s="519" t="str">
        <f>IF('Revenue Jrnl'!$E255="","",'Revenue Jrnl'!$E255)</f>
        <v/>
      </c>
      <c r="H249" s="518">
        <f>'Revenue Jrnl'!H255</f>
        <v>0</v>
      </c>
      <c r="I249" s="518" t="str">
        <f t="shared" si="6"/>
        <v>0</v>
      </c>
      <c r="J249" s="520" t="b">
        <f t="shared" si="7"/>
        <v>0</v>
      </c>
      <c r="K249" s="521">
        <f>'Revenue Jrnl'!$G255</f>
        <v>0</v>
      </c>
      <c r="L249" s="522"/>
      <c r="M249" s="523"/>
      <c r="N249" s="524"/>
    </row>
    <row r="250" spans="2:14" s="1" customFormat="1" ht="30" hidden="1" customHeight="1" x14ac:dyDescent="0.2">
      <c r="B250" s="517">
        <f>IF(AND('Revenue Jrnl'!G256&lt;&gt;"",'Revenue Jrnl'!C256&lt;&gt;""),1,0)</f>
        <v>0</v>
      </c>
      <c r="C250" s="517">
        <f>'Revenue Jrnl'!$C256</f>
        <v>0</v>
      </c>
      <c r="D250" s="518">
        <f>'Revenue Jrnl'!$D256</f>
        <v>0</v>
      </c>
      <c r="E250" s="1523">
        <f>'Revenue Jrnl'!$F256</f>
        <v>0</v>
      </c>
      <c r="F250" s="1523"/>
      <c r="G250" s="519" t="str">
        <f>IF('Revenue Jrnl'!$E256="","",'Revenue Jrnl'!$E256)</f>
        <v/>
      </c>
      <c r="H250" s="518">
        <f>'Revenue Jrnl'!H256</f>
        <v>0</v>
      </c>
      <c r="I250" s="518" t="str">
        <f t="shared" si="6"/>
        <v>0</v>
      </c>
      <c r="J250" s="520" t="b">
        <f t="shared" si="7"/>
        <v>0</v>
      </c>
      <c r="K250" s="521">
        <f>'Revenue Jrnl'!$G256</f>
        <v>0</v>
      </c>
      <c r="L250" s="522"/>
      <c r="M250" s="523"/>
      <c r="N250" s="524"/>
    </row>
    <row r="251" spans="2:14" s="1" customFormat="1" ht="30" hidden="1" customHeight="1" x14ac:dyDescent="0.2">
      <c r="B251" s="517">
        <f>IF(AND('Revenue Jrnl'!G257&lt;&gt;"",'Revenue Jrnl'!C257&lt;&gt;""),1,0)</f>
        <v>0</v>
      </c>
      <c r="C251" s="517">
        <f>'Revenue Jrnl'!$C257</f>
        <v>0</v>
      </c>
      <c r="D251" s="518">
        <f>'Revenue Jrnl'!$D257</f>
        <v>0</v>
      </c>
      <c r="E251" s="1523">
        <f>'Revenue Jrnl'!$F257</f>
        <v>0</v>
      </c>
      <c r="F251" s="1523"/>
      <c r="G251" s="519" t="str">
        <f>IF('Revenue Jrnl'!$E257="","",'Revenue Jrnl'!$E257)</f>
        <v/>
      </c>
      <c r="H251" s="518">
        <f>'Revenue Jrnl'!H257</f>
        <v>0</v>
      </c>
      <c r="I251" s="518" t="str">
        <f t="shared" si="6"/>
        <v>0</v>
      </c>
      <c r="J251" s="520" t="b">
        <f t="shared" si="7"/>
        <v>0</v>
      </c>
      <c r="K251" s="521">
        <f>'Revenue Jrnl'!$G257</f>
        <v>0</v>
      </c>
      <c r="L251" s="522"/>
      <c r="M251" s="523"/>
      <c r="N251" s="524"/>
    </row>
    <row r="252" spans="2:14" s="1" customFormat="1" ht="30" hidden="1" customHeight="1" x14ac:dyDescent="0.2">
      <c r="B252" s="517">
        <f>IF(AND('Revenue Jrnl'!G258&lt;&gt;"",'Revenue Jrnl'!C258&lt;&gt;""),1,0)</f>
        <v>0</v>
      </c>
      <c r="C252" s="517">
        <f>'Revenue Jrnl'!$C258</f>
        <v>0</v>
      </c>
      <c r="D252" s="518">
        <f>'Revenue Jrnl'!$D258</f>
        <v>0</v>
      </c>
      <c r="E252" s="1523">
        <f>'Revenue Jrnl'!$F258</f>
        <v>0</v>
      </c>
      <c r="F252" s="1523"/>
      <c r="G252" s="519" t="str">
        <f>IF('Revenue Jrnl'!$E258="","",'Revenue Jrnl'!$E258)</f>
        <v/>
      </c>
      <c r="H252" s="518">
        <f>'Revenue Jrnl'!H258</f>
        <v>0</v>
      </c>
      <c r="I252" s="518" t="str">
        <f t="shared" si="6"/>
        <v>0</v>
      </c>
      <c r="J252" s="520" t="b">
        <f t="shared" si="7"/>
        <v>0</v>
      </c>
      <c r="K252" s="521">
        <f>'Revenue Jrnl'!$G258</f>
        <v>0</v>
      </c>
      <c r="L252" s="522"/>
      <c r="M252" s="523"/>
      <c r="N252" s="524"/>
    </row>
    <row r="253" spans="2:14" s="1" customFormat="1" ht="30" hidden="1" customHeight="1" x14ac:dyDescent="0.2">
      <c r="B253" s="517">
        <f>IF(AND('Revenue Jrnl'!G259&lt;&gt;"",'Revenue Jrnl'!C259&lt;&gt;""),1,0)</f>
        <v>0</v>
      </c>
      <c r="C253" s="517">
        <f>'Revenue Jrnl'!$C259</f>
        <v>0</v>
      </c>
      <c r="D253" s="518">
        <f>'Revenue Jrnl'!$D259</f>
        <v>0</v>
      </c>
      <c r="E253" s="1523">
        <f>'Revenue Jrnl'!$F259</f>
        <v>0</v>
      </c>
      <c r="F253" s="1523"/>
      <c r="G253" s="519" t="str">
        <f>IF('Revenue Jrnl'!$E259="","",'Revenue Jrnl'!$E259)</f>
        <v/>
      </c>
      <c r="H253" s="518">
        <f>'Revenue Jrnl'!H259</f>
        <v>0</v>
      </c>
      <c r="I253" s="518" t="str">
        <f t="shared" si="6"/>
        <v>0</v>
      </c>
      <c r="J253" s="520" t="b">
        <f t="shared" si="7"/>
        <v>0</v>
      </c>
      <c r="K253" s="521">
        <f>'Revenue Jrnl'!$G259</f>
        <v>0</v>
      </c>
      <c r="L253" s="522"/>
      <c r="M253" s="523"/>
      <c r="N253" s="524"/>
    </row>
    <row r="254" spans="2:14" s="1" customFormat="1" ht="30" hidden="1" customHeight="1" x14ac:dyDescent="0.2">
      <c r="B254" s="517">
        <f>IF(AND('Revenue Jrnl'!G260&lt;&gt;"",'Revenue Jrnl'!C260&lt;&gt;""),1,0)</f>
        <v>0</v>
      </c>
      <c r="C254" s="517">
        <f>'Revenue Jrnl'!$C260</f>
        <v>0</v>
      </c>
      <c r="D254" s="518">
        <f>'Revenue Jrnl'!$D260</f>
        <v>0</v>
      </c>
      <c r="E254" s="1523">
        <f>'Revenue Jrnl'!$F260</f>
        <v>0</v>
      </c>
      <c r="F254" s="1523"/>
      <c r="G254" s="519" t="str">
        <f>IF('Revenue Jrnl'!$E260="","",'Revenue Jrnl'!$E260)</f>
        <v/>
      </c>
      <c r="H254" s="518">
        <f>'Revenue Jrnl'!H260</f>
        <v>0</v>
      </c>
      <c r="I254" s="518" t="str">
        <f t="shared" si="6"/>
        <v>0</v>
      </c>
      <c r="J254" s="520" t="b">
        <f t="shared" si="7"/>
        <v>0</v>
      </c>
      <c r="K254" s="521">
        <f>'Revenue Jrnl'!$G260</f>
        <v>0</v>
      </c>
      <c r="L254" s="522"/>
      <c r="M254" s="523"/>
      <c r="N254" s="524"/>
    </row>
    <row r="255" spans="2:14" s="1" customFormat="1" ht="30" hidden="1" customHeight="1" x14ac:dyDescent="0.2">
      <c r="B255" s="517">
        <f>IF(AND('Revenue Jrnl'!G261&lt;&gt;"",'Revenue Jrnl'!C261&lt;&gt;""),1,0)</f>
        <v>0</v>
      </c>
      <c r="C255" s="517">
        <f>'Revenue Jrnl'!$C261</f>
        <v>0</v>
      </c>
      <c r="D255" s="518">
        <f>'Revenue Jrnl'!$D261</f>
        <v>0</v>
      </c>
      <c r="E255" s="1523">
        <f>'Revenue Jrnl'!$F261</f>
        <v>0</v>
      </c>
      <c r="F255" s="1523"/>
      <c r="G255" s="519" t="str">
        <f>IF('Revenue Jrnl'!$E261="","",'Revenue Jrnl'!$E261)</f>
        <v/>
      </c>
      <c r="H255" s="518">
        <f>'Revenue Jrnl'!H261</f>
        <v>0</v>
      </c>
      <c r="I255" s="518" t="str">
        <f t="shared" si="6"/>
        <v>0</v>
      </c>
      <c r="J255" s="520" t="b">
        <f t="shared" si="7"/>
        <v>0</v>
      </c>
      <c r="K255" s="521">
        <f>'Revenue Jrnl'!$G261</f>
        <v>0</v>
      </c>
      <c r="L255" s="522"/>
      <c r="M255" s="523"/>
      <c r="N255" s="524"/>
    </row>
    <row r="256" spans="2:14" s="1" customFormat="1" ht="30" hidden="1" customHeight="1" x14ac:dyDescent="0.2">
      <c r="B256" s="517">
        <f>IF(AND('Revenue Jrnl'!G262&lt;&gt;"",'Revenue Jrnl'!C262&lt;&gt;""),1,0)</f>
        <v>0</v>
      </c>
      <c r="C256" s="517">
        <f>'Revenue Jrnl'!$C262</f>
        <v>0</v>
      </c>
      <c r="D256" s="518">
        <f>'Revenue Jrnl'!$D262</f>
        <v>0</v>
      </c>
      <c r="E256" s="1523">
        <f>'Revenue Jrnl'!$F262</f>
        <v>0</v>
      </c>
      <c r="F256" s="1523"/>
      <c r="G256" s="519" t="str">
        <f>IF('Revenue Jrnl'!$E262="","",'Revenue Jrnl'!$E262)</f>
        <v/>
      </c>
      <c r="H256" s="518">
        <f>'Revenue Jrnl'!H262</f>
        <v>0</v>
      </c>
      <c r="I256" s="518" t="str">
        <f t="shared" si="6"/>
        <v>0</v>
      </c>
      <c r="J256" s="520" t="b">
        <f t="shared" si="7"/>
        <v>0</v>
      </c>
      <c r="K256" s="521">
        <f>'Revenue Jrnl'!$G262</f>
        <v>0</v>
      </c>
      <c r="L256" s="522"/>
      <c r="M256" s="523"/>
      <c r="N256" s="524"/>
    </row>
    <row r="257" spans="2:14" s="1" customFormat="1" ht="30" hidden="1" customHeight="1" x14ac:dyDescent="0.2">
      <c r="B257" s="517">
        <f>IF(AND('Revenue Jrnl'!G263&lt;&gt;"",'Revenue Jrnl'!C263&lt;&gt;""),1,0)</f>
        <v>0</v>
      </c>
      <c r="C257" s="517">
        <f>'Revenue Jrnl'!$C263</f>
        <v>0</v>
      </c>
      <c r="D257" s="518">
        <f>'Revenue Jrnl'!$D263</f>
        <v>0</v>
      </c>
      <c r="E257" s="1523">
        <f>'Revenue Jrnl'!$F263</f>
        <v>0</v>
      </c>
      <c r="F257" s="1523"/>
      <c r="G257" s="519" t="str">
        <f>IF('Revenue Jrnl'!$E263="","",'Revenue Jrnl'!$E263)</f>
        <v/>
      </c>
      <c r="H257" s="518">
        <f>'Revenue Jrnl'!H263</f>
        <v>0</v>
      </c>
      <c r="I257" s="518" t="str">
        <f t="shared" si="6"/>
        <v>0</v>
      </c>
      <c r="J257" s="520" t="b">
        <f t="shared" si="7"/>
        <v>0</v>
      </c>
      <c r="K257" s="521">
        <f>'Revenue Jrnl'!$G263</f>
        <v>0</v>
      </c>
      <c r="L257" s="522"/>
      <c r="M257" s="523"/>
      <c r="N257" s="524"/>
    </row>
    <row r="258" spans="2:14" s="1" customFormat="1" ht="30" hidden="1" customHeight="1" x14ac:dyDescent="0.2">
      <c r="B258" s="517">
        <f>IF(AND('Revenue Jrnl'!G264&lt;&gt;"",'Revenue Jrnl'!C264&lt;&gt;""),1,0)</f>
        <v>0</v>
      </c>
      <c r="C258" s="517">
        <f>'Revenue Jrnl'!$C264</f>
        <v>0</v>
      </c>
      <c r="D258" s="518">
        <f>'Revenue Jrnl'!$D264</f>
        <v>0</v>
      </c>
      <c r="E258" s="1523">
        <f>'Revenue Jrnl'!$F264</f>
        <v>0</v>
      </c>
      <c r="F258" s="1523"/>
      <c r="G258" s="519" t="str">
        <f>IF('Revenue Jrnl'!$E264="","",'Revenue Jrnl'!$E264)</f>
        <v/>
      </c>
      <c r="H258" s="518">
        <f>'Revenue Jrnl'!H264</f>
        <v>0</v>
      </c>
      <c r="I258" s="518" t="str">
        <f t="shared" si="6"/>
        <v>0</v>
      </c>
      <c r="J258" s="520" t="b">
        <f t="shared" si="7"/>
        <v>0</v>
      </c>
      <c r="K258" s="521">
        <f>'Revenue Jrnl'!$G264</f>
        <v>0</v>
      </c>
      <c r="L258" s="522"/>
      <c r="M258" s="523"/>
      <c r="N258" s="524"/>
    </row>
    <row r="259" spans="2:14" s="1" customFormat="1" ht="30" hidden="1" customHeight="1" x14ac:dyDescent="0.2">
      <c r="B259" s="517">
        <f>IF(AND('Revenue Jrnl'!G265&lt;&gt;"",'Revenue Jrnl'!C265&lt;&gt;""),1,0)</f>
        <v>0</v>
      </c>
      <c r="C259" s="517">
        <f>'Revenue Jrnl'!$C265</f>
        <v>0</v>
      </c>
      <c r="D259" s="518">
        <f>'Revenue Jrnl'!$D265</f>
        <v>0</v>
      </c>
      <c r="E259" s="1523">
        <f>'Revenue Jrnl'!$F265</f>
        <v>0</v>
      </c>
      <c r="F259" s="1523"/>
      <c r="G259" s="519" t="str">
        <f>IF('Revenue Jrnl'!$E265="","",'Revenue Jrnl'!$E265)</f>
        <v/>
      </c>
      <c r="H259" s="518">
        <f>'Revenue Jrnl'!H265</f>
        <v>0</v>
      </c>
      <c r="I259" s="518" t="str">
        <f t="shared" si="6"/>
        <v>0</v>
      </c>
      <c r="J259" s="520" t="b">
        <f t="shared" si="7"/>
        <v>0</v>
      </c>
      <c r="K259" s="521">
        <f>'Revenue Jrnl'!$G265</f>
        <v>0</v>
      </c>
      <c r="L259" s="522"/>
      <c r="M259" s="523"/>
      <c r="N259" s="524"/>
    </row>
    <row r="260" spans="2:14" s="1" customFormat="1" ht="30" hidden="1" customHeight="1" x14ac:dyDescent="0.2">
      <c r="B260" s="517">
        <f>IF(AND('Revenue Jrnl'!G266&lt;&gt;"",'Revenue Jrnl'!C266&lt;&gt;""),1,0)</f>
        <v>0</v>
      </c>
      <c r="C260" s="517">
        <f>'Revenue Jrnl'!$C266</f>
        <v>0</v>
      </c>
      <c r="D260" s="518">
        <f>'Revenue Jrnl'!$D266</f>
        <v>0</v>
      </c>
      <c r="E260" s="1523">
        <f>'Revenue Jrnl'!$F266</f>
        <v>0</v>
      </c>
      <c r="F260" s="1523"/>
      <c r="G260" s="519" t="str">
        <f>IF('Revenue Jrnl'!$E266="","",'Revenue Jrnl'!$E266)</f>
        <v/>
      </c>
      <c r="H260" s="518">
        <f>'Revenue Jrnl'!H266</f>
        <v>0</v>
      </c>
      <c r="I260" s="518" t="str">
        <f t="shared" si="6"/>
        <v>0</v>
      </c>
      <c r="J260" s="520" t="b">
        <f t="shared" si="7"/>
        <v>0</v>
      </c>
      <c r="K260" s="521">
        <f>'Revenue Jrnl'!$G266</f>
        <v>0</v>
      </c>
      <c r="L260" s="522"/>
      <c r="M260" s="523"/>
      <c r="N260" s="524"/>
    </row>
    <row r="261" spans="2:14" s="1" customFormat="1" ht="30" hidden="1" customHeight="1" x14ac:dyDescent="0.2">
      <c r="B261" s="517">
        <f>IF(AND('Revenue Jrnl'!G267&lt;&gt;"",'Revenue Jrnl'!C267&lt;&gt;""),1,0)</f>
        <v>0</v>
      </c>
      <c r="C261" s="517">
        <f>'Revenue Jrnl'!$C267</f>
        <v>0</v>
      </c>
      <c r="D261" s="518">
        <f>'Revenue Jrnl'!$D267</f>
        <v>0</v>
      </c>
      <c r="E261" s="1523">
        <f>'Revenue Jrnl'!$F267</f>
        <v>0</v>
      </c>
      <c r="F261" s="1523"/>
      <c r="G261" s="519" t="str">
        <f>IF('Revenue Jrnl'!$E267="","",'Revenue Jrnl'!$E267)</f>
        <v/>
      </c>
      <c r="H261" s="518">
        <f>'Revenue Jrnl'!H267</f>
        <v>0</v>
      </c>
      <c r="I261" s="518" t="str">
        <f t="shared" si="6"/>
        <v>0</v>
      </c>
      <c r="J261" s="520" t="b">
        <f t="shared" si="7"/>
        <v>0</v>
      </c>
      <c r="K261" s="521">
        <f>'Revenue Jrnl'!$G267</f>
        <v>0</v>
      </c>
      <c r="L261" s="522"/>
      <c r="M261" s="523"/>
      <c r="N261" s="524"/>
    </row>
    <row r="262" spans="2:14" s="1" customFormat="1" ht="30" hidden="1" customHeight="1" x14ac:dyDescent="0.2">
      <c r="B262" s="517">
        <f>IF(AND('Revenue Jrnl'!G268&lt;&gt;"",'Revenue Jrnl'!C268&lt;&gt;""),1,0)</f>
        <v>0</v>
      </c>
      <c r="C262" s="517">
        <f>'Revenue Jrnl'!$C268</f>
        <v>0</v>
      </c>
      <c r="D262" s="518">
        <f>'Revenue Jrnl'!$D268</f>
        <v>0</v>
      </c>
      <c r="E262" s="1523">
        <f>'Revenue Jrnl'!$F268</f>
        <v>0</v>
      </c>
      <c r="F262" s="1523"/>
      <c r="G262" s="519" t="str">
        <f>IF('Revenue Jrnl'!$E268="","",'Revenue Jrnl'!$E268)</f>
        <v/>
      </c>
      <c r="H262" s="518">
        <f>'Revenue Jrnl'!H268</f>
        <v>0</v>
      </c>
      <c r="I262" s="518" t="str">
        <f t="shared" si="6"/>
        <v>0</v>
      </c>
      <c r="J262" s="520" t="b">
        <f t="shared" si="7"/>
        <v>0</v>
      </c>
      <c r="K262" s="521">
        <f>'Revenue Jrnl'!$G268</f>
        <v>0</v>
      </c>
      <c r="L262" s="522"/>
      <c r="M262" s="523"/>
      <c r="N262" s="524"/>
    </row>
    <row r="263" spans="2:14" s="1" customFormat="1" ht="30" hidden="1" customHeight="1" x14ac:dyDescent="0.2">
      <c r="B263" s="517">
        <f>IF(AND('Revenue Jrnl'!G269&lt;&gt;"",'Revenue Jrnl'!C269&lt;&gt;""),1,0)</f>
        <v>0</v>
      </c>
      <c r="C263" s="517">
        <f>'Revenue Jrnl'!$C269</f>
        <v>0</v>
      </c>
      <c r="D263" s="518">
        <f>'Revenue Jrnl'!$D269</f>
        <v>0</v>
      </c>
      <c r="E263" s="1523">
        <f>'Revenue Jrnl'!$F269</f>
        <v>0</v>
      </c>
      <c r="F263" s="1523"/>
      <c r="G263" s="519" t="str">
        <f>IF('Revenue Jrnl'!$E269="","",'Revenue Jrnl'!$E269)</f>
        <v/>
      </c>
      <c r="H263" s="518">
        <f>'Revenue Jrnl'!H269</f>
        <v>0</v>
      </c>
      <c r="I263" s="518" t="str">
        <f t="shared" si="6"/>
        <v>0</v>
      </c>
      <c r="J263" s="520" t="b">
        <f t="shared" si="7"/>
        <v>0</v>
      </c>
      <c r="K263" s="521">
        <f>'Revenue Jrnl'!$G269</f>
        <v>0</v>
      </c>
      <c r="L263" s="522"/>
      <c r="M263" s="523"/>
      <c r="N263" s="524"/>
    </row>
    <row r="264" spans="2:14" s="1" customFormat="1" ht="30" hidden="1" customHeight="1" x14ac:dyDescent="0.2">
      <c r="B264" s="517">
        <f>IF(AND('Revenue Jrnl'!G270&lt;&gt;"",'Revenue Jrnl'!C270&lt;&gt;""),1,0)</f>
        <v>0</v>
      </c>
      <c r="C264" s="517">
        <f>'Revenue Jrnl'!$C270</f>
        <v>0</v>
      </c>
      <c r="D264" s="518">
        <f>'Revenue Jrnl'!$D270</f>
        <v>0</v>
      </c>
      <c r="E264" s="1523">
        <f>'Revenue Jrnl'!$F270</f>
        <v>0</v>
      </c>
      <c r="F264" s="1523"/>
      <c r="G264" s="519" t="str">
        <f>IF('Revenue Jrnl'!$E270="","",'Revenue Jrnl'!$E270)</f>
        <v/>
      </c>
      <c r="H264" s="518">
        <f>'Revenue Jrnl'!H270</f>
        <v>0</v>
      </c>
      <c r="I264" s="518" t="str">
        <f t="shared" si="6"/>
        <v>0</v>
      </c>
      <c r="J264" s="520" t="b">
        <f t="shared" si="7"/>
        <v>0</v>
      </c>
      <c r="K264" s="521">
        <f>'Revenue Jrnl'!$G270</f>
        <v>0</v>
      </c>
      <c r="L264" s="522"/>
      <c r="M264" s="523"/>
      <c r="N264" s="524"/>
    </row>
    <row r="265" spans="2:14" s="1" customFormat="1" ht="30" hidden="1" customHeight="1" x14ac:dyDescent="0.2">
      <c r="B265" s="517">
        <f>IF(AND('Revenue Jrnl'!G271&lt;&gt;"",'Revenue Jrnl'!C271&lt;&gt;""),1,0)</f>
        <v>0</v>
      </c>
      <c r="C265" s="517">
        <f>'Revenue Jrnl'!$C271</f>
        <v>0</v>
      </c>
      <c r="D265" s="518">
        <f>'Revenue Jrnl'!$D271</f>
        <v>0</v>
      </c>
      <c r="E265" s="1523">
        <f>'Revenue Jrnl'!$F271</f>
        <v>0</v>
      </c>
      <c r="F265" s="1523"/>
      <c r="G265" s="519" t="str">
        <f>IF('Revenue Jrnl'!$E271="","",'Revenue Jrnl'!$E271)</f>
        <v/>
      </c>
      <c r="H265" s="518">
        <f>'Revenue Jrnl'!H271</f>
        <v>0</v>
      </c>
      <c r="I265" s="518" t="str">
        <f t="shared" si="6"/>
        <v>0</v>
      </c>
      <c r="J265" s="520" t="b">
        <f t="shared" si="7"/>
        <v>0</v>
      </c>
      <c r="K265" s="521">
        <f>'Revenue Jrnl'!$G271</f>
        <v>0</v>
      </c>
      <c r="L265" s="522"/>
      <c r="M265" s="523"/>
      <c r="N265" s="524"/>
    </row>
    <row r="266" spans="2:14" s="1" customFormat="1" ht="30" hidden="1" customHeight="1" x14ac:dyDescent="0.2">
      <c r="B266" s="517">
        <f>IF(AND('Revenue Jrnl'!G272&lt;&gt;"",'Revenue Jrnl'!C272&lt;&gt;""),1,0)</f>
        <v>0</v>
      </c>
      <c r="C266" s="517">
        <f>'Revenue Jrnl'!$C272</f>
        <v>0</v>
      </c>
      <c r="D266" s="518">
        <f>'Revenue Jrnl'!$D272</f>
        <v>0</v>
      </c>
      <c r="E266" s="1523">
        <f>'Revenue Jrnl'!$F272</f>
        <v>0</v>
      </c>
      <c r="F266" s="1523"/>
      <c r="G266" s="519" t="str">
        <f>IF('Revenue Jrnl'!$E272="","",'Revenue Jrnl'!$E272)</f>
        <v/>
      </c>
      <c r="H266" s="518">
        <f>'Revenue Jrnl'!H272</f>
        <v>0</v>
      </c>
      <c r="I266" s="518" t="str">
        <f t="shared" ref="I266:I329" si="8">LEFT(H266,4)</f>
        <v>0</v>
      </c>
      <c r="J266" s="520" t="b">
        <f t="shared" si="7"/>
        <v>0</v>
      </c>
      <c r="K266" s="521">
        <f>'Revenue Jrnl'!$G272</f>
        <v>0</v>
      </c>
      <c r="L266" s="522"/>
      <c r="M266" s="523"/>
      <c r="N266" s="524"/>
    </row>
    <row r="267" spans="2:14" s="1" customFormat="1" ht="30" hidden="1" customHeight="1" x14ac:dyDescent="0.2">
      <c r="B267" s="517">
        <f>IF(AND('Revenue Jrnl'!G273&lt;&gt;"",'Revenue Jrnl'!C273&lt;&gt;""),1,0)</f>
        <v>0</v>
      </c>
      <c r="C267" s="517">
        <f>'Revenue Jrnl'!$C273</f>
        <v>0</v>
      </c>
      <c r="D267" s="518">
        <f>'Revenue Jrnl'!$D273</f>
        <v>0</v>
      </c>
      <c r="E267" s="1523">
        <f>'Revenue Jrnl'!$F273</f>
        <v>0</v>
      </c>
      <c r="F267" s="1523"/>
      <c r="G267" s="519" t="str">
        <f>IF('Revenue Jrnl'!$E273="","",'Revenue Jrnl'!$E273)</f>
        <v/>
      </c>
      <c r="H267" s="518">
        <f>'Revenue Jrnl'!H273</f>
        <v>0</v>
      </c>
      <c r="I267" s="518" t="str">
        <f t="shared" si="8"/>
        <v>0</v>
      </c>
      <c r="J267" s="520" t="b">
        <f t="shared" ref="J267:J330" si="9">IF(I267="1020",IF(G267&gt;=$E$3,IF(G267&lt;=$G$3,K267,0)))</f>
        <v>0</v>
      </c>
      <c r="K267" s="521">
        <f>'Revenue Jrnl'!$G273</f>
        <v>0</v>
      </c>
      <c r="L267" s="522"/>
      <c r="M267" s="523"/>
      <c r="N267" s="524"/>
    </row>
    <row r="268" spans="2:14" s="1" customFormat="1" ht="30" hidden="1" customHeight="1" x14ac:dyDescent="0.2">
      <c r="B268" s="517">
        <f>IF(AND('Revenue Jrnl'!G274&lt;&gt;"",'Revenue Jrnl'!C274&lt;&gt;""),1,0)</f>
        <v>0</v>
      </c>
      <c r="C268" s="517">
        <f>'Revenue Jrnl'!$C274</f>
        <v>0</v>
      </c>
      <c r="D268" s="518">
        <f>'Revenue Jrnl'!$D274</f>
        <v>0</v>
      </c>
      <c r="E268" s="1523">
        <f>'Revenue Jrnl'!$F274</f>
        <v>0</v>
      </c>
      <c r="F268" s="1523"/>
      <c r="G268" s="519" t="str">
        <f>IF('Revenue Jrnl'!$E274="","",'Revenue Jrnl'!$E274)</f>
        <v/>
      </c>
      <c r="H268" s="518">
        <f>'Revenue Jrnl'!H274</f>
        <v>0</v>
      </c>
      <c r="I268" s="518" t="str">
        <f t="shared" si="8"/>
        <v>0</v>
      </c>
      <c r="J268" s="520" t="b">
        <f t="shared" si="9"/>
        <v>0</v>
      </c>
      <c r="K268" s="521">
        <f>'Revenue Jrnl'!$G274</f>
        <v>0</v>
      </c>
      <c r="L268" s="522"/>
      <c r="M268" s="523"/>
      <c r="N268" s="524"/>
    </row>
    <row r="269" spans="2:14" s="1" customFormat="1" ht="30" hidden="1" customHeight="1" x14ac:dyDescent="0.2">
      <c r="B269" s="517">
        <f>IF(AND('Revenue Jrnl'!G275&lt;&gt;"",'Revenue Jrnl'!C275&lt;&gt;""),1,0)</f>
        <v>0</v>
      </c>
      <c r="C269" s="517">
        <f>'Revenue Jrnl'!$C275</f>
        <v>0</v>
      </c>
      <c r="D269" s="518">
        <f>'Revenue Jrnl'!$D275</f>
        <v>0</v>
      </c>
      <c r="E269" s="1523">
        <f>'Revenue Jrnl'!$F275</f>
        <v>0</v>
      </c>
      <c r="F269" s="1523"/>
      <c r="G269" s="519" t="str">
        <f>IF('Revenue Jrnl'!$E275="","",'Revenue Jrnl'!$E275)</f>
        <v/>
      </c>
      <c r="H269" s="518">
        <f>'Revenue Jrnl'!H275</f>
        <v>0</v>
      </c>
      <c r="I269" s="518" t="str">
        <f t="shared" si="8"/>
        <v>0</v>
      </c>
      <c r="J269" s="520" t="b">
        <f t="shared" si="9"/>
        <v>0</v>
      </c>
      <c r="K269" s="521">
        <f>'Revenue Jrnl'!$G275</f>
        <v>0</v>
      </c>
      <c r="L269" s="522"/>
      <c r="M269" s="523"/>
      <c r="N269" s="524"/>
    </row>
    <row r="270" spans="2:14" s="1" customFormat="1" ht="30" hidden="1" customHeight="1" x14ac:dyDescent="0.2">
      <c r="B270" s="517">
        <f>IF(AND('Revenue Jrnl'!G276&lt;&gt;"",'Revenue Jrnl'!C276&lt;&gt;""),1,0)</f>
        <v>0</v>
      </c>
      <c r="C270" s="517">
        <f>'Revenue Jrnl'!$C276</f>
        <v>0</v>
      </c>
      <c r="D270" s="518">
        <f>'Revenue Jrnl'!$D276</f>
        <v>0</v>
      </c>
      <c r="E270" s="1523">
        <f>'Revenue Jrnl'!$F276</f>
        <v>0</v>
      </c>
      <c r="F270" s="1523"/>
      <c r="G270" s="519" t="str">
        <f>IF('Revenue Jrnl'!$E276="","",'Revenue Jrnl'!$E276)</f>
        <v/>
      </c>
      <c r="H270" s="518">
        <f>'Revenue Jrnl'!H276</f>
        <v>0</v>
      </c>
      <c r="I270" s="518" t="str">
        <f t="shared" si="8"/>
        <v>0</v>
      </c>
      <c r="J270" s="520" t="b">
        <f t="shared" si="9"/>
        <v>0</v>
      </c>
      <c r="K270" s="521">
        <f>'Revenue Jrnl'!$G276</f>
        <v>0</v>
      </c>
      <c r="L270" s="522"/>
      <c r="M270" s="523"/>
      <c r="N270" s="524"/>
    </row>
    <row r="271" spans="2:14" s="1" customFormat="1" ht="30" hidden="1" customHeight="1" x14ac:dyDescent="0.2">
      <c r="B271" s="517">
        <f>IF(AND('Revenue Jrnl'!G277&lt;&gt;"",'Revenue Jrnl'!C277&lt;&gt;""),1,0)</f>
        <v>0</v>
      </c>
      <c r="C271" s="517">
        <f>'Revenue Jrnl'!$C277</f>
        <v>0</v>
      </c>
      <c r="D271" s="518">
        <f>'Revenue Jrnl'!$D277</f>
        <v>0</v>
      </c>
      <c r="E271" s="1523">
        <f>'Revenue Jrnl'!$F277</f>
        <v>0</v>
      </c>
      <c r="F271" s="1523"/>
      <c r="G271" s="519" t="str">
        <f>IF('Revenue Jrnl'!$E277="","",'Revenue Jrnl'!$E277)</f>
        <v/>
      </c>
      <c r="H271" s="518">
        <f>'Revenue Jrnl'!H277</f>
        <v>0</v>
      </c>
      <c r="I271" s="518" t="str">
        <f t="shared" si="8"/>
        <v>0</v>
      </c>
      <c r="J271" s="520" t="b">
        <f t="shared" si="9"/>
        <v>0</v>
      </c>
      <c r="K271" s="521">
        <f>'Revenue Jrnl'!$G277</f>
        <v>0</v>
      </c>
      <c r="L271" s="522"/>
      <c r="M271" s="523"/>
      <c r="N271" s="524"/>
    </row>
    <row r="272" spans="2:14" s="1" customFormat="1" ht="30" hidden="1" customHeight="1" x14ac:dyDescent="0.2">
      <c r="B272" s="517">
        <f>IF(AND('Revenue Jrnl'!G278&lt;&gt;"",'Revenue Jrnl'!C278&lt;&gt;""),1,0)</f>
        <v>0</v>
      </c>
      <c r="C272" s="517">
        <f>'Revenue Jrnl'!$C278</f>
        <v>0</v>
      </c>
      <c r="D272" s="518">
        <f>'Revenue Jrnl'!$D278</f>
        <v>0</v>
      </c>
      <c r="E272" s="1523">
        <f>'Revenue Jrnl'!$F278</f>
        <v>0</v>
      </c>
      <c r="F272" s="1523"/>
      <c r="G272" s="519" t="str">
        <f>IF('Revenue Jrnl'!$E278="","",'Revenue Jrnl'!$E278)</f>
        <v/>
      </c>
      <c r="H272" s="518">
        <f>'Revenue Jrnl'!H278</f>
        <v>0</v>
      </c>
      <c r="I272" s="518" t="str">
        <f t="shared" si="8"/>
        <v>0</v>
      </c>
      <c r="J272" s="520" t="b">
        <f t="shared" si="9"/>
        <v>0</v>
      </c>
      <c r="K272" s="521">
        <f>'Revenue Jrnl'!$G278</f>
        <v>0</v>
      </c>
      <c r="L272" s="522"/>
      <c r="M272" s="523"/>
      <c r="N272" s="524"/>
    </row>
    <row r="273" spans="2:14" s="1" customFormat="1" ht="30" hidden="1" customHeight="1" x14ac:dyDescent="0.2">
      <c r="B273" s="517">
        <f>IF(AND('Revenue Jrnl'!G279&lt;&gt;"",'Revenue Jrnl'!C279&lt;&gt;""),1,0)</f>
        <v>0</v>
      </c>
      <c r="C273" s="517">
        <f>'Revenue Jrnl'!$C279</f>
        <v>0</v>
      </c>
      <c r="D273" s="518">
        <f>'Revenue Jrnl'!$D279</f>
        <v>0</v>
      </c>
      <c r="E273" s="1523">
        <f>'Revenue Jrnl'!$F279</f>
        <v>0</v>
      </c>
      <c r="F273" s="1523"/>
      <c r="G273" s="519" t="str">
        <f>IF('Revenue Jrnl'!$E279="","",'Revenue Jrnl'!$E279)</f>
        <v/>
      </c>
      <c r="H273" s="518">
        <f>'Revenue Jrnl'!H279</f>
        <v>0</v>
      </c>
      <c r="I273" s="518" t="str">
        <f t="shared" si="8"/>
        <v>0</v>
      </c>
      <c r="J273" s="520" t="b">
        <f t="shared" si="9"/>
        <v>0</v>
      </c>
      <c r="K273" s="521">
        <f>'Revenue Jrnl'!$G279</f>
        <v>0</v>
      </c>
      <c r="L273" s="522"/>
      <c r="M273" s="523"/>
      <c r="N273" s="524"/>
    </row>
    <row r="274" spans="2:14" s="1" customFormat="1" ht="30" hidden="1" customHeight="1" x14ac:dyDescent="0.2">
      <c r="B274" s="517">
        <f>IF(AND('Revenue Jrnl'!G280&lt;&gt;"",'Revenue Jrnl'!C280&lt;&gt;""),1,0)</f>
        <v>0</v>
      </c>
      <c r="C274" s="517">
        <f>'Revenue Jrnl'!$C280</f>
        <v>0</v>
      </c>
      <c r="D274" s="518">
        <f>'Revenue Jrnl'!$D280</f>
        <v>0</v>
      </c>
      <c r="E274" s="1523">
        <f>'Revenue Jrnl'!$F280</f>
        <v>0</v>
      </c>
      <c r="F274" s="1523"/>
      <c r="G274" s="519" t="str">
        <f>IF('Revenue Jrnl'!$E280="","",'Revenue Jrnl'!$E280)</f>
        <v/>
      </c>
      <c r="H274" s="518">
        <f>'Revenue Jrnl'!H280</f>
        <v>0</v>
      </c>
      <c r="I274" s="518" t="str">
        <f t="shared" si="8"/>
        <v>0</v>
      </c>
      <c r="J274" s="520" t="b">
        <f t="shared" si="9"/>
        <v>0</v>
      </c>
      <c r="K274" s="521">
        <f>'Revenue Jrnl'!$G280</f>
        <v>0</v>
      </c>
      <c r="L274" s="522"/>
      <c r="M274" s="523"/>
      <c r="N274" s="524"/>
    </row>
    <row r="275" spans="2:14" s="1" customFormat="1" ht="30" hidden="1" customHeight="1" x14ac:dyDescent="0.2">
      <c r="B275" s="517">
        <f>IF(AND('Revenue Jrnl'!G281&lt;&gt;"",'Revenue Jrnl'!C281&lt;&gt;""),1,0)</f>
        <v>0</v>
      </c>
      <c r="C275" s="517">
        <f>'Revenue Jrnl'!$C281</f>
        <v>0</v>
      </c>
      <c r="D275" s="518">
        <f>'Revenue Jrnl'!$D281</f>
        <v>0</v>
      </c>
      <c r="E275" s="1523">
        <f>'Revenue Jrnl'!$F281</f>
        <v>0</v>
      </c>
      <c r="F275" s="1523"/>
      <c r="G275" s="519" t="str">
        <f>IF('Revenue Jrnl'!$E281="","",'Revenue Jrnl'!$E281)</f>
        <v/>
      </c>
      <c r="H275" s="518">
        <f>'Revenue Jrnl'!H281</f>
        <v>0</v>
      </c>
      <c r="I275" s="518" t="str">
        <f t="shared" si="8"/>
        <v>0</v>
      </c>
      <c r="J275" s="520" t="b">
        <f t="shared" si="9"/>
        <v>0</v>
      </c>
      <c r="K275" s="521">
        <f>'Revenue Jrnl'!$G281</f>
        <v>0</v>
      </c>
      <c r="L275" s="522"/>
      <c r="M275" s="523"/>
      <c r="N275" s="524"/>
    </row>
    <row r="276" spans="2:14" s="1" customFormat="1" ht="30" hidden="1" customHeight="1" x14ac:dyDescent="0.2">
      <c r="B276" s="517">
        <f>IF(AND('Revenue Jrnl'!G282&lt;&gt;"",'Revenue Jrnl'!C282&lt;&gt;""),1,0)</f>
        <v>0</v>
      </c>
      <c r="C276" s="517">
        <f>'Revenue Jrnl'!$C282</f>
        <v>0</v>
      </c>
      <c r="D276" s="518">
        <f>'Revenue Jrnl'!$D282</f>
        <v>0</v>
      </c>
      <c r="E276" s="1523">
        <f>'Revenue Jrnl'!$F282</f>
        <v>0</v>
      </c>
      <c r="F276" s="1523"/>
      <c r="G276" s="519" t="str">
        <f>IF('Revenue Jrnl'!$E282="","",'Revenue Jrnl'!$E282)</f>
        <v/>
      </c>
      <c r="H276" s="518">
        <f>'Revenue Jrnl'!H282</f>
        <v>0</v>
      </c>
      <c r="I276" s="518" t="str">
        <f t="shared" si="8"/>
        <v>0</v>
      </c>
      <c r="J276" s="520" t="b">
        <f t="shared" si="9"/>
        <v>0</v>
      </c>
      <c r="K276" s="521">
        <f>'Revenue Jrnl'!$G282</f>
        <v>0</v>
      </c>
      <c r="L276" s="522"/>
      <c r="M276" s="523"/>
      <c r="N276" s="524"/>
    </row>
    <row r="277" spans="2:14" s="1" customFormat="1" ht="30" hidden="1" customHeight="1" x14ac:dyDescent="0.2">
      <c r="B277" s="517">
        <f>IF(AND('Revenue Jrnl'!G283&lt;&gt;"",'Revenue Jrnl'!C283&lt;&gt;""),1,0)</f>
        <v>0</v>
      </c>
      <c r="C277" s="517">
        <f>'Revenue Jrnl'!$C283</f>
        <v>0</v>
      </c>
      <c r="D277" s="518">
        <f>'Revenue Jrnl'!$D283</f>
        <v>0</v>
      </c>
      <c r="E277" s="1523">
        <f>'Revenue Jrnl'!$F283</f>
        <v>0</v>
      </c>
      <c r="F277" s="1523"/>
      <c r="G277" s="519" t="str">
        <f>IF('Revenue Jrnl'!$E283="","",'Revenue Jrnl'!$E283)</f>
        <v/>
      </c>
      <c r="H277" s="518">
        <f>'Revenue Jrnl'!H283</f>
        <v>0</v>
      </c>
      <c r="I277" s="518" t="str">
        <f t="shared" si="8"/>
        <v>0</v>
      </c>
      <c r="J277" s="520" t="b">
        <f t="shared" si="9"/>
        <v>0</v>
      </c>
      <c r="K277" s="521">
        <f>'Revenue Jrnl'!$G283</f>
        <v>0</v>
      </c>
      <c r="L277" s="522"/>
      <c r="M277" s="523"/>
      <c r="N277" s="524"/>
    </row>
    <row r="278" spans="2:14" s="1" customFormat="1" ht="30" hidden="1" customHeight="1" x14ac:dyDescent="0.2">
      <c r="B278" s="517">
        <f>IF(AND('Revenue Jrnl'!G284&lt;&gt;"",'Revenue Jrnl'!C284&lt;&gt;""),1,0)</f>
        <v>0</v>
      </c>
      <c r="C278" s="517">
        <f>'Revenue Jrnl'!$C284</f>
        <v>0</v>
      </c>
      <c r="D278" s="518">
        <f>'Revenue Jrnl'!$D284</f>
        <v>0</v>
      </c>
      <c r="E278" s="1523">
        <f>'Revenue Jrnl'!$F284</f>
        <v>0</v>
      </c>
      <c r="F278" s="1523"/>
      <c r="G278" s="519" t="str">
        <f>IF('Revenue Jrnl'!$E284="","",'Revenue Jrnl'!$E284)</f>
        <v/>
      </c>
      <c r="H278" s="518">
        <f>'Revenue Jrnl'!H284</f>
        <v>0</v>
      </c>
      <c r="I278" s="518" t="str">
        <f t="shared" si="8"/>
        <v>0</v>
      </c>
      <c r="J278" s="520" t="b">
        <f t="shared" si="9"/>
        <v>0</v>
      </c>
      <c r="K278" s="521">
        <f>'Revenue Jrnl'!$G284</f>
        <v>0</v>
      </c>
      <c r="L278" s="522"/>
      <c r="M278" s="523"/>
      <c r="N278" s="524"/>
    </row>
    <row r="279" spans="2:14" s="1" customFormat="1" ht="30" hidden="1" customHeight="1" x14ac:dyDescent="0.2">
      <c r="B279" s="517">
        <f>IF(AND('Revenue Jrnl'!G285&lt;&gt;"",'Revenue Jrnl'!C285&lt;&gt;""),1,0)</f>
        <v>0</v>
      </c>
      <c r="C279" s="517">
        <f>'Revenue Jrnl'!$C285</f>
        <v>0</v>
      </c>
      <c r="D279" s="518">
        <f>'Revenue Jrnl'!$D285</f>
        <v>0</v>
      </c>
      <c r="E279" s="1523">
        <f>'Revenue Jrnl'!$F285</f>
        <v>0</v>
      </c>
      <c r="F279" s="1523"/>
      <c r="G279" s="519" t="str">
        <f>IF('Revenue Jrnl'!$E285="","",'Revenue Jrnl'!$E285)</f>
        <v/>
      </c>
      <c r="H279" s="518">
        <f>'Revenue Jrnl'!H285</f>
        <v>0</v>
      </c>
      <c r="I279" s="518" t="str">
        <f t="shared" si="8"/>
        <v>0</v>
      </c>
      <c r="J279" s="520" t="b">
        <f t="shared" si="9"/>
        <v>0</v>
      </c>
      <c r="K279" s="521">
        <f>'Revenue Jrnl'!$G285</f>
        <v>0</v>
      </c>
      <c r="L279" s="522"/>
      <c r="M279" s="523"/>
      <c r="N279" s="524"/>
    </row>
    <row r="280" spans="2:14" s="1" customFormat="1" ht="30" hidden="1" customHeight="1" x14ac:dyDescent="0.2">
      <c r="B280" s="517">
        <f>IF(AND('Revenue Jrnl'!G286&lt;&gt;"",'Revenue Jrnl'!C286&lt;&gt;""),1,0)</f>
        <v>0</v>
      </c>
      <c r="C280" s="517">
        <f>'Revenue Jrnl'!$C286</f>
        <v>0</v>
      </c>
      <c r="D280" s="518">
        <f>'Revenue Jrnl'!$D286</f>
        <v>0</v>
      </c>
      <c r="E280" s="1523">
        <f>'Revenue Jrnl'!$F286</f>
        <v>0</v>
      </c>
      <c r="F280" s="1523"/>
      <c r="G280" s="519" t="str">
        <f>IF('Revenue Jrnl'!$E286="","",'Revenue Jrnl'!$E286)</f>
        <v/>
      </c>
      <c r="H280" s="518">
        <f>'Revenue Jrnl'!H286</f>
        <v>0</v>
      </c>
      <c r="I280" s="518" t="str">
        <f t="shared" si="8"/>
        <v>0</v>
      </c>
      <c r="J280" s="520" t="b">
        <f t="shared" si="9"/>
        <v>0</v>
      </c>
      <c r="K280" s="521">
        <f>'Revenue Jrnl'!$G286</f>
        <v>0</v>
      </c>
      <c r="L280" s="522"/>
      <c r="M280" s="523"/>
      <c r="N280" s="524"/>
    </row>
    <row r="281" spans="2:14" s="1" customFormat="1" ht="30" hidden="1" customHeight="1" x14ac:dyDescent="0.2">
      <c r="B281" s="517">
        <f>IF(AND('Revenue Jrnl'!G287&lt;&gt;"",'Revenue Jrnl'!C287&lt;&gt;""),1,0)</f>
        <v>0</v>
      </c>
      <c r="C281" s="517">
        <f>'Revenue Jrnl'!$C287</f>
        <v>0</v>
      </c>
      <c r="D281" s="518">
        <f>'Revenue Jrnl'!$D287</f>
        <v>0</v>
      </c>
      <c r="E281" s="1523">
        <f>'Revenue Jrnl'!$F287</f>
        <v>0</v>
      </c>
      <c r="F281" s="1523"/>
      <c r="G281" s="519" t="str">
        <f>IF('Revenue Jrnl'!$E287="","",'Revenue Jrnl'!$E287)</f>
        <v/>
      </c>
      <c r="H281" s="518">
        <f>'Revenue Jrnl'!H287</f>
        <v>0</v>
      </c>
      <c r="I281" s="518" t="str">
        <f t="shared" si="8"/>
        <v>0</v>
      </c>
      <c r="J281" s="520" t="b">
        <f t="shared" si="9"/>
        <v>0</v>
      </c>
      <c r="K281" s="521">
        <f>'Revenue Jrnl'!$G287</f>
        <v>0</v>
      </c>
      <c r="L281" s="522"/>
      <c r="M281" s="523"/>
      <c r="N281" s="524"/>
    </row>
    <row r="282" spans="2:14" s="1" customFormat="1" ht="30" hidden="1" customHeight="1" x14ac:dyDescent="0.2">
      <c r="B282" s="517">
        <f>IF(AND('Revenue Jrnl'!G288&lt;&gt;"",'Revenue Jrnl'!C288&lt;&gt;""),1,0)</f>
        <v>0</v>
      </c>
      <c r="C282" s="517">
        <f>'Revenue Jrnl'!$C288</f>
        <v>0</v>
      </c>
      <c r="D282" s="518">
        <f>'Revenue Jrnl'!$D288</f>
        <v>0</v>
      </c>
      <c r="E282" s="1523">
        <f>'Revenue Jrnl'!$F288</f>
        <v>0</v>
      </c>
      <c r="F282" s="1523"/>
      <c r="G282" s="519" t="str">
        <f>IF('Revenue Jrnl'!$E288="","",'Revenue Jrnl'!$E288)</f>
        <v/>
      </c>
      <c r="H282" s="518">
        <f>'Revenue Jrnl'!H288</f>
        <v>0</v>
      </c>
      <c r="I282" s="518" t="str">
        <f t="shared" si="8"/>
        <v>0</v>
      </c>
      <c r="J282" s="520" t="b">
        <f t="shared" si="9"/>
        <v>0</v>
      </c>
      <c r="K282" s="521">
        <f>'Revenue Jrnl'!$G288</f>
        <v>0</v>
      </c>
      <c r="L282" s="522"/>
      <c r="M282" s="523"/>
      <c r="N282" s="524"/>
    </row>
    <row r="283" spans="2:14" s="1" customFormat="1" ht="30" hidden="1" customHeight="1" x14ac:dyDescent="0.2">
      <c r="B283" s="517">
        <f>IF(AND('Revenue Jrnl'!G289&lt;&gt;"",'Revenue Jrnl'!C289&lt;&gt;""),1,0)</f>
        <v>0</v>
      </c>
      <c r="C283" s="517">
        <f>'Revenue Jrnl'!$C289</f>
        <v>0</v>
      </c>
      <c r="D283" s="518">
        <f>'Revenue Jrnl'!$D289</f>
        <v>0</v>
      </c>
      <c r="E283" s="1523">
        <f>'Revenue Jrnl'!$F289</f>
        <v>0</v>
      </c>
      <c r="F283" s="1523"/>
      <c r="G283" s="519" t="str">
        <f>IF('Revenue Jrnl'!$E289="","",'Revenue Jrnl'!$E289)</f>
        <v/>
      </c>
      <c r="H283" s="518">
        <f>'Revenue Jrnl'!H289</f>
        <v>0</v>
      </c>
      <c r="I283" s="518" t="str">
        <f t="shared" si="8"/>
        <v>0</v>
      </c>
      <c r="J283" s="520" t="b">
        <f t="shared" si="9"/>
        <v>0</v>
      </c>
      <c r="K283" s="521">
        <f>'Revenue Jrnl'!$G289</f>
        <v>0</v>
      </c>
      <c r="L283" s="522"/>
      <c r="M283" s="523"/>
      <c r="N283" s="524"/>
    </row>
    <row r="284" spans="2:14" s="1" customFormat="1" ht="30" hidden="1" customHeight="1" x14ac:dyDescent="0.2">
      <c r="B284" s="517">
        <f>IF(AND('Revenue Jrnl'!G290&lt;&gt;"",'Revenue Jrnl'!C290&lt;&gt;""),1,0)</f>
        <v>0</v>
      </c>
      <c r="C284" s="517">
        <f>'Revenue Jrnl'!$C290</f>
        <v>0</v>
      </c>
      <c r="D284" s="518">
        <f>'Revenue Jrnl'!$D290</f>
        <v>0</v>
      </c>
      <c r="E284" s="1523">
        <f>'Revenue Jrnl'!$F290</f>
        <v>0</v>
      </c>
      <c r="F284" s="1523"/>
      <c r="G284" s="519" t="str">
        <f>IF('Revenue Jrnl'!$E290="","",'Revenue Jrnl'!$E290)</f>
        <v/>
      </c>
      <c r="H284" s="518">
        <f>'Revenue Jrnl'!H290</f>
        <v>0</v>
      </c>
      <c r="I284" s="518" t="str">
        <f t="shared" si="8"/>
        <v>0</v>
      </c>
      <c r="J284" s="520" t="b">
        <f t="shared" si="9"/>
        <v>0</v>
      </c>
      <c r="K284" s="521">
        <f>'Revenue Jrnl'!$G290</f>
        <v>0</v>
      </c>
      <c r="L284" s="522"/>
      <c r="M284" s="523"/>
      <c r="N284" s="524"/>
    </row>
    <row r="285" spans="2:14" s="1" customFormat="1" ht="30" hidden="1" customHeight="1" x14ac:dyDescent="0.2">
      <c r="B285" s="517">
        <f>IF(AND('Revenue Jrnl'!G291&lt;&gt;"",'Revenue Jrnl'!C291&lt;&gt;""),1,0)</f>
        <v>0</v>
      </c>
      <c r="C285" s="517">
        <f>'Revenue Jrnl'!$C291</f>
        <v>0</v>
      </c>
      <c r="D285" s="518">
        <f>'Revenue Jrnl'!$D291</f>
        <v>0</v>
      </c>
      <c r="E285" s="1523">
        <f>'Revenue Jrnl'!$F291</f>
        <v>0</v>
      </c>
      <c r="F285" s="1523"/>
      <c r="G285" s="519" t="str">
        <f>IF('Revenue Jrnl'!$E291="","",'Revenue Jrnl'!$E291)</f>
        <v/>
      </c>
      <c r="H285" s="518">
        <f>'Revenue Jrnl'!H291</f>
        <v>0</v>
      </c>
      <c r="I285" s="518" t="str">
        <f t="shared" si="8"/>
        <v>0</v>
      </c>
      <c r="J285" s="520" t="b">
        <f t="shared" si="9"/>
        <v>0</v>
      </c>
      <c r="K285" s="521">
        <f>'Revenue Jrnl'!$G291</f>
        <v>0</v>
      </c>
      <c r="L285" s="522"/>
      <c r="M285" s="523"/>
      <c r="N285" s="524"/>
    </row>
    <row r="286" spans="2:14" s="1" customFormat="1" ht="30" hidden="1" customHeight="1" x14ac:dyDescent="0.2">
      <c r="B286" s="517">
        <f>IF(AND('Revenue Jrnl'!G292&lt;&gt;"",'Revenue Jrnl'!C292&lt;&gt;""),1,0)</f>
        <v>0</v>
      </c>
      <c r="C286" s="517">
        <f>'Revenue Jrnl'!$C292</f>
        <v>0</v>
      </c>
      <c r="D286" s="518">
        <f>'Revenue Jrnl'!$D292</f>
        <v>0</v>
      </c>
      <c r="E286" s="1523">
        <f>'Revenue Jrnl'!$F292</f>
        <v>0</v>
      </c>
      <c r="F286" s="1523"/>
      <c r="G286" s="519" t="str">
        <f>IF('Revenue Jrnl'!$E292="","",'Revenue Jrnl'!$E292)</f>
        <v/>
      </c>
      <c r="H286" s="518">
        <f>'Revenue Jrnl'!H292</f>
        <v>0</v>
      </c>
      <c r="I286" s="518" t="str">
        <f t="shared" si="8"/>
        <v>0</v>
      </c>
      <c r="J286" s="520" t="b">
        <f t="shared" si="9"/>
        <v>0</v>
      </c>
      <c r="K286" s="521">
        <f>'Revenue Jrnl'!$G292</f>
        <v>0</v>
      </c>
      <c r="L286" s="522"/>
      <c r="M286" s="523"/>
      <c r="N286" s="524"/>
    </row>
    <row r="287" spans="2:14" s="1" customFormat="1" ht="30" hidden="1" customHeight="1" x14ac:dyDescent="0.2">
      <c r="B287" s="517">
        <f>IF(AND('Revenue Jrnl'!G293&lt;&gt;"",'Revenue Jrnl'!C293&lt;&gt;""),1,0)</f>
        <v>0</v>
      </c>
      <c r="C287" s="517">
        <f>'Revenue Jrnl'!$C293</f>
        <v>0</v>
      </c>
      <c r="D287" s="518">
        <f>'Revenue Jrnl'!$D293</f>
        <v>0</v>
      </c>
      <c r="E287" s="1523">
        <f>'Revenue Jrnl'!$F293</f>
        <v>0</v>
      </c>
      <c r="F287" s="1523"/>
      <c r="G287" s="519" t="str">
        <f>IF('Revenue Jrnl'!$E293="","",'Revenue Jrnl'!$E293)</f>
        <v/>
      </c>
      <c r="H287" s="518">
        <f>'Revenue Jrnl'!H293</f>
        <v>0</v>
      </c>
      <c r="I287" s="518" t="str">
        <f t="shared" si="8"/>
        <v>0</v>
      </c>
      <c r="J287" s="520" t="b">
        <f t="shared" si="9"/>
        <v>0</v>
      </c>
      <c r="K287" s="521">
        <f>'Revenue Jrnl'!$G293</f>
        <v>0</v>
      </c>
      <c r="L287" s="522"/>
      <c r="M287" s="523"/>
      <c r="N287" s="524"/>
    </row>
    <row r="288" spans="2:14" s="1" customFormat="1" ht="30" hidden="1" customHeight="1" x14ac:dyDescent="0.2">
      <c r="B288" s="517">
        <f>IF(AND('Revenue Jrnl'!G294&lt;&gt;"",'Revenue Jrnl'!C294&lt;&gt;""),1,0)</f>
        <v>0</v>
      </c>
      <c r="C288" s="517">
        <f>'Revenue Jrnl'!$C294</f>
        <v>0</v>
      </c>
      <c r="D288" s="518">
        <f>'Revenue Jrnl'!$D294</f>
        <v>0</v>
      </c>
      <c r="E288" s="1523">
        <f>'Revenue Jrnl'!$F294</f>
        <v>0</v>
      </c>
      <c r="F288" s="1523"/>
      <c r="G288" s="519" t="str">
        <f>IF('Revenue Jrnl'!$E294="","",'Revenue Jrnl'!$E294)</f>
        <v/>
      </c>
      <c r="H288" s="518">
        <f>'Revenue Jrnl'!H294</f>
        <v>0</v>
      </c>
      <c r="I288" s="518" t="str">
        <f t="shared" si="8"/>
        <v>0</v>
      </c>
      <c r="J288" s="520" t="b">
        <f t="shared" si="9"/>
        <v>0</v>
      </c>
      <c r="K288" s="521">
        <f>'Revenue Jrnl'!$G294</f>
        <v>0</v>
      </c>
      <c r="L288" s="522"/>
      <c r="M288" s="523"/>
      <c r="N288" s="524"/>
    </row>
    <row r="289" spans="2:14" s="1" customFormat="1" ht="30" hidden="1" customHeight="1" x14ac:dyDescent="0.2">
      <c r="B289" s="517">
        <f>IF(AND('Revenue Jrnl'!G295&lt;&gt;"",'Revenue Jrnl'!C295&lt;&gt;""),1,0)</f>
        <v>0</v>
      </c>
      <c r="C289" s="517">
        <f>'Revenue Jrnl'!$C295</f>
        <v>0</v>
      </c>
      <c r="D289" s="518">
        <f>'Revenue Jrnl'!$D295</f>
        <v>0</v>
      </c>
      <c r="E289" s="1523">
        <f>'Revenue Jrnl'!$F295</f>
        <v>0</v>
      </c>
      <c r="F289" s="1523"/>
      <c r="G289" s="519" t="str">
        <f>IF('Revenue Jrnl'!$E295="","",'Revenue Jrnl'!$E295)</f>
        <v/>
      </c>
      <c r="H289" s="518">
        <f>'Revenue Jrnl'!H295</f>
        <v>0</v>
      </c>
      <c r="I289" s="518" t="str">
        <f t="shared" si="8"/>
        <v>0</v>
      </c>
      <c r="J289" s="520" t="b">
        <f t="shared" si="9"/>
        <v>0</v>
      </c>
      <c r="K289" s="521">
        <f>'Revenue Jrnl'!$G295</f>
        <v>0</v>
      </c>
      <c r="L289" s="522"/>
      <c r="M289" s="523"/>
      <c r="N289" s="524"/>
    </row>
    <row r="290" spans="2:14" s="1" customFormat="1" ht="30" hidden="1" customHeight="1" x14ac:dyDescent="0.2">
      <c r="B290" s="517">
        <f>IF(AND('Revenue Jrnl'!G296&lt;&gt;"",'Revenue Jrnl'!C296&lt;&gt;""),1,0)</f>
        <v>0</v>
      </c>
      <c r="C290" s="517">
        <f>'Revenue Jrnl'!$C296</f>
        <v>0</v>
      </c>
      <c r="D290" s="518">
        <f>'Revenue Jrnl'!$D296</f>
        <v>0</v>
      </c>
      <c r="E290" s="1523">
        <f>'Revenue Jrnl'!$F296</f>
        <v>0</v>
      </c>
      <c r="F290" s="1523"/>
      <c r="G290" s="519" t="str">
        <f>IF('Revenue Jrnl'!$E296="","",'Revenue Jrnl'!$E296)</f>
        <v/>
      </c>
      <c r="H290" s="518">
        <f>'Revenue Jrnl'!H296</f>
        <v>0</v>
      </c>
      <c r="I290" s="518" t="str">
        <f t="shared" si="8"/>
        <v>0</v>
      </c>
      <c r="J290" s="520" t="b">
        <f t="shared" si="9"/>
        <v>0</v>
      </c>
      <c r="K290" s="521">
        <f>'Revenue Jrnl'!$G296</f>
        <v>0</v>
      </c>
      <c r="L290" s="522"/>
      <c r="M290" s="523"/>
      <c r="N290" s="524"/>
    </row>
    <row r="291" spans="2:14" s="1" customFormat="1" ht="30" hidden="1" customHeight="1" x14ac:dyDescent="0.2">
      <c r="B291" s="517">
        <f>IF(AND('Revenue Jrnl'!G297&lt;&gt;"",'Revenue Jrnl'!C297&lt;&gt;""),1,0)</f>
        <v>0</v>
      </c>
      <c r="C291" s="517">
        <f>'Revenue Jrnl'!$C297</f>
        <v>0</v>
      </c>
      <c r="D291" s="518">
        <f>'Revenue Jrnl'!$D297</f>
        <v>0</v>
      </c>
      <c r="E291" s="1523">
        <f>'Revenue Jrnl'!$F297</f>
        <v>0</v>
      </c>
      <c r="F291" s="1523"/>
      <c r="G291" s="519" t="str">
        <f>IF('Revenue Jrnl'!$E297="","",'Revenue Jrnl'!$E297)</f>
        <v/>
      </c>
      <c r="H291" s="518">
        <f>'Revenue Jrnl'!H297</f>
        <v>0</v>
      </c>
      <c r="I291" s="518" t="str">
        <f t="shared" si="8"/>
        <v>0</v>
      </c>
      <c r="J291" s="520" t="b">
        <f t="shared" si="9"/>
        <v>0</v>
      </c>
      <c r="K291" s="521">
        <f>'Revenue Jrnl'!$G297</f>
        <v>0</v>
      </c>
      <c r="L291" s="522"/>
      <c r="M291" s="523"/>
      <c r="N291" s="524"/>
    </row>
    <row r="292" spans="2:14" s="1" customFormat="1" ht="30" hidden="1" customHeight="1" x14ac:dyDescent="0.2">
      <c r="B292" s="517">
        <f>IF(AND('Revenue Jrnl'!G298&lt;&gt;"",'Revenue Jrnl'!C298&lt;&gt;""),1,0)</f>
        <v>0</v>
      </c>
      <c r="C292" s="517">
        <f>'Revenue Jrnl'!$C298</f>
        <v>0</v>
      </c>
      <c r="D292" s="518">
        <f>'Revenue Jrnl'!$D298</f>
        <v>0</v>
      </c>
      <c r="E292" s="1523">
        <f>'Revenue Jrnl'!$F298</f>
        <v>0</v>
      </c>
      <c r="F292" s="1523"/>
      <c r="G292" s="519" t="str">
        <f>IF('Revenue Jrnl'!$E298="","",'Revenue Jrnl'!$E298)</f>
        <v/>
      </c>
      <c r="H292" s="518">
        <f>'Revenue Jrnl'!H298</f>
        <v>0</v>
      </c>
      <c r="I292" s="518" t="str">
        <f t="shared" si="8"/>
        <v>0</v>
      </c>
      <c r="J292" s="520" t="b">
        <f t="shared" si="9"/>
        <v>0</v>
      </c>
      <c r="K292" s="521">
        <f>'Revenue Jrnl'!$G298</f>
        <v>0</v>
      </c>
      <c r="L292" s="522"/>
      <c r="M292" s="523"/>
      <c r="N292" s="524"/>
    </row>
    <row r="293" spans="2:14" s="1" customFormat="1" ht="30" hidden="1" customHeight="1" x14ac:dyDescent="0.2">
      <c r="B293" s="517">
        <f>IF(AND('Revenue Jrnl'!G299&lt;&gt;"",'Revenue Jrnl'!C299&lt;&gt;""),1,0)</f>
        <v>0</v>
      </c>
      <c r="C293" s="517">
        <f>'Revenue Jrnl'!$C299</f>
        <v>0</v>
      </c>
      <c r="D293" s="518">
        <f>'Revenue Jrnl'!$D299</f>
        <v>0</v>
      </c>
      <c r="E293" s="1523">
        <f>'Revenue Jrnl'!$F299</f>
        <v>0</v>
      </c>
      <c r="F293" s="1523"/>
      <c r="G293" s="519" t="str">
        <f>IF('Revenue Jrnl'!$E299="","",'Revenue Jrnl'!$E299)</f>
        <v/>
      </c>
      <c r="H293" s="518">
        <f>'Revenue Jrnl'!H299</f>
        <v>0</v>
      </c>
      <c r="I293" s="518" t="str">
        <f t="shared" si="8"/>
        <v>0</v>
      </c>
      <c r="J293" s="520" t="b">
        <f t="shared" si="9"/>
        <v>0</v>
      </c>
      <c r="K293" s="521">
        <f>'Revenue Jrnl'!$G299</f>
        <v>0</v>
      </c>
      <c r="L293" s="522"/>
      <c r="M293" s="523"/>
      <c r="N293" s="524"/>
    </row>
    <row r="294" spans="2:14" s="1" customFormat="1" ht="30" hidden="1" customHeight="1" x14ac:dyDescent="0.2">
      <c r="B294" s="517">
        <f>IF(AND('Revenue Jrnl'!G300&lt;&gt;"",'Revenue Jrnl'!C300&lt;&gt;""),1,0)</f>
        <v>0</v>
      </c>
      <c r="C294" s="517">
        <f>'Revenue Jrnl'!$C300</f>
        <v>0</v>
      </c>
      <c r="D294" s="518">
        <f>'Revenue Jrnl'!$D300</f>
        <v>0</v>
      </c>
      <c r="E294" s="1523">
        <f>'Revenue Jrnl'!$F300</f>
        <v>0</v>
      </c>
      <c r="F294" s="1523"/>
      <c r="G294" s="519" t="str">
        <f>IF('Revenue Jrnl'!$E300="","",'Revenue Jrnl'!$E300)</f>
        <v/>
      </c>
      <c r="H294" s="518">
        <f>'Revenue Jrnl'!H300</f>
        <v>0</v>
      </c>
      <c r="I294" s="518" t="str">
        <f t="shared" si="8"/>
        <v>0</v>
      </c>
      <c r="J294" s="520" t="b">
        <f t="shared" si="9"/>
        <v>0</v>
      </c>
      <c r="K294" s="521">
        <f>'Revenue Jrnl'!$G300</f>
        <v>0</v>
      </c>
      <c r="L294" s="522"/>
      <c r="M294" s="523"/>
      <c r="N294" s="524"/>
    </row>
    <row r="295" spans="2:14" s="1" customFormat="1" ht="30" hidden="1" customHeight="1" x14ac:dyDescent="0.2">
      <c r="B295" s="517">
        <f>IF(AND('Revenue Jrnl'!G301&lt;&gt;"",'Revenue Jrnl'!C301&lt;&gt;""),1,0)</f>
        <v>0</v>
      </c>
      <c r="C295" s="517">
        <f>'Revenue Jrnl'!$C301</f>
        <v>0</v>
      </c>
      <c r="D295" s="518">
        <f>'Revenue Jrnl'!$D301</f>
        <v>0</v>
      </c>
      <c r="E295" s="1523">
        <f>'Revenue Jrnl'!$F301</f>
        <v>0</v>
      </c>
      <c r="F295" s="1523"/>
      <c r="G295" s="519" t="str">
        <f>IF('Revenue Jrnl'!$E301="","",'Revenue Jrnl'!$E301)</f>
        <v/>
      </c>
      <c r="H295" s="518">
        <f>'Revenue Jrnl'!H301</f>
        <v>0</v>
      </c>
      <c r="I295" s="518" t="str">
        <f t="shared" si="8"/>
        <v>0</v>
      </c>
      <c r="J295" s="520" t="b">
        <f t="shared" si="9"/>
        <v>0</v>
      </c>
      <c r="K295" s="521">
        <f>'Revenue Jrnl'!$G301</f>
        <v>0</v>
      </c>
      <c r="L295" s="522"/>
      <c r="M295" s="523"/>
      <c r="N295" s="524"/>
    </row>
    <row r="296" spans="2:14" s="1" customFormat="1" ht="30" hidden="1" customHeight="1" x14ac:dyDescent="0.2">
      <c r="B296" s="517">
        <f>IF(AND('Revenue Jrnl'!G302&lt;&gt;"",'Revenue Jrnl'!C302&lt;&gt;""),1,0)</f>
        <v>0</v>
      </c>
      <c r="C296" s="517">
        <f>'Revenue Jrnl'!$C302</f>
        <v>0</v>
      </c>
      <c r="D296" s="518">
        <f>'Revenue Jrnl'!$D302</f>
        <v>0</v>
      </c>
      <c r="E296" s="1523">
        <f>'Revenue Jrnl'!$F302</f>
        <v>0</v>
      </c>
      <c r="F296" s="1523"/>
      <c r="G296" s="519" t="str">
        <f>IF('Revenue Jrnl'!$E302="","",'Revenue Jrnl'!$E302)</f>
        <v/>
      </c>
      <c r="H296" s="518">
        <f>'Revenue Jrnl'!H302</f>
        <v>0</v>
      </c>
      <c r="I296" s="518" t="str">
        <f t="shared" si="8"/>
        <v>0</v>
      </c>
      <c r="J296" s="520" t="b">
        <f t="shared" si="9"/>
        <v>0</v>
      </c>
      <c r="K296" s="521">
        <f>'Revenue Jrnl'!$G302</f>
        <v>0</v>
      </c>
      <c r="L296" s="522"/>
      <c r="M296" s="523"/>
      <c r="N296" s="524"/>
    </row>
    <row r="297" spans="2:14" s="1" customFormat="1" ht="30" hidden="1" customHeight="1" x14ac:dyDescent="0.2">
      <c r="B297" s="517">
        <f>IF(AND('Revenue Jrnl'!G303&lt;&gt;"",'Revenue Jrnl'!C303&lt;&gt;""),1,0)</f>
        <v>0</v>
      </c>
      <c r="C297" s="517">
        <f>'Revenue Jrnl'!$C303</f>
        <v>0</v>
      </c>
      <c r="D297" s="518">
        <f>'Revenue Jrnl'!$D303</f>
        <v>0</v>
      </c>
      <c r="E297" s="1523">
        <f>'Revenue Jrnl'!$F303</f>
        <v>0</v>
      </c>
      <c r="F297" s="1523"/>
      <c r="G297" s="519" t="str">
        <f>IF('Revenue Jrnl'!$E303="","",'Revenue Jrnl'!$E303)</f>
        <v/>
      </c>
      <c r="H297" s="518">
        <f>'Revenue Jrnl'!H303</f>
        <v>0</v>
      </c>
      <c r="I297" s="518" t="str">
        <f t="shared" si="8"/>
        <v>0</v>
      </c>
      <c r="J297" s="520" t="b">
        <f t="shared" si="9"/>
        <v>0</v>
      </c>
      <c r="K297" s="521">
        <f>'Revenue Jrnl'!$G303</f>
        <v>0</v>
      </c>
      <c r="L297" s="522"/>
      <c r="M297" s="523"/>
      <c r="N297" s="524"/>
    </row>
    <row r="298" spans="2:14" s="1" customFormat="1" ht="30" hidden="1" customHeight="1" x14ac:dyDescent="0.2">
      <c r="B298" s="517">
        <f>IF(AND('Revenue Jrnl'!G304&lt;&gt;"",'Revenue Jrnl'!C304&lt;&gt;""),1,0)</f>
        <v>0</v>
      </c>
      <c r="C298" s="517">
        <f>'Revenue Jrnl'!$C304</f>
        <v>0</v>
      </c>
      <c r="D298" s="518">
        <f>'Revenue Jrnl'!$D304</f>
        <v>0</v>
      </c>
      <c r="E298" s="1523">
        <f>'Revenue Jrnl'!$F304</f>
        <v>0</v>
      </c>
      <c r="F298" s="1523"/>
      <c r="G298" s="519" t="str">
        <f>IF('Revenue Jrnl'!$E304="","",'Revenue Jrnl'!$E304)</f>
        <v/>
      </c>
      <c r="H298" s="518">
        <f>'Revenue Jrnl'!H304</f>
        <v>0</v>
      </c>
      <c r="I298" s="518" t="str">
        <f t="shared" si="8"/>
        <v>0</v>
      </c>
      <c r="J298" s="520" t="b">
        <f t="shared" si="9"/>
        <v>0</v>
      </c>
      <c r="K298" s="521">
        <f>'Revenue Jrnl'!$G304</f>
        <v>0</v>
      </c>
      <c r="L298" s="522"/>
      <c r="M298" s="523"/>
      <c r="N298" s="524"/>
    </row>
    <row r="299" spans="2:14" s="1" customFormat="1" ht="30" hidden="1" customHeight="1" x14ac:dyDescent="0.2">
      <c r="B299" s="517">
        <f>IF(AND('Revenue Jrnl'!G305&lt;&gt;"",'Revenue Jrnl'!C305&lt;&gt;""),1,0)</f>
        <v>0</v>
      </c>
      <c r="C299" s="517">
        <f>'Revenue Jrnl'!$C305</f>
        <v>0</v>
      </c>
      <c r="D299" s="518">
        <f>'Revenue Jrnl'!$D305</f>
        <v>0</v>
      </c>
      <c r="E299" s="1523">
        <f>'Revenue Jrnl'!$F305</f>
        <v>0</v>
      </c>
      <c r="F299" s="1523"/>
      <c r="G299" s="519" t="str">
        <f>IF('Revenue Jrnl'!$E305="","",'Revenue Jrnl'!$E305)</f>
        <v/>
      </c>
      <c r="H299" s="518">
        <f>'Revenue Jrnl'!H305</f>
        <v>0</v>
      </c>
      <c r="I299" s="518" t="str">
        <f t="shared" si="8"/>
        <v>0</v>
      </c>
      <c r="J299" s="520" t="b">
        <f t="shared" si="9"/>
        <v>0</v>
      </c>
      <c r="K299" s="521">
        <f>'Revenue Jrnl'!$G305</f>
        <v>0</v>
      </c>
      <c r="L299" s="522"/>
      <c r="M299" s="523"/>
      <c r="N299" s="524"/>
    </row>
    <row r="300" spans="2:14" s="1" customFormat="1" ht="30" hidden="1" customHeight="1" x14ac:dyDescent="0.2">
      <c r="B300" s="517">
        <f>IF(AND('Revenue Jrnl'!G306&lt;&gt;"",'Revenue Jrnl'!C306&lt;&gt;""),1,0)</f>
        <v>0</v>
      </c>
      <c r="C300" s="517">
        <f>'Revenue Jrnl'!$C306</f>
        <v>0</v>
      </c>
      <c r="D300" s="518">
        <f>'Revenue Jrnl'!$D306</f>
        <v>0</v>
      </c>
      <c r="E300" s="1523">
        <f>'Revenue Jrnl'!$F306</f>
        <v>0</v>
      </c>
      <c r="F300" s="1523"/>
      <c r="G300" s="519" t="str">
        <f>IF('Revenue Jrnl'!$E306="","",'Revenue Jrnl'!$E306)</f>
        <v/>
      </c>
      <c r="H300" s="518">
        <f>'Revenue Jrnl'!H306</f>
        <v>0</v>
      </c>
      <c r="I300" s="518" t="str">
        <f t="shared" si="8"/>
        <v>0</v>
      </c>
      <c r="J300" s="520" t="b">
        <f t="shared" si="9"/>
        <v>0</v>
      </c>
      <c r="K300" s="521">
        <f>'Revenue Jrnl'!$G306</f>
        <v>0</v>
      </c>
      <c r="L300" s="522"/>
      <c r="M300" s="523"/>
      <c r="N300" s="524"/>
    </row>
    <row r="301" spans="2:14" s="1" customFormat="1" ht="30" hidden="1" customHeight="1" x14ac:dyDescent="0.2">
      <c r="B301" s="517">
        <f>IF(AND('Revenue Jrnl'!G307&lt;&gt;"",'Revenue Jrnl'!C307&lt;&gt;""),1,0)</f>
        <v>0</v>
      </c>
      <c r="C301" s="517">
        <f>'Revenue Jrnl'!$C307</f>
        <v>0</v>
      </c>
      <c r="D301" s="518">
        <f>'Revenue Jrnl'!$D307</f>
        <v>0</v>
      </c>
      <c r="E301" s="1523">
        <f>'Revenue Jrnl'!$F307</f>
        <v>0</v>
      </c>
      <c r="F301" s="1523"/>
      <c r="G301" s="519" t="str">
        <f>IF('Revenue Jrnl'!$E307="","",'Revenue Jrnl'!$E307)</f>
        <v/>
      </c>
      <c r="H301" s="518">
        <f>'Revenue Jrnl'!H307</f>
        <v>0</v>
      </c>
      <c r="I301" s="518" t="str">
        <f t="shared" si="8"/>
        <v>0</v>
      </c>
      <c r="J301" s="520" t="b">
        <f t="shared" si="9"/>
        <v>0</v>
      </c>
      <c r="K301" s="521">
        <f>'Revenue Jrnl'!$G307</f>
        <v>0</v>
      </c>
      <c r="L301" s="522"/>
      <c r="M301" s="523"/>
      <c r="N301" s="524"/>
    </row>
    <row r="302" spans="2:14" s="1" customFormat="1" ht="30" hidden="1" customHeight="1" x14ac:dyDescent="0.2">
      <c r="B302" s="517">
        <f>IF(AND('Revenue Jrnl'!G308&lt;&gt;"",'Revenue Jrnl'!C308&lt;&gt;""),1,0)</f>
        <v>0</v>
      </c>
      <c r="C302" s="517">
        <f>'Revenue Jrnl'!$C308</f>
        <v>0</v>
      </c>
      <c r="D302" s="518">
        <f>'Revenue Jrnl'!$D308</f>
        <v>0</v>
      </c>
      <c r="E302" s="1523">
        <f>'Revenue Jrnl'!$F308</f>
        <v>0</v>
      </c>
      <c r="F302" s="1523"/>
      <c r="G302" s="519" t="str">
        <f>IF('Revenue Jrnl'!$E308="","",'Revenue Jrnl'!$E308)</f>
        <v/>
      </c>
      <c r="H302" s="518">
        <f>'Revenue Jrnl'!H308</f>
        <v>0</v>
      </c>
      <c r="I302" s="518" t="str">
        <f t="shared" si="8"/>
        <v>0</v>
      </c>
      <c r="J302" s="520" t="b">
        <f t="shared" si="9"/>
        <v>0</v>
      </c>
      <c r="K302" s="521">
        <f>'Revenue Jrnl'!$G308</f>
        <v>0</v>
      </c>
      <c r="L302" s="522"/>
      <c r="M302" s="523"/>
      <c r="N302" s="524"/>
    </row>
    <row r="303" spans="2:14" s="1" customFormat="1" ht="30" hidden="1" customHeight="1" x14ac:dyDescent="0.2">
      <c r="B303" s="517">
        <f>IF(AND('Revenue Jrnl'!G309&lt;&gt;"",'Revenue Jrnl'!C309&lt;&gt;""),1,0)</f>
        <v>0</v>
      </c>
      <c r="C303" s="517">
        <f>'Revenue Jrnl'!$C309</f>
        <v>0</v>
      </c>
      <c r="D303" s="518">
        <f>'Revenue Jrnl'!$D309</f>
        <v>0</v>
      </c>
      <c r="E303" s="1523">
        <f>'Revenue Jrnl'!$F309</f>
        <v>0</v>
      </c>
      <c r="F303" s="1523"/>
      <c r="G303" s="519" t="str">
        <f>IF('Revenue Jrnl'!$E309="","",'Revenue Jrnl'!$E309)</f>
        <v/>
      </c>
      <c r="H303" s="518">
        <f>'Revenue Jrnl'!H309</f>
        <v>0</v>
      </c>
      <c r="I303" s="518" t="str">
        <f t="shared" si="8"/>
        <v>0</v>
      </c>
      <c r="J303" s="520" t="b">
        <f t="shared" si="9"/>
        <v>0</v>
      </c>
      <c r="K303" s="521">
        <f>'Revenue Jrnl'!$G309</f>
        <v>0</v>
      </c>
      <c r="L303" s="522"/>
      <c r="M303" s="523"/>
      <c r="N303" s="524"/>
    </row>
    <row r="304" spans="2:14" s="1" customFormat="1" ht="30" hidden="1" customHeight="1" x14ac:dyDescent="0.2">
      <c r="B304" s="517">
        <f>IF(AND('Revenue Jrnl'!G310&lt;&gt;"",'Revenue Jrnl'!C310&lt;&gt;""),1,0)</f>
        <v>0</v>
      </c>
      <c r="C304" s="517">
        <f>'Revenue Jrnl'!$C310</f>
        <v>0</v>
      </c>
      <c r="D304" s="518">
        <f>'Revenue Jrnl'!$D310</f>
        <v>0</v>
      </c>
      <c r="E304" s="1523">
        <f>'Revenue Jrnl'!$F310</f>
        <v>0</v>
      </c>
      <c r="F304" s="1523"/>
      <c r="G304" s="519" t="str">
        <f>IF('Revenue Jrnl'!$E310="","",'Revenue Jrnl'!$E310)</f>
        <v/>
      </c>
      <c r="H304" s="518">
        <f>'Revenue Jrnl'!H310</f>
        <v>0</v>
      </c>
      <c r="I304" s="518" t="str">
        <f t="shared" si="8"/>
        <v>0</v>
      </c>
      <c r="J304" s="520" t="b">
        <f t="shared" si="9"/>
        <v>0</v>
      </c>
      <c r="K304" s="521">
        <f>'Revenue Jrnl'!$G310</f>
        <v>0</v>
      </c>
      <c r="L304" s="522"/>
      <c r="M304" s="523"/>
      <c r="N304" s="524"/>
    </row>
    <row r="305" spans="2:14" s="1" customFormat="1" ht="30" hidden="1" customHeight="1" x14ac:dyDescent="0.2">
      <c r="B305" s="517">
        <f>IF(AND('Revenue Jrnl'!G311&lt;&gt;"",'Revenue Jrnl'!C311&lt;&gt;""),1,0)</f>
        <v>0</v>
      </c>
      <c r="C305" s="517">
        <f>'Revenue Jrnl'!$C311</f>
        <v>0</v>
      </c>
      <c r="D305" s="518">
        <f>'Revenue Jrnl'!$D311</f>
        <v>0</v>
      </c>
      <c r="E305" s="1523">
        <f>'Revenue Jrnl'!$F311</f>
        <v>0</v>
      </c>
      <c r="F305" s="1523"/>
      <c r="G305" s="519" t="str">
        <f>IF('Revenue Jrnl'!$E311="","",'Revenue Jrnl'!$E311)</f>
        <v/>
      </c>
      <c r="H305" s="518">
        <f>'Revenue Jrnl'!H311</f>
        <v>0</v>
      </c>
      <c r="I305" s="518" t="str">
        <f t="shared" si="8"/>
        <v>0</v>
      </c>
      <c r="J305" s="520" t="b">
        <f t="shared" si="9"/>
        <v>0</v>
      </c>
      <c r="K305" s="521">
        <f>'Revenue Jrnl'!$G311</f>
        <v>0</v>
      </c>
      <c r="L305" s="522"/>
      <c r="M305" s="523"/>
      <c r="N305" s="524"/>
    </row>
    <row r="306" spans="2:14" s="1" customFormat="1" ht="30" hidden="1" customHeight="1" x14ac:dyDescent="0.2">
      <c r="B306" s="517">
        <f>IF(AND('Revenue Jrnl'!G312&lt;&gt;"",'Revenue Jrnl'!C312&lt;&gt;""),1,0)</f>
        <v>0</v>
      </c>
      <c r="C306" s="517">
        <f>'Revenue Jrnl'!$C312</f>
        <v>0</v>
      </c>
      <c r="D306" s="518">
        <f>'Revenue Jrnl'!$D312</f>
        <v>0</v>
      </c>
      <c r="E306" s="1523">
        <f>'Revenue Jrnl'!$F312</f>
        <v>0</v>
      </c>
      <c r="F306" s="1523"/>
      <c r="G306" s="519" t="str">
        <f>IF('Revenue Jrnl'!$E312="","",'Revenue Jrnl'!$E312)</f>
        <v/>
      </c>
      <c r="H306" s="518">
        <f>'Revenue Jrnl'!H312</f>
        <v>0</v>
      </c>
      <c r="I306" s="518" t="str">
        <f t="shared" si="8"/>
        <v>0</v>
      </c>
      <c r="J306" s="520" t="b">
        <f t="shared" si="9"/>
        <v>0</v>
      </c>
      <c r="K306" s="521">
        <f>'Revenue Jrnl'!$G312</f>
        <v>0</v>
      </c>
      <c r="L306" s="522"/>
      <c r="M306" s="523"/>
      <c r="N306" s="524"/>
    </row>
    <row r="307" spans="2:14" s="1" customFormat="1" ht="30" hidden="1" customHeight="1" x14ac:dyDescent="0.2">
      <c r="B307" s="517">
        <f>IF(AND('Revenue Jrnl'!G313&lt;&gt;"",'Revenue Jrnl'!C313&lt;&gt;""),1,0)</f>
        <v>0</v>
      </c>
      <c r="C307" s="517">
        <f>'Revenue Jrnl'!$C313</f>
        <v>0</v>
      </c>
      <c r="D307" s="518">
        <f>'Revenue Jrnl'!$D313</f>
        <v>0</v>
      </c>
      <c r="E307" s="1523">
        <f>'Revenue Jrnl'!$F313</f>
        <v>0</v>
      </c>
      <c r="F307" s="1523"/>
      <c r="G307" s="519" t="str">
        <f>IF('Revenue Jrnl'!$E313="","",'Revenue Jrnl'!$E313)</f>
        <v/>
      </c>
      <c r="H307" s="518">
        <f>'Revenue Jrnl'!H313</f>
        <v>0</v>
      </c>
      <c r="I307" s="518" t="str">
        <f t="shared" si="8"/>
        <v>0</v>
      </c>
      <c r="J307" s="520" t="b">
        <f t="shared" si="9"/>
        <v>0</v>
      </c>
      <c r="K307" s="521">
        <f>'Revenue Jrnl'!$G313</f>
        <v>0</v>
      </c>
      <c r="L307" s="522"/>
      <c r="M307" s="523"/>
      <c r="N307" s="524"/>
    </row>
    <row r="308" spans="2:14" s="1" customFormat="1" ht="30" hidden="1" customHeight="1" x14ac:dyDescent="0.2">
      <c r="B308" s="517">
        <f>IF(AND('Revenue Jrnl'!G314&lt;&gt;"",'Revenue Jrnl'!C314&lt;&gt;""),1,0)</f>
        <v>0</v>
      </c>
      <c r="C308" s="517">
        <f>'Revenue Jrnl'!$C314</f>
        <v>0</v>
      </c>
      <c r="D308" s="518">
        <f>'Revenue Jrnl'!$D314</f>
        <v>0</v>
      </c>
      <c r="E308" s="1523">
        <f>'Revenue Jrnl'!$F314</f>
        <v>0</v>
      </c>
      <c r="F308" s="1523"/>
      <c r="G308" s="519" t="str">
        <f>IF('Revenue Jrnl'!$E314="","",'Revenue Jrnl'!$E314)</f>
        <v/>
      </c>
      <c r="H308" s="518">
        <f>'Revenue Jrnl'!H314</f>
        <v>0</v>
      </c>
      <c r="I308" s="518" t="str">
        <f t="shared" si="8"/>
        <v>0</v>
      </c>
      <c r="J308" s="520" t="b">
        <f t="shared" si="9"/>
        <v>0</v>
      </c>
      <c r="K308" s="521">
        <f>'Revenue Jrnl'!$G314</f>
        <v>0</v>
      </c>
      <c r="L308" s="522"/>
      <c r="M308" s="523"/>
      <c r="N308" s="524"/>
    </row>
    <row r="309" spans="2:14" s="1" customFormat="1" ht="30" hidden="1" customHeight="1" x14ac:dyDescent="0.2">
      <c r="B309" s="517">
        <f>IF(AND('Revenue Jrnl'!G315&lt;&gt;"",'Revenue Jrnl'!C315&lt;&gt;""),1,0)</f>
        <v>0</v>
      </c>
      <c r="C309" s="517">
        <f>'Revenue Jrnl'!$C315</f>
        <v>0</v>
      </c>
      <c r="D309" s="518">
        <f>'Revenue Jrnl'!$D315</f>
        <v>0</v>
      </c>
      <c r="E309" s="1523">
        <f>'Revenue Jrnl'!$F315</f>
        <v>0</v>
      </c>
      <c r="F309" s="1523"/>
      <c r="G309" s="519" t="str">
        <f>IF('Revenue Jrnl'!$E315="","",'Revenue Jrnl'!$E315)</f>
        <v/>
      </c>
      <c r="H309" s="518">
        <f>'Revenue Jrnl'!H315</f>
        <v>0</v>
      </c>
      <c r="I309" s="518" t="str">
        <f t="shared" si="8"/>
        <v>0</v>
      </c>
      <c r="J309" s="520" t="b">
        <f t="shared" si="9"/>
        <v>0</v>
      </c>
      <c r="K309" s="521">
        <f>'Revenue Jrnl'!$G315</f>
        <v>0</v>
      </c>
      <c r="L309" s="522"/>
      <c r="M309" s="523"/>
      <c r="N309" s="524"/>
    </row>
    <row r="310" spans="2:14" s="1" customFormat="1" ht="30" hidden="1" customHeight="1" x14ac:dyDescent="0.2">
      <c r="B310" s="517">
        <f>IF(AND('Revenue Jrnl'!G316&lt;&gt;"",'Revenue Jrnl'!C316&lt;&gt;""),1,0)</f>
        <v>0</v>
      </c>
      <c r="C310" s="517">
        <f>'Revenue Jrnl'!$C316</f>
        <v>0</v>
      </c>
      <c r="D310" s="518">
        <f>'Revenue Jrnl'!$D316</f>
        <v>0</v>
      </c>
      <c r="E310" s="1523">
        <f>'Revenue Jrnl'!$F316</f>
        <v>0</v>
      </c>
      <c r="F310" s="1523"/>
      <c r="G310" s="519" t="str">
        <f>IF('Revenue Jrnl'!$E316="","",'Revenue Jrnl'!$E316)</f>
        <v/>
      </c>
      <c r="H310" s="518">
        <f>'Revenue Jrnl'!H316</f>
        <v>0</v>
      </c>
      <c r="I310" s="518" t="str">
        <f t="shared" si="8"/>
        <v>0</v>
      </c>
      <c r="J310" s="520" t="b">
        <f t="shared" si="9"/>
        <v>0</v>
      </c>
      <c r="K310" s="521">
        <f>'Revenue Jrnl'!$G316</f>
        <v>0</v>
      </c>
      <c r="L310" s="522"/>
      <c r="M310" s="523">
        <f>'Revenue Jrnl'!E106</f>
        <v>0</v>
      </c>
      <c r="N310" s="524">
        <f>'Revenue Jrnl'!$H106</f>
        <v>0</v>
      </c>
    </row>
    <row r="311" spans="2:14" s="1" customFormat="1" ht="30" hidden="1" customHeight="1" x14ac:dyDescent="0.2">
      <c r="B311" s="517">
        <f>IF(AND('Revenue Jrnl'!G317&lt;&gt;"",'Revenue Jrnl'!C317&lt;&gt;""),1,0)</f>
        <v>0</v>
      </c>
      <c r="C311" s="517">
        <f>'Revenue Jrnl'!$C317</f>
        <v>0</v>
      </c>
      <c r="D311" s="518">
        <f>'Revenue Jrnl'!$D317</f>
        <v>0</v>
      </c>
      <c r="E311" s="1523">
        <f>'Revenue Jrnl'!$F317</f>
        <v>0</v>
      </c>
      <c r="F311" s="1523"/>
      <c r="G311" s="519" t="str">
        <f>IF('Revenue Jrnl'!$E317="","",'Revenue Jrnl'!$E317)</f>
        <v/>
      </c>
      <c r="H311" s="518">
        <f>'Revenue Jrnl'!H317</f>
        <v>0</v>
      </c>
      <c r="I311" s="518" t="str">
        <f t="shared" si="8"/>
        <v>0</v>
      </c>
      <c r="J311" s="520" t="b">
        <f t="shared" si="9"/>
        <v>0</v>
      </c>
      <c r="K311" s="521">
        <f>'Revenue Jrnl'!$G317</f>
        <v>0</v>
      </c>
      <c r="L311" s="522"/>
      <c r="M311" s="523">
        <f>'Revenue Jrnl'!E107</f>
        <v>0</v>
      </c>
      <c r="N311" s="524">
        <f>'Revenue Jrnl'!$H107</f>
        <v>0</v>
      </c>
    </row>
    <row r="312" spans="2:14" s="1" customFormat="1" ht="30" hidden="1" customHeight="1" x14ac:dyDescent="0.2">
      <c r="B312" s="517">
        <f>IF(AND('Revenue Jrnl'!G318&lt;&gt;"",'Revenue Jrnl'!C318&lt;&gt;""),1,0)</f>
        <v>0</v>
      </c>
      <c r="C312" s="517">
        <f>'Revenue Jrnl'!$C318</f>
        <v>0</v>
      </c>
      <c r="D312" s="518">
        <f>'Revenue Jrnl'!$D318</f>
        <v>0</v>
      </c>
      <c r="E312" s="1523">
        <f>'Revenue Jrnl'!$F318</f>
        <v>0</v>
      </c>
      <c r="F312" s="1523"/>
      <c r="G312" s="519" t="str">
        <f>IF('Revenue Jrnl'!$E318="","",'Revenue Jrnl'!$E318)</f>
        <v/>
      </c>
      <c r="H312" s="518">
        <f>'Revenue Jrnl'!H318</f>
        <v>0</v>
      </c>
      <c r="I312" s="518" t="str">
        <f t="shared" si="8"/>
        <v>0</v>
      </c>
      <c r="J312" s="520" t="b">
        <f t="shared" si="9"/>
        <v>0</v>
      </c>
      <c r="K312" s="521">
        <f>'Revenue Jrnl'!$G318</f>
        <v>0</v>
      </c>
      <c r="L312" s="522"/>
      <c r="M312" s="523">
        <f>'Revenue Jrnl'!E108</f>
        <v>0</v>
      </c>
      <c r="N312" s="524">
        <f>'Revenue Jrnl'!$H108</f>
        <v>0</v>
      </c>
    </row>
    <row r="313" spans="2:14" s="1" customFormat="1" ht="30" hidden="1" customHeight="1" x14ac:dyDescent="0.2">
      <c r="B313" s="517">
        <f>IF(AND('Revenue Jrnl'!G319&lt;&gt;"",'Revenue Jrnl'!C319&lt;&gt;""),1,0)</f>
        <v>0</v>
      </c>
      <c r="C313" s="517">
        <f>'Revenue Jrnl'!$C319</f>
        <v>0</v>
      </c>
      <c r="D313" s="518">
        <f>'Revenue Jrnl'!$D319</f>
        <v>0</v>
      </c>
      <c r="E313" s="1523">
        <f>'Revenue Jrnl'!$F319</f>
        <v>0</v>
      </c>
      <c r="F313" s="1523"/>
      <c r="G313" s="519" t="str">
        <f>IF('Revenue Jrnl'!$E319="","",'Revenue Jrnl'!$E319)</f>
        <v/>
      </c>
      <c r="H313" s="518">
        <f>'Revenue Jrnl'!H319</f>
        <v>0</v>
      </c>
      <c r="I313" s="518" t="str">
        <f t="shared" si="8"/>
        <v>0</v>
      </c>
      <c r="J313" s="520" t="b">
        <f t="shared" si="9"/>
        <v>0</v>
      </c>
      <c r="K313" s="521">
        <f>'Revenue Jrnl'!$G319</f>
        <v>0</v>
      </c>
      <c r="L313" s="522"/>
      <c r="M313" s="523">
        <f>'Revenue Jrnl'!E109</f>
        <v>0</v>
      </c>
      <c r="N313" s="524">
        <f>'Revenue Jrnl'!$H109</f>
        <v>0</v>
      </c>
    </row>
    <row r="314" spans="2:14" s="1" customFormat="1" ht="30" hidden="1" customHeight="1" x14ac:dyDescent="0.2">
      <c r="B314" s="517">
        <f>IF(AND('Revenue Jrnl'!G320&lt;&gt;"",'Revenue Jrnl'!C320&lt;&gt;""),1,0)</f>
        <v>0</v>
      </c>
      <c r="C314" s="517">
        <f>'Revenue Jrnl'!$C320</f>
        <v>0</v>
      </c>
      <c r="D314" s="518">
        <f>'Revenue Jrnl'!$D320</f>
        <v>0</v>
      </c>
      <c r="E314" s="1523">
        <f>'Revenue Jrnl'!$F320</f>
        <v>0</v>
      </c>
      <c r="F314" s="1523"/>
      <c r="G314" s="519" t="str">
        <f>IF('Revenue Jrnl'!$E320="","",'Revenue Jrnl'!$E320)</f>
        <v/>
      </c>
      <c r="H314" s="518">
        <f>'Revenue Jrnl'!H320</f>
        <v>0</v>
      </c>
      <c r="I314" s="518" t="str">
        <f t="shared" si="8"/>
        <v>0</v>
      </c>
      <c r="J314" s="520" t="b">
        <f t="shared" si="9"/>
        <v>0</v>
      </c>
      <c r="K314" s="521">
        <f>'Revenue Jrnl'!$G320</f>
        <v>0</v>
      </c>
      <c r="L314" s="522"/>
      <c r="M314" s="523">
        <f>'Revenue Jrnl'!E110</f>
        <v>0</v>
      </c>
      <c r="N314" s="524">
        <f>'Revenue Jrnl'!$H110</f>
        <v>0</v>
      </c>
    </row>
    <row r="315" spans="2:14" s="1" customFormat="1" ht="30" hidden="1" customHeight="1" x14ac:dyDescent="0.2">
      <c r="B315" s="517">
        <f>IF(AND('Revenue Jrnl'!G321&lt;&gt;"",'Revenue Jrnl'!C321&lt;&gt;""),1,0)</f>
        <v>0</v>
      </c>
      <c r="C315" s="517">
        <f>'Revenue Jrnl'!$C321</f>
        <v>0</v>
      </c>
      <c r="D315" s="518">
        <f>'Revenue Jrnl'!$D321</f>
        <v>0</v>
      </c>
      <c r="E315" s="1523">
        <f>'Revenue Jrnl'!$F321</f>
        <v>0</v>
      </c>
      <c r="F315" s="1523"/>
      <c r="G315" s="519" t="str">
        <f>IF('Revenue Jrnl'!$E321="","",'Revenue Jrnl'!$E321)</f>
        <v/>
      </c>
      <c r="H315" s="518">
        <f>'Revenue Jrnl'!H321</f>
        <v>0</v>
      </c>
      <c r="I315" s="518" t="str">
        <f t="shared" si="8"/>
        <v>0</v>
      </c>
      <c r="J315" s="520" t="b">
        <f t="shared" si="9"/>
        <v>0</v>
      </c>
      <c r="K315" s="521">
        <f>'Revenue Jrnl'!$G321</f>
        <v>0</v>
      </c>
      <c r="L315" s="522"/>
      <c r="M315" s="523">
        <f>'Revenue Jrnl'!E111</f>
        <v>0</v>
      </c>
      <c r="N315" s="524">
        <f>'Revenue Jrnl'!$H111</f>
        <v>0</v>
      </c>
    </row>
    <row r="316" spans="2:14" s="1" customFormat="1" ht="30" hidden="1" customHeight="1" x14ac:dyDescent="0.2">
      <c r="B316" s="517">
        <f>IF(AND('Revenue Jrnl'!G322&lt;&gt;"",'Revenue Jrnl'!C322&lt;&gt;""),1,0)</f>
        <v>0</v>
      </c>
      <c r="C316" s="517">
        <f>'Revenue Jrnl'!$C322</f>
        <v>0</v>
      </c>
      <c r="D316" s="518">
        <f>'Revenue Jrnl'!$D322</f>
        <v>0</v>
      </c>
      <c r="E316" s="1523">
        <f>'Revenue Jrnl'!$F322</f>
        <v>0</v>
      </c>
      <c r="F316" s="1523"/>
      <c r="G316" s="519" t="str">
        <f>IF('Revenue Jrnl'!$E322="","",'Revenue Jrnl'!$E322)</f>
        <v/>
      </c>
      <c r="H316" s="518">
        <f>'Revenue Jrnl'!H322</f>
        <v>0</v>
      </c>
      <c r="I316" s="518" t="str">
        <f t="shared" si="8"/>
        <v>0</v>
      </c>
      <c r="J316" s="520" t="b">
        <f t="shared" si="9"/>
        <v>0</v>
      </c>
      <c r="K316" s="521">
        <f>'Revenue Jrnl'!$G322</f>
        <v>0</v>
      </c>
      <c r="L316" s="522"/>
      <c r="M316" s="523">
        <f>'Revenue Jrnl'!E112</f>
        <v>0</v>
      </c>
      <c r="N316" s="524">
        <f>'Revenue Jrnl'!$H112</f>
        <v>0</v>
      </c>
    </row>
    <row r="317" spans="2:14" s="1" customFormat="1" ht="30" hidden="1" customHeight="1" x14ac:dyDescent="0.2">
      <c r="B317" s="517">
        <f>IF(AND('Revenue Jrnl'!G323&lt;&gt;"",'Revenue Jrnl'!C323&lt;&gt;""),1,0)</f>
        <v>0</v>
      </c>
      <c r="C317" s="517">
        <f>'Revenue Jrnl'!$C323</f>
        <v>0</v>
      </c>
      <c r="D317" s="518">
        <f>'Revenue Jrnl'!$D323</f>
        <v>0</v>
      </c>
      <c r="E317" s="1523">
        <f>'Revenue Jrnl'!$F323</f>
        <v>0</v>
      </c>
      <c r="F317" s="1523"/>
      <c r="G317" s="519" t="str">
        <f>IF('Revenue Jrnl'!$E323="","",'Revenue Jrnl'!$E323)</f>
        <v/>
      </c>
      <c r="H317" s="518">
        <f>'Revenue Jrnl'!H323</f>
        <v>0</v>
      </c>
      <c r="I317" s="518" t="str">
        <f t="shared" si="8"/>
        <v>0</v>
      </c>
      <c r="J317" s="520" t="b">
        <f t="shared" si="9"/>
        <v>0</v>
      </c>
      <c r="K317" s="521">
        <f>'Revenue Jrnl'!$G323</f>
        <v>0</v>
      </c>
      <c r="L317" s="522"/>
      <c r="M317" s="523">
        <f>'Revenue Jrnl'!E113</f>
        <v>0</v>
      </c>
      <c r="N317" s="524">
        <f>'Revenue Jrnl'!$H113</f>
        <v>0</v>
      </c>
    </row>
    <row r="318" spans="2:14" s="1" customFormat="1" ht="30" hidden="1" customHeight="1" x14ac:dyDescent="0.2">
      <c r="B318" s="517">
        <f>IF(AND('Revenue Jrnl'!G324&lt;&gt;"",'Revenue Jrnl'!C324&lt;&gt;""),1,0)</f>
        <v>0</v>
      </c>
      <c r="C318" s="517">
        <f>'Revenue Jrnl'!$C324</f>
        <v>0</v>
      </c>
      <c r="D318" s="518">
        <f>'Revenue Jrnl'!$D324</f>
        <v>0</v>
      </c>
      <c r="E318" s="1523">
        <f>'Revenue Jrnl'!$F324</f>
        <v>0</v>
      </c>
      <c r="F318" s="1523"/>
      <c r="G318" s="519" t="str">
        <f>IF('Revenue Jrnl'!$E324="","",'Revenue Jrnl'!$E324)</f>
        <v/>
      </c>
      <c r="H318" s="518">
        <f>'Revenue Jrnl'!H324</f>
        <v>0</v>
      </c>
      <c r="I318" s="518" t="str">
        <f t="shared" si="8"/>
        <v>0</v>
      </c>
      <c r="J318" s="520" t="b">
        <f t="shared" si="9"/>
        <v>0</v>
      </c>
      <c r="K318" s="521">
        <f>'Revenue Jrnl'!$G324</f>
        <v>0</v>
      </c>
      <c r="L318" s="522"/>
      <c r="M318" s="523">
        <f>'Revenue Jrnl'!E114</f>
        <v>0</v>
      </c>
      <c r="N318" s="524">
        <f>'Revenue Jrnl'!$H114</f>
        <v>0</v>
      </c>
    </row>
    <row r="319" spans="2:14" s="1" customFormat="1" ht="30" hidden="1" customHeight="1" x14ac:dyDescent="0.2">
      <c r="B319" s="517">
        <f>IF(AND('Revenue Jrnl'!G325&lt;&gt;"",'Revenue Jrnl'!C325&lt;&gt;""),1,0)</f>
        <v>0</v>
      </c>
      <c r="C319" s="517">
        <f>'Revenue Jrnl'!$C325</f>
        <v>0</v>
      </c>
      <c r="D319" s="518">
        <f>'Revenue Jrnl'!$D325</f>
        <v>0</v>
      </c>
      <c r="E319" s="1523">
        <f>'Revenue Jrnl'!$F325</f>
        <v>0</v>
      </c>
      <c r="F319" s="1523"/>
      <c r="G319" s="519" t="str">
        <f>IF('Revenue Jrnl'!$E325="","",'Revenue Jrnl'!$E325)</f>
        <v/>
      </c>
      <c r="H319" s="518">
        <f>'Revenue Jrnl'!H325</f>
        <v>0</v>
      </c>
      <c r="I319" s="518" t="str">
        <f t="shared" si="8"/>
        <v>0</v>
      </c>
      <c r="J319" s="520" t="b">
        <f t="shared" si="9"/>
        <v>0</v>
      </c>
      <c r="K319" s="521">
        <f>'Revenue Jrnl'!$G325</f>
        <v>0</v>
      </c>
      <c r="L319" s="522"/>
      <c r="M319" s="523">
        <f>'Revenue Jrnl'!E115</f>
        <v>0</v>
      </c>
      <c r="N319" s="524">
        <f>'Revenue Jrnl'!$H115</f>
        <v>0</v>
      </c>
    </row>
    <row r="320" spans="2:14" s="1" customFormat="1" ht="30" hidden="1" customHeight="1" x14ac:dyDescent="0.2">
      <c r="B320" s="517">
        <f>IF(AND('Revenue Jrnl'!G326&lt;&gt;"",'Revenue Jrnl'!C326&lt;&gt;""),1,0)</f>
        <v>0</v>
      </c>
      <c r="C320" s="517">
        <f>'Revenue Jrnl'!$C326</f>
        <v>0</v>
      </c>
      <c r="D320" s="518">
        <f>'Revenue Jrnl'!$D326</f>
        <v>0</v>
      </c>
      <c r="E320" s="1523">
        <f>'Revenue Jrnl'!$F326</f>
        <v>0</v>
      </c>
      <c r="F320" s="1523"/>
      <c r="G320" s="519" t="str">
        <f>IF('Revenue Jrnl'!$E326="","",'Revenue Jrnl'!$E326)</f>
        <v/>
      </c>
      <c r="H320" s="518">
        <f>'Revenue Jrnl'!H326</f>
        <v>0</v>
      </c>
      <c r="I320" s="518" t="str">
        <f t="shared" si="8"/>
        <v>0</v>
      </c>
      <c r="J320" s="520" t="b">
        <f t="shared" si="9"/>
        <v>0</v>
      </c>
      <c r="K320" s="521">
        <f>'Revenue Jrnl'!$G326</f>
        <v>0</v>
      </c>
      <c r="L320" s="522"/>
      <c r="M320" s="523">
        <f>'Revenue Jrnl'!E116</f>
        <v>0</v>
      </c>
      <c r="N320" s="524">
        <f>'Revenue Jrnl'!$H116</f>
        <v>0</v>
      </c>
    </row>
    <row r="321" spans="2:14" s="1" customFormat="1" ht="30" hidden="1" customHeight="1" x14ac:dyDescent="0.2">
      <c r="B321" s="517">
        <f>IF(AND('Revenue Jrnl'!G327&lt;&gt;"",'Revenue Jrnl'!C327&lt;&gt;""),1,0)</f>
        <v>0</v>
      </c>
      <c r="C321" s="517">
        <f>'Revenue Jrnl'!$C327</f>
        <v>0</v>
      </c>
      <c r="D321" s="518">
        <f>'Revenue Jrnl'!$D327</f>
        <v>0</v>
      </c>
      <c r="E321" s="1523">
        <f>'Revenue Jrnl'!$F327</f>
        <v>0</v>
      </c>
      <c r="F321" s="1523"/>
      <c r="G321" s="519" t="str">
        <f>IF('Revenue Jrnl'!$E327="","",'Revenue Jrnl'!$E327)</f>
        <v/>
      </c>
      <c r="H321" s="518">
        <f>'Revenue Jrnl'!H327</f>
        <v>0</v>
      </c>
      <c r="I321" s="518" t="str">
        <f t="shared" si="8"/>
        <v>0</v>
      </c>
      <c r="J321" s="520" t="b">
        <f t="shared" si="9"/>
        <v>0</v>
      </c>
      <c r="K321" s="521">
        <f>'Revenue Jrnl'!$G327</f>
        <v>0</v>
      </c>
      <c r="L321" s="522"/>
      <c r="M321" s="523">
        <f>'Revenue Jrnl'!E117</f>
        <v>0</v>
      </c>
      <c r="N321" s="524">
        <f>'Revenue Jrnl'!$H117</f>
        <v>0</v>
      </c>
    </row>
    <row r="322" spans="2:14" s="1" customFormat="1" ht="30" hidden="1" customHeight="1" x14ac:dyDescent="0.2">
      <c r="B322" s="517">
        <f>IF(AND('Revenue Jrnl'!G328&lt;&gt;"",'Revenue Jrnl'!C328&lt;&gt;""),1,0)</f>
        <v>0</v>
      </c>
      <c r="C322" s="517">
        <f>'Revenue Jrnl'!$C328</f>
        <v>0</v>
      </c>
      <c r="D322" s="518">
        <f>'Revenue Jrnl'!$D328</f>
        <v>0</v>
      </c>
      <c r="E322" s="1523">
        <f>'Revenue Jrnl'!$F328</f>
        <v>0</v>
      </c>
      <c r="F322" s="1523"/>
      <c r="G322" s="519" t="str">
        <f>IF('Revenue Jrnl'!$E328="","",'Revenue Jrnl'!$E328)</f>
        <v/>
      </c>
      <c r="H322" s="518">
        <f>'Revenue Jrnl'!H328</f>
        <v>0</v>
      </c>
      <c r="I322" s="518" t="str">
        <f t="shared" si="8"/>
        <v>0</v>
      </c>
      <c r="J322" s="520" t="b">
        <f t="shared" si="9"/>
        <v>0</v>
      </c>
      <c r="K322" s="521">
        <f>'Revenue Jrnl'!$G328</f>
        <v>0</v>
      </c>
      <c r="L322" s="522"/>
      <c r="M322" s="523">
        <f>'Revenue Jrnl'!E118</f>
        <v>0</v>
      </c>
      <c r="N322" s="524">
        <f>'Revenue Jrnl'!$H118</f>
        <v>0</v>
      </c>
    </row>
    <row r="323" spans="2:14" s="1" customFormat="1" ht="30" hidden="1" customHeight="1" x14ac:dyDescent="0.2">
      <c r="B323" s="517">
        <f>IF(AND('Revenue Jrnl'!G329&lt;&gt;"",'Revenue Jrnl'!C329&lt;&gt;""),1,0)</f>
        <v>0</v>
      </c>
      <c r="C323" s="517">
        <f>'Revenue Jrnl'!$C329</f>
        <v>0</v>
      </c>
      <c r="D323" s="518">
        <f>'Revenue Jrnl'!$D329</f>
        <v>0</v>
      </c>
      <c r="E323" s="1523">
        <f>'Revenue Jrnl'!$F329</f>
        <v>0</v>
      </c>
      <c r="F323" s="1523"/>
      <c r="G323" s="519" t="str">
        <f>IF('Revenue Jrnl'!$E329="","",'Revenue Jrnl'!$E329)</f>
        <v/>
      </c>
      <c r="H323" s="518">
        <f>'Revenue Jrnl'!H329</f>
        <v>0</v>
      </c>
      <c r="I323" s="518" t="str">
        <f t="shared" si="8"/>
        <v>0</v>
      </c>
      <c r="J323" s="520" t="b">
        <f t="shared" si="9"/>
        <v>0</v>
      </c>
      <c r="K323" s="521">
        <f>'Revenue Jrnl'!$G329</f>
        <v>0</v>
      </c>
      <c r="L323" s="522"/>
      <c r="M323" s="523">
        <f>'Revenue Jrnl'!E119</f>
        <v>0</v>
      </c>
      <c r="N323" s="524">
        <f>'Revenue Jrnl'!$H119</f>
        <v>0</v>
      </c>
    </row>
    <row r="324" spans="2:14" s="1" customFormat="1" ht="30" hidden="1" customHeight="1" x14ac:dyDescent="0.2">
      <c r="B324" s="517">
        <f>IF(AND('Revenue Jrnl'!G330&lt;&gt;"",'Revenue Jrnl'!C330&lt;&gt;""),1,0)</f>
        <v>0</v>
      </c>
      <c r="C324" s="517">
        <f>'Revenue Jrnl'!$C330</f>
        <v>0</v>
      </c>
      <c r="D324" s="518">
        <f>'Revenue Jrnl'!$D330</f>
        <v>0</v>
      </c>
      <c r="E324" s="1523">
        <f>'Revenue Jrnl'!$F330</f>
        <v>0</v>
      </c>
      <c r="F324" s="1523"/>
      <c r="G324" s="519" t="str">
        <f>IF('Revenue Jrnl'!$E330="","",'Revenue Jrnl'!$E330)</f>
        <v/>
      </c>
      <c r="H324" s="518">
        <f>'Revenue Jrnl'!H330</f>
        <v>0</v>
      </c>
      <c r="I324" s="518" t="str">
        <f t="shared" si="8"/>
        <v>0</v>
      </c>
      <c r="J324" s="520" t="b">
        <f t="shared" si="9"/>
        <v>0</v>
      </c>
      <c r="K324" s="521">
        <f>'Revenue Jrnl'!$G330</f>
        <v>0</v>
      </c>
      <c r="L324" s="522"/>
      <c r="M324" s="523">
        <f>'Revenue Jrnl'!E120</f>
        <v>0</v>
      </c>
      <c r="N324" s="524">
        <f>'Revenue Jrnl'!$H120</f>
        <v>0</v>
      </c>
    </row>
    <row r="325" spans="2:14" s="1" customFormat="1" ht="30" hidden="1" customHeight="1" x14ac:dyDescent="0.2">
      <c r="B325" s="517">
        <f>IF(AND('Revenue Jrnl'!G331&lt;&gt;"",'Revenue Jrnl'!C331&lt;&gt;""),1,0)</f>
        <v>0</v>
      </c>
      <c r="C325" s="517">
        <f>'Revenue Jrnl'!$C331</f>
        <v>0</v>
      </c>
      <c r="D325" s="518">
        <f>'Revenue Jrnl'!$D331</f>
        <v>0</v>
      </c>
      <c r="E325" s="1523">
        <f>'Revenue Jrnl'!$F331</f>
        <v>0</v>
      </c>
      <c r="F325" s="1523"/>
      <c r="G325" s="519" t="str">
        <f>IF('Revenue Jrnl'!$E331="","",'Revenue Jrnl'!$E331)</f>
        <v/>
      </c>
      <c r="H325" s="518">
        <f>'Revenue Jrnl'!H331</f>
        <v>0</v>
      </c>
      <c r="I325" s="518" t="str">
        <f t="shared" si="8"/>
        <v>0</v>
      </c>
      <c r="J325" s="520" t="b">
        <f t="shared" si="9"/>
        <v>0</v>
      </c>
      <c r="K325" s="521">
        <f>'Revenue Jrnl'!$G331</f>
        <v>0</v>
      </c>
      <c r="L325" s="522"/>
      <c r="M325" s="523">
        <f>'Revenue Jrnl'!E121</f>
        <v>0</v>
      </c>
      <c r="N325" s="524">
        <f>'Revenue Jrnl'!$H121</f>
        <v>0</v>
      </c>
    </row>
    <row r="326" spans="2:14" s="1" customFormat="1" ht="30" hidden="1" customHeight="1" x14ac:dyDescent="0.2">
      <c r="B326" s="517">
        <f>IF(AND('Revenue Jrnl'!G332&lt;&gt;"",'Revenue Jrnl'!C332&lt;&gt;""),1,0)</f>
        <v>0</v>
      </c>
      <c r="C326" s="517">
        <f>'Revenue Jrnl'!$C332</f>
        <v>0</v>
      </c>
      <c r="D326" s="518">
        <f>'Revenue Jrnl'!$D332</f>
        <v>0</v>
      </c>
      <c r="E326" s="1523">
        <f>'Revenue Jrnl'!$F332</f>
        <v>0</v>
      </c>
      <c r="F326" s="1523"/>
      <c r="G326" s="519" t="str">
        <f>IF('Revenue Jrnl'!$E332="","",'Revenue Jrnl'!$E332)</f>
        <v/>
      </c>
      <c r="H326" s="518">
        <f>'Revenue Jrnl'!H332</f>
        <v>0</v>
      </c>
      <c r="I326" s="518" t="str">
        <f t="shared" si="8"/>
        <v>0</v>
      </c>
      <c r="J326" s="520" t="b">
        <f t="shared" si="9"/>
        <v>0</v>
      </c>
      <c r="K326" s="521">
        <f>'Revenue Jrnl'!$G332</f>
        <v>0</v>
      </c>
      <c r="L326" s="522"/>
      <c r="M326" s="523">
        <f>'Revenue Jrnl'!E122</f>
        <v>0</v>
      </c>
      <c r="N326" s="524">
        <f>'Revenue Jrnl'!$H122</f>
        <v>0</v>
      </c>
    </row>
    <row r="327" spans="2:14" s="1" customFormat="1" ht="30" hidden="1" customHeight="1" x14ac:dyDescent="0.2">
      <c r="B327" s="517">
        <f>IF(AND('Revenue Jrnl'!G333&lt;&gt;"",'Revenue Jrnl'!C333&lt;&gt;""),1,0)</f>
        <v>0</v>
      </c>
      <c r="C327" s="517">
        <f>'Revenue Jrnl'!$C333</f>
        <v>0</v>
      </c>
      <c r="D327" s="518">
        <f>'Revenue Jrnl'!$D333</f>
        <v>0</v>
      </c>
      <c r="E327" s="1523">
        <f>'Revenue Jrnl'!$F333</f>
        <v>0</v>
      </c>
      <c r="F327" s="1523"/>
      <c r="G327" s="519" t="str">
        <f>IF('Revenue Jrnl'!$E333="","",'Revenue Jrnl'!$E333)</f>
        <v/>
      </c>
      <c r="H327" s="518">
        <f>'Revenue Jrnl'!H333</f>
        <v>0</v>
      </c>
      <c r="I327" s="518" t="str">
        <f t="shared" si="8"/>
        <v>0</v>
      </c>
      <c r="J327" s="520" t="b">
        <f t="shared" si="9"/>
        <v>0</v>
      </c>
      <c r="K327" s="521">
        <f>'Revenue Jrnl'!$G333</f>
        <v>0</v>
      </c>
      <c r="L327" s="522"/>
      <c r="M327" s="523">
        <f>'Revenue Jrnl'!E123</f>
        <v>0</v>
      </c>
      <c r="N327" s="524">
        <f>'Revenue Jrnl'!$H123</f>
        <v>0</v>
      </c>
    </row>
    <row r="328" spans="2:14" s="1" customFormat="1" ht="30" hidden="1" customHeight="1" x14ac:dyDescent="0.2">
      <c r="B328" s="517">
        <f>IF(AND('Revenue Jrnl'!G334&lt;&gt;"",'Revenue Jrnl'!C334&lt;&gt;""),1,0)</f>
        <v>0</v>
      </c>
      <c r="C328" s="517">
        <f>'Revenue Jrnl'!$C334</f>
        <v>0</v>
      </c>
      <c r="D328" s="518">
        <f>'Revenue Jrnl'!$D334</f>
        <v>0</v>
      </c>
      <c r="E328" s="1523">
        <f>'Revenue Jrnl'!$F334</f>
        <v>0</v>
      </c>
      <c r="F328" s="1523"/>
      <c r="G328" s="519" t="str">
        <f>IF('Revenue Jrnl'!$E334="","",'Revenue Jrnl'!$E334)</f>
        <v/>
      </c>
      <c r="H328" s="518">
        <f>'Revenue Jrnl'!H334</f>
        <v>0</v>
      </c>
      <c r="I328" s="518" t="str">
        <f t="shared" si="8"/>
        <v>0</v>
      </c>
      <c r="J328" s="520" t="b">
        <f t="shared" si="9"/>
        <v>0</v>
      </c>
      <c r="K328" s="521">
        <f>'Revenue Jrnl'!$G334</f>
        <v>0</v>
      </c>
      <c r="L328" s="522"/>
      <c r="M328" s="523">
        <f>'Revenue Jrnl'!E124</f>
        <v>0</v>
      </c>
      <c r="N328" s="524">
        <f>'Revenue Jrnl'!$H124</f>
        <v>0</v>
      </c>
    </row>
    <row r="329" spans="2:14" s="1" customFormat="1" ht="30" hidden="1" customHeight="1" x14ac:dyDescent="0.2">
      <c r="B329" s="517">
        <f>IF(AND('Revenue Jrnl'!G335&lt;&gt;"",'Revenue Jrnl'!C335&lt;&gt;""),1,0)</f>
        <v>0</v>
      </c>
      <c r="C329" s="517">
        <f>'Revenue Jrnl'!$C335</f>
        <v>0</v>
      </c>
      <c r="D329" s="518">
        <f>'Revenue Jrnl'!$D335</f>
        <v>0</v>
      </c>
      <c r="E329" s="1523">
        <f>'Revenue Jrnl'!$F335</f>
        <v>0</v>
      </c>
      <c r="F329" s="1523"/>
      <c r="G329" s="519" t="str">
        <f>IF('Revenue Jrnl'!$E335="","",'Revenue Jrnl'!$E335)</f>
        <v/>
      </c>
      <c r="H329" s="518">
        <f>'Revenue Jrnl'!H335</f>
        <v>0</v>
      </c>
      <c r="I329" s="518" t="str">
        <f t="shared" si="8"/>
        <v>0</v>
      </c>
      <c r="J329" s="520" t="b">
        <f t="shared" si="9"/>
        <v>0</v>
      </c>
      <c r="K329" s="521">
        <f>'Revenue Jrnl'!$G335</f>
        <v>0</v>
      </c>
      <c r="L329" s="522"/>
      <c r="M329" s="523">
        <f>'Revenue Jrnl'!E125</f>
        <v>0</v>
      </c>
      <c r="N329" s="524">
        <f>'Revenue Jrnl'!$H125</f>
        <v>0</v>
      </c>
    </row>
    <row r="330" spans="2:14" s="1" customFormat="1" ht="30" hidden="1" customHeight="1" x14ac:dyDescent="0.2">
      <c r="B330" s="517">
        <f>IF(AND('Revenue Jrnl'!G336&lt;&gt;"",'Revenue Jrnl'!C336&lt;&gt;""),1,0)</f>
        <v>0</v>
      </c>
      <c r="C330" s="517">
        <f>'Revenue Jrnl'!$C336</f>
        <v>0</v>
      </c>
      <c r="D330" s="518">
        <f>'Revenue Jrnl'!$D336</f>
        <v>0</v>
      </c>
      <c r="E330" s="1523">
        <f>'Revenue Jrnl'!$F336</f>
        <v>0</v>
      </c>
      <c r="F330" s="1523"/>
      <c r="G330" s="519" t="str">
        <f>IF('Revenue Jrnl'!$E336="","",'Revenue Jrnl'!$E336)</f>
        <v/>
      </c>
      <c r="H330" s="518">
        <f>'Revenue Jrnl'!H336</f>
        <v>0</v>
      </c>
      <c r="I330" s="518" t="str">
        <f t="shared" ref="I330:I393" si="10">LEFT(H330,4)</f>
        <v>0</v>
      </c>
      <c r="J330" s="520" t="b">
        <f t="shared" si="9"/>
        <v>0</v>
      </c>
      <c r="K330" s="521">
        <f>'Revenue Jrnl'!$G336</f>
        <v>0</v>
      </c>
      <c r="L330" s="522"/>
      <c r="M330" s="523">
        <f>'Revenue Jrnl'!E126</f>
        <v>0</v>
      </c>
      <c r="N330" s="524">
        <f>'Revenue Jrnl'!$H126</f>
        <v>0</v>
      </c>
    </row>
    <row r="331" spans="2:14" s="1" customFormat="1" ht="30" hidden="1" customHeight="1" x14ac:dyDescent="0.2">
      <c r="B331" s="517">
        <f>IF(AND('Revenue Jrnl'!G337&lt;&gt;"",'Revenue Jrnl'!C337&lt;&gt;""),1,0)</f>
        <v>0</v>
      </c>
      <c r="C331" s="517">
        <f>'Revenue Jrnl'!$C337</f>
        <v>0</v>
      </c>
      <c r="D331" s="518">
        <f>'Revenue Jrnl'!$D337</f>
        <v>0</v>
      </c>
      <c r="E331" s="1523">
        <f>'Revenue Jrnl'!$F337</f>
        <v>0</v>
      </c>
      <c r="F331" s="1523"/>
      <c r="G331" s="519" t="str">
        <f>IF('Revenue Jrnl'!$E337="","",'Revenue Jrnl'!$E337)</f>
        <v/>
      </c>
      <c r="H331" s="518">
        <f>'Revenue Jrnl'!H337</f>
        <v>0</v>
      </c>
      <c r="I331" s="518" t="str">
        <f t="shared" si="10"/>
        <v>0</v>
      </c>
      <c r="J331" s="520" t="b">
        <f t="shared" ref="J331:J394" si="11">IF(I331="1020",IF(G331&gt;=$E$3,IF(G331&lt;=$G$3,K331,0)))</f>
        <v>0</v>
      </c>
      <c r="K331" s="521">
        <f>'Revenue Jrnl'!$G337</f>
        <v>0</v>
      </c>
      <c r="L331" s="522"/>
      <c r="M331" s="523">
        <f>'Revenue Jrnl'!E127</f>
        <v>0</v>
      </c>
      <c r="N331" s="524">
        <f>'Revenue Jrnl'!$H127</f>
        <v>0</v>
      </c>
    </row>
    <row r="332" spans="2:14" s="1" customFormat="1" ht="30" hidden="1" customHeight="1" x14ac:dyDescent="0.2">
      <c r="B332" s="517">
        <f>IF(AND('Revenue Jrnl'!G338&lt;&gt;"",'Revenue Jrnl'!C338&lt;&gt;""),1,0)</f>
        <v>0</v>
      </c>
      <c r="C332" s="517">
        <f>'Revenue Jrnl'!$C338</f>
        <v>0</v>
      </c>
      <c r="D332" s="518">
        <f>'Revenue Jrnl'!$D338</f>
        <v>0</v>
      </c>
      <c r="E332" s="1523">
        <f>'Revenue Jrnl'!$F338</f>
        <v>0</v>
      </c>
      <c r="F332" s="1523"/>
      <c r="G332" s="519" t="str">
        <f>IF('Revenue Jrnl'!$E338="","",'Revenue Jrnl'!$E338)</f>
        <v/>
      </c>
      <c r="H332" s="518">
        <f>'Revenue Jrnl'!H338</f>
        <v>0</v>
      </c>
      <c r="I332" s="518" t="str">
        <f t="shared" si="10"/>
        <v>0</v>
      </c>
      <c r="J332" s="520" t="b">
        <f t="shared" si="11"/>
        <v>0</v>
      </c>
      <c r="K332" s="521">
        <f>'Revenue Jrnl'!$G338</f>
        <v>0</v>
      </c>
      <c r="L332" s="522"/>
      <c r="M332" s="523">
        <f>'Revenue Jrnl'!E128</f>
        <v>0</v>
      </c>
      <c r="N332" s="524">
        <f>'Revenue Jrnl'!$H128</f>
        <v>0</v>
      </c>
    </row>
    <row r="333" spans="2:14" s="1" customFormat="1" ht="30" hidden="1" customHeight="1" x14ac:dyDescent="0.2">
      <c r="B333" s="517">
        <f>IF(AND('Revenue Jrnl'!G339&lt;&gt;"",'Revenue Jrnl'!C339&lt;&gt;""),1,0)</f>
        <v>0</v>
      </c>
      <c r="C333" s="517">
        <f>'Revenue Jrnl'!$C339</f>
        <v>0</v>
      </c>
      <c r="D333" s="518">
        <f>'Revenue Jrnl'!$D339</f>
        <v>0</v>
      </c>
      <c r="E333" s="1523">
        <f>'Revenue Jrnl'!$F339</f>
        <v>0</v>
      </c>
      <c r="F333" s="1523"/>
      <c r="G333" s="519" t="str">
        <f>IF('Revenue Jrnl'!$E339="","",'Revenue Jrnl'!$E339)</f>
        <v/>
      </c>
      <c r="H333" s="518">
        <f>'Revenue Jrnl'!H339</f>
        <v>0</v>
      </c>
      <c r="I333" s="518" t="str">
        <f t="shared" si="10"/>
        <v>0</v>
      </c>
      <c r="J333" s="520" t="b">
        <f t="shared" si="11"/>
        <v>0</v>
      </c>
      <c r="K333" s="521">
        <f>'Revenue Jrnl'!$G339</f>
        <v>0</v>
      </c>
      <c r="L333" s="522"/>
      <c r="M333" s="523">
        <f>'Revenue Jrnl'!E129</f>
        <v>0</v>
      </c>
      <c r="N333" s="524">
        <f>'Revenue Jrnl'!$H129</f>
        <v>0</v>
      </c>
    </row>
    <row r="334" spans="2:14" s="1" customFormat="1" ht="30" hidden="1" customHeight="1" x14ac:dyDescent="0.2">
      <c r="B334" s="517">
        <f>IF(AND('Revenue Jrnl'!G340&lt;&gt;"",'Revenue Jrnl'!C340&lt;&gt;""),1,0)</f>
        <v>0</v>
      </c>
      <c r="C334" s="517">
        <f>'Revenue Jrnl'!$C340</f>
        <v>0</v>
      </c>
      <c r="D334" s="518">
        <f>'Revenue Jrnl'!$D340</f>
        <v>0</v>
      </c>
      <c r="E334" s="1523">
        <f>'Revenue Jrnl'!$F340</f>
        <v>0</v>
      </c>
      <c r="F334" s="1523"/>
      <c r="G334" s="519" t="str">
        <f>IF('Revenue Jrnl'!$E340="","",'Revenue Jrnl'!$E340)</f>
        <v/>
      </c>
      <c r="H334" s="518">
        <f>'Revenue Jrnl'!H340</f>
        <v>0</v>
      </c>
      <c r="I334" s="518" t="str">
        <f t="shared" si="10"/>
        <v>0</v>
      </c>
      <c r="J334" s="520" t="b">
        <f t="shared" si="11"/>
        <v>0</v>
      </c>
      <c r="K334" s="521">
        <f>'Revenue Jrnl'!$G340</f>
        <v>0</v>
      </c>
      <c r="L334" s="522"/>
      <c r="M334" s="523">
        <f>'Revenue Jrnl'!E130</f>
        <v>0</v>
      </c>
      <c r="N334" s="524">
        <f>'Revenue Jrnl'!$H130</f>
        <v>0</v>
      </c>
    </row>
    <row r="335" spans="2:14" s="1" customFormat="1" ht="30" hidden="1" customHeight="1" x14ac:dyDescent="0.2">
      <c r="B335" s="517">
        <f>IF(AND('Revenue Jrnl'!G341&lt;&gt;"",'Revenue Jrnl'!C341&lt;&gt;""),1,0)</f>
        <v>0</v>
      </c>
      <c r="C335" s="517">
        <f>'Revenue Jrnl'!$C341</f>
        <v>0</v>
      </c>
      <c r="D335" s="518">
        <f>'Revenue Jrnl'!$D341</f>
        <v>0</v>
      </c>
      <c r="E335" s="1523">
        <f>'Revenue Jrnl'!$F341</f>
        <v>0</v>
      </c>
      <c r="F335" s="1523"/>
      <c r="G335" s="519" t="str">
        <f>IF('Revenue Jrnl'!$E341="","",'Revenue Jrnl'!$E341)</f>
        <v/>
      </c>
      <c r="H335" s="518">
        <f>'Revenue Jrnl'!H341</f>
        <v>0</v>
      </c>
      <c r="I335" s="518" t="str">
        <f t="shared" si="10"/>
        <v>0</v>
      </c>
      <c r="J335" s="520" t="b">
        <f t="shared" si="11"/>
        <v>0</v>
      </c>
      <c r="K335" s="521">
        <f>'Revenue Jrnl'!$G341</f>
        <v>0</v>
      </c>
      <c r="L335" s="522"/>
      <c r="M335" s="523">
        <f>'Revenue Jrnl'!E131</f>
        <v>0</v>
      </c>
      <c r="N335" s="524">
        <f>'Revenue Jrnl'!$H131</f>
        <v>0</v>
      </c>
    </row>
    <row r="336" spans="2:14" s="1" customFormat="1" ht="30" hidden="1" customHeight="1" x14ac:dyDescent="0.2">
      <c r="B336" s="517">
        <f>IF(AND('Revenue Jrnl'!G342&lt;&gt;"",'Revenue Jrnl'!C342&lt;&gt;""),1,0)</f>
        <v>0</v>
      </c>
      <c r="C336" s="517">
        <f>'Revenue Jrnl'!$C342</f>
        <v>0</v>
      </c>
      <c r="D336" s="518">
        <f>'Revenue Jrnl'!$D342</f>
        <v>0</v>
      </c>
      <c r="E336" s="1523">
        <f>'Revenue Jrnl'!$F342</f>
        <v>0</v>
      </c>
      <c r="F336" s="1523"/>
      <c r="G336" s="519" t="str">
        <f>IF('Revenue Jrnl'!$E342="","",'Revenue Jrnl'!$E342)</f>
        <v/>
      </c>
      <c r="H336" s="518">
        <f>'Revenue Jrnl'!H342</f>
        <v>0</v>
      </c>
      <c r="I336" s="518" t="str">
        <f t="shared" si="10"/>
        <v>0</v>
      </c>
      <c r="J336" s="520" t="b">
        <f t="shared" si="11"/>
        <v>0</v>
      </c>
      <c r="K336" s="521">
        <f>'Revenue Jrnl'!$G342</f>
        <v>0</v>
      </c>
      <c r="L336" s="522"/>
      <c r="M336" s="523">
        <f>'Revenue Jrnl'!E132</f>
        <v>0</v>
      </c>
      <c r="N336" s="524">
        <f>'Revenue Jrnl'!$H132</f>
        <v>0</v>
      </c>
    </row>
    <row r="337" spans="2:14" s="1" customFormat="1" ht="30" hidden="1" customHeight="1" x14ac:dyDescent="0.2">
      <c r="B337" s="517">
        <f>IF(AND('Revenue Jrnl'!G343&lt;&gt;"",'Revenue Jrnl'!C343&lt;&gt;""),1,0)</f>
        <v>0</v>
      </c>
      <c r="C337" s="517">
        <f>'Revenue Jrnl'!$C343</f>
        <v>0</v>
      </c>
      <c r="D337" s="518">
        <f>'Revenue Jrnl'!$D343</f>
        <v>0</v>
      </c>
      <c r="E337" s="1523">
        <f>'Revenue Jrnl'!$F343</f>
        <v>0</v>
      </c>
      <c r="F337" s="1523"/>
      <c r="G337" s="519" t="str">
        <f>IF('Revenue Jrnl'!$E343="","",'Revenue Jrnl'!$E343)</f>
        <v/>
      </c>
      <c r="H337" s="518">
        <f>'Revenue Jrnl'!H343</f>
        <v>0</v>
      </c>
      <c r="I337" s="518" t="str">
        <f t="shared" si="10"/>
        <v>0</v>
      </c>
      <c r="J337" s="520" t="b">
        <f t="shared" si="11"/>
        <v>0</v>
      </c>
      <c r="K337" s="521">
        <f>'Revenue Jrnl'!$G343</f>
        <v>0</v>
      </c>
      <c r="L337" s="522"/>
      <c r="M337" s="523">
        <f>'Revenue Jrnl'!E133</f>
        <v>0</v>
      </c>
      <c r="N337" s="524">
        <f>'Revenue Jrnl'!$H133</f>
        <v>0</v>
      </c>
    </row>
    <row r="338" spans="2:14" s="1" customFormat="1" ht="30" hidden="1" customHeight="1" x14ac:dyDescent="0.2">
      <c r="B338" s="517">
        <f>IF(AND('Revenue Jrnl'!G344&lt;&gt;"",'Revenue Jrnl'!C344&lt;&gt;""),1,0)</f>
        <v>0</v>
      </c>
      <c r="C338" s="517">
        <f>'Revenue Jrnl'!$C344</f>
        <v>0</v>
      </c>
      <c r="D338" s="518">
        <f>'Revenue Jrnl'!$D344</f>
        <v>0</v>
      </c>
      <c r="E338" s="1523">
        <f>'Revenue Jrnl'!$F344</f>
        <v>0</v>
      </c>
      <c r="F338" s="1523"/>
      <c r="G338" s="519" t="str">
        <f>IF('Revenue Jrnl'!$E344="","",'Revenue Jrnl'!$E344)</f>
        <v/>
      </c>
      <c r="H338" s="518">
        <f>'Revenue Jrnl'!H344</f>
        <v>0</v>
      </c>
      <c r="I338" s="518" t="str">
        <f t="shared" si="10"/>
        <v>0</v>
      </c>
      <c r="J338" s="520" t="b">
        <f t="shared" si="11"/>
        <v>0</v>
      </c>
      <c r="K338" s="521">
        <f>'Revenue Jrnl'!$G344</f>
        <v>0</v>
      </c>
      <c r="L338" s="522"/>
      <c r="M338" s="523">
        <f>'Revenue Jrnl'!E134</f>
        <v>0</v>
      </c>
      <c r="N338" s="524">
        <f>'Revenue Jrnl'!$H134</f>
        <v>0</v>
      </c>
    </row>
    <row r="339" spans="2:14" s="1" customFormat="1" ht="30" hidden="1" customHeight="1" x14ac:dyDescent="0.2">
      <c r="B339" s="517">
        <f>IF(AND('Revenue Jrnl'!G345&lt;&gt;"",'Revenue Jrnl'!C345&lt;&gt;""),1,0)</f>
        <v>0</v>
      </c>
      <c r="C339" s="517">
        <f>'Revenue Jrnl'!$C345</f>
        <v>0</v>
      </c>
      <c r="D339" s="518">
        <f>'Revenue Jrnl'!$D345</f>
        <v>0</v>
      </c>
      <c r="E339" s="1523">
        <f>'Revenue Jrnl'!$F345</f>
        <v>0</v>
      </c>
      <c r="F339" s="1523"/>
      <c r="G339" s="519" t="str">
        <f>IF('Revenue Jrnl'!$E345="","",'Revenue Jrnl'!$E345)</f>
        <v/>
      </c>
      <c r="H339" s="518">
        <f>'Revenue Jrnl'!H345</f>
        <v>0</v>
      </c>
      <c r="I339" s="518" t="str">
        <f t="shared" si="10"/>
        <v>0</v>
      </c>
      <c r="J339" s="520" t="b">
        <f t="shared" si="11"/>
        <v>0</v>
      </c>
      <c r="K339" s="521">
        <f>'Revenue Jrnl'!$G345</f>
        <v>0</v>
      </c>
      <c r="L339" s="522"/>
      <c r="M339" s="523">
        <f>'Revenue Jrnl'!E135</f>
        <v>0</v>
      </c>
      <c r="N339" s="524">
        <f>'Revenue Jrnl'!$H135</f>
        <v>0</v>
      </c>
    </row>
    <row r="340" spans="2:14" s="1" customFormat="1" ht="30" hidden="1" customHeight="1" x14ac:dyDescent="0.2">
      <c r="B340" s="517">
        <f>IF(AND('Revenue Jrnl'!G346&lt;&gt;"",'Revenue Jrnl'!C346&lt;&gt;""),1,0)</f>
        <v>0</v>
      </c>
      <c r="C340" s="517">
        <f>'Revenue Jrnl'!$C346</f>
        <v>0</v>
      </c>
      <c r="D340" s="518">
        <f>'Revenue Jrnl'!$D346</f>
        <v>0</v>
      </c>
      <c r="E340" s="1523">
        <f>'Revenue Jrnl'!$F346</f>
        <v>0</v>
      </c>
      <c r="F340" s="1523"/>
      <c r="G340" s="519" t="str">
        <f>IF('Revenue Jrnl'!$E346="","",'Revenue Jrnl'!$E346)</f>
        <v/>
      </c>
      <c r="H340" s="518">
        <f>'Revenue Jrnl'!H346</f>
        <v>0</v>
      </c>
      <c r="I340" s="518" t="str">
        <f t="shared" si="10"/>
        <v>0</v>
      </c>
      <c r="J340" s="520" t="b">
        <f t="shared" si="11"/>
        <v>0</v>
      </c>
      <c r="K340" s="521">
        <f>'Revenue Jrnl'!$G346</f>
        <v>0</v>
      </c>
      <c r="L340" s="522"/>
      <c r="M340" s="523">
        <f>'Revenue Jrnl'!E136</f>
        <v>0</v>
      </c>
      <c r="N340" s="524">
        <f>'Revenue Jrnl'!$H136</f>
        <v>0</v>
      </c>
    </row>
    <row r="341" spans="2:14" s="1" customFormat="1" ht="30" hidden="1" customHeight="1" x14ac:dyDescent="0.2">
      <c r="B341" s="517">
        <f>IF(AND('Revenue Jrnl'!G347&lt;&gt;"",'Revenue Jrnl'!C347&lt;&gt;""),1,0)</f>
        <v>0</v>
      </c>
      <c r="C341" s="517">
        <f>'Revenue Jrnl'!$C347</f>
        <v>0</v>
      </c>
      <c r="D341" s="518">
        <f>'Revenue Jrnl'!$D347</f>
        <v>0</v>
      </c>
      <c r="E341" s="1523">
        <f>'Revenue Jrnl'!$F347</f>
        <v>0</v>
      </c>
      <c r="F341" s="1523"/>
      <c r="G341" s="519" t="str">
        <f>IF('Revenue Jrnl'!$E347="","",'Revenue Jrnl'!$E347)</f>
        <v/>
      </c>
      <c r="H341" s="518">
        <f>'Revenue Jrnl'!H347</f>
        <v>0</v>
      </c>
      <c r="I341" s="518" t="str">
        <f t="shared" si="10"/>
        <v>0</v>
      </c>
      <c r="J341" s="520" t="b">
        <f t="shared" si="11"/>
        <v>0</v>
      </c>
      <c r="K341" s="521">
        <f>'Revenue Jrnl'!$G347</f>
        <v>0</v>
      </c>
      <c r="L341" s="522"/>
      <c r="M341" s="523">
        <f>'Revenue Jrnl'!E137</f>
        <v>0</v>
      </c>
      <c r="N341" s="524">
        <f>'Revenue Jrnl'!$H137</f>
        <v>0</v>
      </c>
    </row>
    <row r="342" spans="2:14" s="1" customFormat="1" ht="30" hidden="1" customHeight="1" x14ac:dyDescent="0.2">
      <c r="B342" s="517">
        <f>IF(AND('Revenue Jrnl'!G348&lt;&gt;"",'Revenue Jrnl'!C348&lt;&gt;""),1,0)</f>
        <v>0</v>
      </c>
      <c r="C342" s="517">
        <f>'Revenue Jrnl'!$C348</f>
        <v>0</v>
      </c>
      <c r="D342" s="518">
        <f>'Revenue Jrnl'!$D348</f>
        <v>0</v>
      </c>
      <c r="E342" s="1523">
        <f>'Revenue Jrnl'!$F348</f>
        <v>0</v>
      </c>
      <c r="F342" s="1523"/>
      <c r="G342" s="519" t="str">
        <f>IF('Revenue Jrnl'!$E348="","",'Revenue Jrnl'!$E348)</f>
        <v/>
      </c>
      <c r="H342" s="518">
        <f>'Revenue Jrnl'!H348</f>
        <v>0</v>
      </c>
      <c r="I342" s="518" t="str">
        <f t="shared" si="10"/>
        <v>0</v>
      </c>
      <c r="J342" s="520" t="b">
        <f t="shared" si="11"/>
        <v>0</v>
      </c>
      <c r="K342" s="521">
        <f>'Revenue Jrnl'!$G348</f>
        <v>0</v>
      </c>
      <c r="L342" s="522"/>
      <c r="M342" s="523">
        <f>'Revenue Jrnl'!E138</f>
        <v>0</v>
      </c>
      <c r="N342" s="524">
        <f>'Revenue Jrnl'!$H138</f>
        <v>0</v>
      </c>
    </row>
    <row r="343" spans="2:14" s="1" customFormat="1" ht="30" hidden="1" customHeight="1" x14ac:dyDescent="0.2">
      <c r="B343" s="517">
        <f>IF(AND('Revenue Jrnl'!G349&lt;&gt;"",'Revenue Jrnl'!C349&lt;&gt;""),1,0)</f>
        <v>0</v>
      </c>
      <c r="C343" s="517">
        <f>'Revenue Jrnl'!$C349</f>
        <v>0</v>
      </c>
      <c r="D343" s="518">
        <f>'Revenue Jrnl'!$D349</f>
        <v>0</v>
      </c>
      <c r="E343" s="1523">
        <f>'Revenue Jrnl'!$F349</f>
        <v>0</v>
      </c>
      <c r="F343" s="1523"/>
      <c r="G343" s="519" t="str">
        <f>IF('Revenue Jrnl'!$E349="","",'Revenue Jrnl'!$E349)</f>
        <v/>
      </c>
      <c r="H343" s="518">
        <f>'Revenue Jrnl'!H349</f>
        <v>0</v>
      </c>
      <c r="I343" s="518" t="str">
        <f t="shared" si="10"/>
        <v>0</v>
      </c>
      <c r="J343" s="520" t="b">
        <f t="shared" si="11"/>
        <v>0</v>
      </c>
      <c r="K343" s="521">
        <f>'Revenue Jrnl'!$G349</f>
        <v>0</v>
      </c>
      <c r="L343" s="522"/>
      <c r="M343" s="523">
        <f>'Revenue Jrnl'!E139</f>
        <v>0</v>
      </c>
      <c r="N343" s="524">
        <f>'Revenue Jrnl'!$H139</f>
        <v>0</v>
      </c>
    </row>
    <row r="344" spans="2:14" s="1" customFormat="1" ht="30" hidden="1" customHeight="1" x14ac:dyDescent="0.2">
      <c r="B344" s="517">
        <f>IF(AND('Revenue Jrnl'!G350&lt;&gt;"",'Revenue Jrnl'!C350&lt;&gt;""),1,0)</f>
        <v>0</v>
      </c>
      <c r="C344" s="517">
        <f>'Revenue Jrnl'!$C350</f>
        <v>0</v>
      </c>
      <c r="D344" s="518">
        <f>'Revenue Jrnl'!$D350</f>
        <v>0</v>
      </c>
      <c r="E344" s="1523">
        <f>'Revenue Jrnl'!$F350</f>
        <v>0</v>
      </c>
      <c r="F344" s="1523"/>
      <c r="G344" s="519" t="str">
        <f>IF('Revenue Jrnl'!$E350="","",'Revenue Jrnl'!$E350)</f>
        <v/>
      </c>
      <c r="H344" s="518">
        <f>'Revenue Jrnl'!H350</f>
        <v>0</v>
      </c>
      <c r="I344" s="518" t="str">
        <f t="shared" si="10"/>
        <v>0</v>
      </c>
      <c r="J344" s="520" t="b">
        <f t="shared" si="11"/>
        <v>0</v>
      </c>
      <c r="K344" s="521">
        <f>'Revenue Jrnl'!$G350</f>
        <v>0</v>
      </c>
      <c r="L344" s="522"/>
      <c r="M344" s="523">
        <f>'Revenue Jrnl'!E140</f>
        <v>0</v>
      </c>
      <c r="N344" s="524">
        <f>'Revenue Jrnl'!$H140</f>
        <v>0</v>
      </c>
    </row>
    <row r="345" spans="2:14" s="1" customFormat="1" ht="30" hidden="1" customHeight="1" x14ac:dyDescent="0.2">
      <c r="B345" s="517">
        <f>IF(AND('Revenue Jrnl'!G351&lt;&gt;"",'Revenue Jrnl'!C351&lt;&gt;""),1,0)</f>
        <v>0</v>
      </c>
      <c r="C345" s="517">
        <f>'Revenue Jrnl'!$C351</f>
        <v>0</v>
      </c>
      <c r="D345" s="518">
        <f>'Revenue Jrnl'!$D351</f>
        <v>0</v>
      </c>
      <c r="E345" s="1523">
        <f>'Revenue Jrnl'!$F351</f>
        <v>0</v>
      </c>
      <c r="F345" s="1523"/>
      <c r="G345" s="519" t="str">
        <f>IF('Revenue Jrnl'!$E351="","",'Revenue Jrnl'!$E351)</f>
        <v/>
      </c>
      <c r="H345" s="518">
        <f>'Revenue Jrnl'!H351</f>
        <v>0</v>
      </c>
      <c r="I345" s="518" t="str">
        <f t="shared" si="10"/>
        <v>0</v>
      </c>
      <c r="J345" s="520" t="b">
        <f t="shared" si="11"/>
        <v>0</v>
      </c>
      <c r="K345" s="521">
        <f>'Revenue Jrnl'!$G351</f>
        <v>0</v>
      </c>
      <c r="L345" s="522"/>
      <c r="M345" s="523"/>
      <c r="N345" s="524">
        <f>'Revenue Jrnl'!$H141</f>
        <v>0</v>
      </c>
    </row>
    <row r="346" spans="2:14" s="1" customFormat="1" ht="30" hidden="1" customHeight="1" x14ac:dyDescent="0.2">
      <c r="B346" s="517">
        <f>IF(AND('Revenue Jrnl'!G352&lt;&gt;"",'Revenue Jrnl'!C352&lt;&gt;""),1,0)</f>
        <v>0</v>
      </c>
      <c r="C346" s="517">
        <f>'Revenue Jrnl'!$C352</f>
        <v>0</v>
      </c>
      <c r="D346" s="518">
        <f>'Revenue Jrnl'!$D352</f>
        <v>0</v>
      </c>
      <c r="E346" s="1523">
        <f>'Revenue Jrnl'!$F352</f>
        <v>0</v>
      </c>
      <c r="F346" s="1523"/>
      <c r="G346" s="519" t="str">
        <f>IF('Revenue Jrnl'!$E352="","",'Revenue Jrnl'!$E352)</f>
        <v/>
      </c>
      <c r="H346" s="518">
        <f>'Revenue Jrnl'!H352</f>
        <v>0</v>
      </c>
      <c r="I346" s="518" t="str">
        <f t="shared" si="10"/>
        <v>0</v>
      </c>
      <c r="J346" s="520" t="b">
        <f t="shared" si="11"/>
        <v>0</v>
      </c>
      <c r="K346" s="521">
        <f>'Revenue Jrnl'!$G352</f>
        <v>0</v>
      </c>
      <c r="L346" s="522"/>
      <c r="M346" s="523"/>
      <c r="N346" s="524">
        <f>'Revenue Jrnl'!$H142</f>
        <v>0</v>
      </c>
    </row>
    <row r="347" spans="2:14" s="1" customFormat="1" ht="30" hidden="1" customHeight="1" x14ac:dyDescent="0.2">
      <c r="B347" s="517">
        <f>IF(AND('Revenue Jrnl'!G353&lt;&gt;"",'Revenue Jrnl'!C353&lt;&gt;""),1,0)</f>
        <v>0</v>
      </c>
      <c r="C347" s="517">
        <f>'Revenue Jrnl'!$C353</f>
        <v>0</v>
      </c>
      <c r="D347" s="518">
        <f>'Revenue Jrnl'!$D353</f>
        <v>0</v>
      </c>
      <c r="E347" s="1523">
        <f>'Revenue Jrnl'!$F353</f>
        <v>0</v>
      </c>
      <c r="F347" s="1523"/>
      <c r="G347" s="519" t="str">
        <f>IF('Revenue Jrnl'!$E353="","",'Revenue Jrnl'!$E353)</f>
        <v/>
      </c>
      <c r="H347" s="518">
        <f>'Revenue Jrnl'!H353</f>
        <v>0</v>
      </c>
      <c r="I347" s="518" t="str">
        <f t="shared" si="10"/>
        <v>0</v>
      </c>
      <c r="J347" s="520" t="b">
        <f t="shared" si="11"/>
        <v>0</v>
      </c>
      <c r="K347" s="521">
        <f>'Revenue Jrnl'!$G353</f>
        <v>0</v>
      </c>
      <c r="L347" s="522"/>
      <c r="M347" s="523"/>
      <c r="N347" s="524">
        <f>'Revenue Jrnl'!$H143</f>
        <v>0</v>
      </c>
    </row>
    <row r="348" spans="2:14" s="1" customFormat="1" ht="30" hidden="1" customHeight="1" x14ac:dyDescent="0.2">
      <c r="B348" s="517">
        <f>IF(AND('Revenue Jrnl'!G354&lt;&gt;"",'Revenue Jrnl'!C354&lt;&gt;""),1,0)</f>
        <v>0</v>
      </c>
      <c r="C348" s="517">
        <f>'Revenue Jrnl'!$C354</f>
        <v>0</v>
      </c>
      <c r="D348" s="518">
        <f>'Revenue Jrnl'!$D354</f>
        <v>0</v>
      </c>
      <c r="E348" s="1523">
        <f>'Revenue Jrnl'!$F354</f>
        <v>0</v>
      </c>
      <c r="F348" s="1523"/>
      <c r="G348" s="519" t="str">
        <f>IF('Revenue Jrnl'!$E354="","",'Revenue Jrnl'!$E354)</f>
        <v/>
      </c>
      <c r="H348" s="518">
        <f>'Revenue Jrnl'!H354</f>
        <v>0</v>
      </c>
      <c r="I348" s="518" t="str">
        <f t="shared" si="10"/>
        <v>0</v>
      </c>
      <c r="J348" s="520" t="b">
        <f t="shared" si="11"/>
        <v>0</v>
      </c>
      <c r="K348" s="521">
        <f>'Revenue Jrnl'!$G354</f>
        <v>0</v>
      </c>
      <c r="L348" s="522"/>
      <c r="M348" s="523"/>
      <c r="N348" s="524">
        <f>'Revenue Jrnl'!$H144</f>
        <v>0</v>
      </c>
    </row>
    <row r="349" spans="2:14" s="1" customFormat="1" ht="30" hidden="1" customHeight="1" x14ac:dyDescent="0.2">
      <c r="B349" s="517">
        <f>IF(AND('Revenue Jrnl'!G355&lt;&gt;"",'Revenue Jrnl'!C355&lt;&gt;""),1,0)</f>
        <v>0</v>
      </c>
      <c r="C349" s="517">
        <f>'Revenue Jrnl'!$C355</f>
        <v>0</v>
      </c>
      <c r="D349" s="518">
        <f>'Revenue Jrnl'!$D355</f>
        <v>0</v>
      </c>
      <c r="E349" s="1523">
        <f>'Revenue Jrnl'!$F355</f>
        <v>0</v>
      </c>
      <c r="F349" s="1523"/>
      <c r="G349" s="519" t="str">
        <f>IF('Revenue Jrnl'!$E355="","",'Revenue Jrnl'!$E355)</f>
        <v/>
      </c>
      <c r="H349" s="518">
        <f>'Revenue Jrnl'!H355</f>
        <v>0</v>
      </c>
      <c r="I349" s="518" t="str">
        <f t="shared" si="10"/>
        <v>0</v>
      </c>
      <c r="J349" s="520" t="b">
        <f t="shared" si="11"/>
        <v>0</v>
      </c>
      <c r="K349" s="521">
        <f>'Revenue Jrnl'!$G355</f>
        <v>0</v>
      </c>
      <c r="L349" s="522"/>
      <c r="M349" s="523"/>
      <c r="N349" s="524">
        <f>'Revenue Jrnl'!$H145</f>
        <v>0</v>
      </c>
    </row>
    <row r="350" spans="2:14" s="1" customFormat="1" ht="30" hidden="1" customHeight="1" x14ac:dyDescent="0.2">
      <c r="B350" s="517">
        <f>IF(AND('Revenue Jrnl'!G356&lt;&gt;"",'Revenue Jrnl'!C356&lt;&gt;""),1,0)</f>
        <v>0</v>
      </c>
      <c r="C350" s="517">
        <f>'Revenue Jrnl'!$C356</f>
        <v>0</v>
      </c>
      <c r="D350" s="518">
        <f>'Revenue Jrnl'!$D356</f>
        <v>0</v>
      </c>
      <c r="E350" s="1523">
        <f>'Revenue Jrnl'!$F356</f>
        <v>0</v>
      </c>
      <c r="F350" s="1523"/>
      <c r="G350" s="519" t="str">
        <f>IF('Revenue Jrnl'!$E356="","",'Revenue Jrnl'!$E356)</f>
        <v/>
      </c>
      <c r="H350" s="518">
        <f>'Revenue Jrnl'!H356</f>
        <v>0</v>
      </c>
      <c r="I350" s="518" t="str">
        <f t="shared" si="10"/>
        <v>0</v>
      </c>
      <c r="J350" s="520" t="b">
        <f t="shared" si="11"/>
        <v>0</v>
      </c>
      <c r="K350" s="521">
        <f>'Revenue Jrnl'!$G356</f>
        <v>0</v>
      </c>
      <c r="L350" s="522"/>
      <c r="M350" s="523"/>
      <c r="N350" s="524">
        <f>'Revenue Jrnl'!$H146</f>
        <v>0</v>
      </c>
    </row>
    <row r="351" spans="2:14" s="1" customFormat="1" ht="30" hidden="1" customHeight="1" x14ac:dyDescent="0.2">
      <c r="B351" s="517">
        <f>IF(AND('Revenue Jrnl'!G357&lt;&gt;"",'Revenue Jrnl'!C357&lt;&gt;""),1,0)</f>
        <v>0</v>
      </c>
      <c r="C351" s="517">
        <f>'Revenue Jrnl'!$C357</f>
        <v>0</v>
      </c>
      <c r="D351" s="518">
        <f>'Revenue Jrnl'!$D357</f>
        <v>0</v>
      </c>
      <c r="E351" s="1523">
        <f>'Revenue Jrnl'!$F357</f>
        <v>0</v>
      </c>
      <c r="F351" s="1523"/>
      <c r="G351" s="519" t="str">
        <f>IF('Revenue Jrnl'!$E357="","",'Revenue Jrnl'!$E357)</f>
        <v/>
      </c>
      <c r="H351" s="518">
        <f>'Revenue Jrnl'!H357</f>
        <v>0</v>
      </c>
      <c r="I351" s="518" t="str">
        <f t="shared" si="10"/>
        <v>0</v>
      </c>
      <c r="J351" s="520" t="b">
        <f t="shared" si="11"/>
        <v>0</v>
      </c>
      <c r="K351" s="521">
        <f>'Revenue Jrnl'!$G357</f>
        <v>0</v>
      </c>
      <c r="L351" s="522"/>
      <c r="M351" s="523"/>
      <c r="N351" s="524">
        <f>'Revenue Jrnl'!$H147</f>
        <v>0</v>
      </c>
    </row>
    <row r="352" spans="2:14" s="1" customFormat="1" ht="30" hidden="1" customHeight="1" x14ac:dyDescent="0.2">
      <c r="B352" s="517">
        <f>IF(AND('Revenue Jrnl'!G358&lt;&gt;"",'Revenue Jrnl'!C358&lt;&gt;""),1,0)</f>
        <v>0</v>
      </c>
      <c r="C352" s="517">
        <f>'Revenue Jrnl'!$C358</f>
        <v>0</v>
      </c>
      <c r="D352" s="518">
        <f>'Revenue Jrnl'!$D358</f>
        <v>0</v>
      </c>
      <c r="E352" s="1523">
        <f>'Revenue Jrnl'!$F358</f>
        <v>0</v>
      </c>
      <c r="F352" s="1523"/>
      <c r="G352" s="519" t="str">
        <f>IF('Revenue Jrnl'!$E358="","",'Revenue Jrnl'!$E358)</f>
        <v/>
      </c>
      <c r="H352" s="518">
        <f>'Revenue Jrnl'!H358</f>
        <v>0</v>
      </c>
      <c r="I352" s="518" t="str">
        <f t="shared" si="10"/>
        <v>0</v>
      </c>
      <c r="J352" s="520" t="b">
        <f t="shared" si="11"/>
        <v>0</v>
      </c>
      <c r="K352" s="521">
        <f>'Revenue Jrnl'!$G358</f>
        <v>0</v>
      </c>
      <c r="L352" s="522"/>
      <c r="M352" s="523"/>
      <c r="N352" s="524">
        <f>'Revenue Jrnl'!$H148</f>
        <v>0</v>
      </c>
    </row>
    <row r="353" spans="2:14" s="1" customFormat="1" ht="30" hidden="1" customHeight="1" x14ac:dyDescent="0.2">
      <c r="B353" s="517">
        <f>IF(AND('Revenue Jrnl'!G359&lt;&gt;"",'Revenue Jrnl'!C359&lt;&gt;""),1,0)</f>
        <v>0</v>
      </c>
      <c r="C353" s="517">
        <f>'Revenue Jrnl'!$C359</f>
        <v>0</v>
      </c>
      <c r="D353" s="518">
        <f>'Revenue Jrnl'!$D359</f>
        <v>0</v>
      </c>
      <c r="E353" s="1523">
        <f>'Revenue Jrnl'!$F359</f>
        <v>0</v>
      </c>
      <c r="F353" s="1523"/>
      <c r="G353" s="519" t="str">
        <f>IF('Revenue Jrnl'!$E359="","",'Revenue Jrnl'!$E359)</f>
        <v/>
      </c>
      <c r="H353" s="518">
        <f>'Revenue Jrnl'!H359</f>
        <v>0</v>
      </c>
      <c r="I353" s="518" t="str">
        <f t="shared" si="10"/>
        <v>0</v>
      </c>
      <c r="J353" s="520" t="b">
        <f t="shared" si="11"/>
        <v>0</v>
      </c>
      <c r="K353" s="521">
        <f>'Revenue Jrnl'!$G359</f>
        <v>0</v>
      </c>
      <c r="L353" s="522"/>
      <c r="M353" s="523"/>
      <c r="N353" s="524">
        <f>'Revenue Jrnl'!$H149</f>
        <v>0</v>
      </c>
    </row>
    <row r="354" spans="2:14" s="1" customFormat="1" ht="30" hidden="1" customHeight="1" x14ac:dyDescent="0.2">
      <c r="B354" s="517">
        <f>IF(AND('Revenue Jrnl'!G360&lt;&gt;"",'Revenue Jrnl'!C360&lt;&gt;""),1,0)</f>
        <v>0</v>
      </c>
      <c r="C354" s="517">
        <f>'Revenue Jrnl'!$C360</f>
        <v>0</v>
      </c>
      <c r="D354" s="518">
        <f>'Revenue Jrnl'!$D360</f>
        <v>0</v>
      </c>
      <c r="E354" s="1523">
        <f>'Revenue Jrnl'!$F360</f>
        <v>0</v>
      </c>
      <c r="F354" s="1523"/>
      <c r="G354" s="519" t="str">
        <f>IF('Revenue Jrnl'!$E360="","",'Revenue Jrnl'!$E360)</f>
        <v/>
      </c>
      <c r="H354" s="518">
        <f>'Revenue Jrnl'!H360</f>
        <v>0</v>
      </c>
      <c r="I354" s="518" t="str">
        <f t="shared" si="10"/>
        <v>0</v>
      </c>
      <c r="J354" s="520" t="b">
        <f t="shared" si="11"/>
        <v>0</v>
      </c>
      <c r="K354" s="521">
        <f>'Revenue Jrnl'!$G360</f>
        <v>0</v>
      </c>
      <c r="L354" s="522"/>
      <c r="M354" s="523"/>
      <c r="N354" s="524">
        <f>'Revenue Jrnl'!$H150</f>
        <v>0</v>
      </c>
    </row>
    <row r="355" spans="2:14" s="1" customFormat="1" ht="30" hidden="1" customHeight="1" x14ac:dyDescent="0.2">
      <c r="B355" s="517">
        <f>IF(AND('Revenue Jrnl'!G361&lt;&gt;"",'Revenue Jrnl'!C361&lt;&gt;""),1,0)</f>
        <v>0</v>
      </c>
      <c r="C355" s="517">
        <f>'Revenue Jrnl'!$C361</f>
        <v>0</v>
      </c>
      <c r="D355" s="518">
        <f>'Revenue Jrnl'!$D361</f>
        <v>0</v>
      </c>
      <c r="E355" s="1523">
        <f>'Revenue Jrnl'!$F361</f>
        <v>0</v>
      </c>
      <c r="F355" s="1523"/>
      <c r="G355" s="519" t="str">
        <f>IF('Revenue Jrnl'!$E361="","",'Revenue Jrnl'!$E361)</f>
        <v/>
      </c>
      <c r="H355" s="518">
        <f>'Revenue Jrnl'!H361</f>
        <v>0</v>
      </c>
      <c r="I355" s="518" t="str">
        <f t="shared" si="10"/>
        <v>0</v>
      </c>
      <c r="J355" s="520" t="b">
        <f t="shared" si="11"/>
        <v>0</v>
      </c>
      <c r="K355" s="521">
        <f>'Revenue Jrnl'!$G361</f>
        <v>0</v>
      </c>
      <c r="L355" s="522"/>
      <c r="M355" s="523"/>
      <c r="N355" s="524">
        <f>'Revenue Jrnl'!$H151</f>
        <v>0</v>
      </c>
    </row>
    <row r="356" spans="2:14" s="1" customFormat="1" ht="30" hidden="1" customHeight="1" x14ac:dyDescent="0.2">
      <c r="B356" s="517">
        <f>IF(AND('Revenue Jrnl'!G362&lt;&gt;"",'Revenue Jrnl'!C362&lt;&gt;""),1,0)</f>
        <v>0</v>
      </c>
      <c r="C356" s="517">
        <f>'Revenue Jrnl'!$C362</f>
        <v>0</v>
      </c>
      <c r="D356" s="518">
        <f>'Revenue Jrnl'!$D362</f>
        <v>0</v>
      </c>
      <c r="E356" s="1523">
        <f>'Revenue Jrnl'!$F362</f>
        <v>0</v>
      </c>
      <c r="F356" s="1523"/>
      <c r="G356" s="519" t="str">
        <f>IF('Revenue Jrnl'!$E362="","",'Revenue Jrnl'!$E362)</f>
        <v/>
      </c>
      <c r="H356" s="518">
        <f>'Revenue Jrnl'!H362</f>
        <v>0</v>
      </c>
      <c r="I356" s="518" t="str">
        <f t="shared" si="10"/>
        <v>0</v>
      </c>
      <c r="J356" s="520" t="b">
        <f t="shared" si="11"/>
        <v>0</v>
      </c>
      <c r="K356" s="521">
        <f>'Revenue Jrnl'!$G362</f>
        <v>0</v>
      </c>
      <c r="L356" s="522"/>
      <c r="M356" s="523"/>
      <c r="N356" s="524">
        <f>'Revenue Jrnl'!$H152</f>
        <v>0</v>
      </c>
    </row>
    <row r="357" spans="2:14" s="1" customFormat="1" ht="30" hidden="1" customHeight="1" x14ac:dyDescent="0.2">
      <c r="B357" s="517">
        <f>IF(AND('Revenue Jrnl'!G363&lt;&gt;"",'Revenue Jrnl'!C363&lt;&gt;""),1,0)</f>
        <v>0</v>
      </c>
      <c r="C357" s="517">
        <f>'Revenue Jrnl'!$C363</f>
        <v>0</v>
      </c>
      <c r="D357" s="518">
        <f>'Revenue Jrnl'!$D363</f>
        <v>0</v>
      </c>
      <c r="E357" s="1523">
        <f>'Revenue Jrnl'!$F363</f>
        <v>0</v>
      </c>
      <c r="F357" s="1523"/>
      <c r="G357" s="519" t="str">
        <f>IF('Revenue Jrnl'!$E363="","",'Revenue Jrnl'!$E363)</f>
        <v/>
      </c>
      <c r="H357" s="518">
        <f>'Revenue Jrnl'!H363</f>
        <v>0</v>
      </c>
      <c r="I357" s="518" t="str">
        <f t="shared" si="10"/>
        <v>0</v>
      </c>
      <c r="J357" s="520" t="b">
        <f t="shared" si="11"/>
        <v>0</v>
      </c>
      <c r="K357" s="521">
        <f>'Revenue Jrnl'!$G363</f>
        <v>0</v>
      </c>
      <c r="L357" s="522"/>
      <c r="M357" s="523"/>
      <c r="N357" s="524">
        <f>'Revenue Jrnl'!$H153</f>
        <v>0</v>
      </c>
    </row>
    <row r="358" spans="2:14" s="1" customFormat="1" ht="30" hidden="1" customHeight="1" x14ac:dyDescent="0.2">
      <c r="B358" s="517">
        <f>IF(AND('Revenue Jrnl'!G364&lt;&gt;"",'Revenue Jrnl'!C364&lt;&gt;""),1,0)</f>
        <v>0</v>
      </c>
      <c r="C358" s="517">
        <f>'Revenue Jrnl'!$C364</f>
        <v>0</v>
      </c>
      <c r="D358" s="518">
        <f>'Revenue Jrnl'!$D364</f>
        <v>0</v>
      </c>
      <c r="E358" s="1523">
        <f>'Revenue Jrnl'!$F364</f>
        <v>0</v>
      </c>
      <c r="F358" s="1523"/>
      <c r="G358" s="519" t="str">
        <f>IF('Revenue Jrnl'!$E364="","",'Revenue Jrnl'!$E364)</f>
        <v/>
      </c>
      <c r="H358" s="518">
        <f>'Revenue Jrnl'!H364</f>
        <v>0</v>
      </c>
      <c r="I358" s="518" t="str">
        <f t="shared" si="10"/>
        <v>0</v>
      </c>
      <c r="J358" s="520" t="b">
        <f t="shared" si="11"/>
        <v>0</v>
      </c>
      <c r="K358" s="521">
        <f>'Revenue Jrnl'!$G364</f>
        <v>0</v>
      </c>
      <c r="L358" s="522"/>
      <c r="M358" s="523"/>
      <c r="N358" s="524">
        <f>'Revenue Jrnl'!$H154</f>
        <v>0</v>
      </c>
    </row>
    <row r="359" spans="2:14" s="1" customFormat="1" ht="30" hidden="1" customHeight="1" x14ac:dyDescent="0.2">
      <c r="B359" s="517">
        <f>IF(AND('Revenue Jrnl'!G365&lt;&gt;"",'Revenue Jrnl'!C365&lt;&gt;""),1,0)</f>
        <v>0</v>
      </c>
      <c r="C359" s="517">
        <f>'Revenue Jrnl'!$C365</f>
        <v>0</v>
      </c>
      <c r="D359" s="518">
        <f>'Revenue Jrnl'!$D365</f>
        <v>0</v>
      </c>
      <c r="E359" s="1523">
        <f>'Revenue Jrnl'!$F365</f>
        <v>0</v>
      </c>
      <c r="F359" s="1523"/>
      <c r="G359" s="519" t="str">
        <f>IF('Revenue Jrnl'!$E365="","",'Revenue Jrnl'!$E365)</f>
        <v/>
      </c>
      <c r="H359" s="518">
        <f>'Revenue Jrnl'!H365</f>
        <v>0</v>
      </c>
      <c r="I359" s="518" t="str">
        <f t="shared" si="10"/>
        <v>0</v>
      </c>
      <c r="J359" s="520" t="b">
        <f t="shared" si="11"/>
        <v>0</v>
      </c>
      <c r="K359" s="521">
        <f>'Revenue Jrnl'!$G365</f>
        <v>0</v>
      </c>
      <c r="L359" s="522"/>
      <c r="M359" s="523"/>
      <c r="N359" s="524">
        <f>'Revenue Jrnl'!$H155</f>
        <v>0</v>
      </c>
    </row>
    <row r="360" spans="2:14" s="1" customFormat="1" ht="30" hidden="1" customHeight="1" x14ac:dyDescent="0.2">
      <c r="B360" s="517">
        <f>IF(AND('Revenue Jrnl'!G366&lt;&gt;"",'Revenue Jrnl'!C366&lt;&gt;""),1,0)</f>
        <v>0</v>
      </c>
      <c r="C360" s="517">
        <f>'Revenue Jrnl'!$C366</f>
        <v>0</v>
      </c>
      <c r="D360" s="518">
        <f>'Revenue Jrnl'!$D366</f>
        <v>0</v>
      </c>
      <c r="E360" s="1523">
        <f>'Revenue Jrnl'!$F366</f>
        <v>0</v>
      </c>
      <c r="F360" s="1523"/>
      <c r="G360" s="519" t="str">
        <f>IF('Revenue Jrnl'!$E366="","",'Revenue Jrnl'!$E366)</f>
        <v/>
      </c>
      <c r="H360" s="518">
        <f>'Revenue Jrnl'!H366</f>
        <v>0</v>
      </c>
      <c r="I360" s="518" t="str">
        <f t="shared" si="10"/>
        <v>0</v>
      </c>
      <c r="J360" s="520" t="b">
        <f t="shared" si="11"/>
        <v>0</v>
      </c>
      <c r="K360" s="521">
        <f>'Revenue Jrnl'!$G366</f>
        <v>0</v>
      </c>
      <c r="L360" s="522"/>
      <c r="M360" s="523"/>
      <c r="N360" s="524">
        <f>'Revenue Jrnl'!$H156</f>
        <v>0</v>
      </c>
    </row>
    <row r="361" spans="2:14" s="1" customFormat="1" ht="30" hidden="1" customHeight="1" x14ac:dyDescent="0.2">
      <c r="B361" s="517">
        <f>IF(AND('Revenue Jrnl'!G367&lt;&gt;"",'Revenue Jrnl'!C367&lt;&gt;""),1,0)</f>
        <v>0</v>
      </c>
      <c r="C361" s="517">
        <f>'Revenue Jrnl'!$C367</f>
        <v>0</v>
      </c>
      <c r="D361" s="518">
        <f>'Revenue Jrnl'!$D367</f>
        <v>0</v>
      </c>
      <c r="E361" s="1523">
        <f>'Revenue Jrnl'!$F367</f>
        <v>0</v>
      </c>
      <c r="F361" s="1523"/>
      <c r="G361" s="519" t="str">
        <f>IF('Revenue Jrnl'!$E367="","",'Revenue Jrnl'!$E367)</f>
        <v/>
      </c>
      <c r="H361" s="518">
        <f>'Revenue Jrnl'!H367</f>
        <v>0</v>
      </c>
      <c r="I361" s="518" t="str">
        <f t="shared" si="10"/>
        <v>0</v>
      </c>
      <c r="J361" s="520" t="b">
        <f t="shared" si="11"/>
        <v>0</v>
      </c>
      <c r="K361" s="521">
        <f>'Revenue Jrnl'!$G367</f>
        <v>0</v>
      </c>
      <c r="L361" s="522"/>
      <c r="M361" s="523"/>
      <c r="N361" s="524">
        <f>'Revenue Jrnl'!$H157</f>
        <v>0</v>
      </c>
    </row>
    <row r="362" spans="2:14" s="1" customFormat="1" ht="30" hidden="1" customHeight="1" x14ac:dyDescent="0.2">
      <c r="B362" s="517">
        <f>IF(AND('Revenue Jrnl'!G368&lt;&gt;"",'Revenue Jrnl'!C368&lt;&gt;""),1,0)</f>
        <v>0</v>
      </c>
      <c r="C362" s="517">
        <f>'Revenue Jrnl'!$C368</f>
        <v>0</v>
      </c>
      <c r="D362" s="518">
        <f>'Revenue Jrnl'!$D368</f>
        <v>0</v>
      </c>
      <c r="E362" s="1523">
        <f>'Revenue Jrnl'!$F368</f>
        <v>0</v>
      </c>
      <c r="F362" s="1523"/>
      <c r="G362" s="519" t="str">
        <f>IF('Revenue Jrnl'!$E368="","",'Revenue Jrnl'!$E368)</f>
        <v/>
      </c>
      <c r="H362" s="518">
        <f>'Revenue Jrnl'!H368</f>
        <v>0</v>
      </c>
      <c r="I362" s="518" t="str">
        <f t="shared" si="10"/>
        <v>0</v>
      </c>
      <c r="J362" s="520" t="b">
        <f t="shared" si="11"/>
        <v>0</v>
      </c>
      <c r="K362" s="521">
        <f>'Revenue Jrnl'!$G368</f>
        <v>0</v>
      </c>
      <c r="L362" s="522"/>
      <c r="M362" s="523"/>
      <c r="N362" s="524">
        <f>'Revenue Jrnl'!$H158</f>
        <v>0</v>
      </c>
    </row>
    <row r="363" spans="2:14" s="1" customFormat="1" ht="30" hidden="1" customHeight="1" x14ac:dyDescent="0.2">
      <c r="B363" s="517">
        <f>IF(AND('Revenue Jrnl'!G369&lt;&gt;"",'Revenue Jrnl'!C369&lt;&gt;""),1,0)</f>
        <v>0</v>
      </c>
      <c r="C363" s="517">
        <f>'Revenue Jrnl'!$C369</f>
        <v>0</v>
      </c>
      <c r="D363" s="518">
        <f>'Revenue Jrnl'!$D369</f>
        <v>0</v>
      </c>
      <c r="E363" s="1523">
        <f>'Revenue Jrnl'!$F369</f>
        <v>0</v>
      </c>
      <c r="F363" s="1523"/>
      <c r="G363" s="519" t="str">
        <f>IF('Revenue Jrnl'!$E369="","",'Revenue Jrnl'!$E369)</f>
        <v/>
      </c>
      <c r="H363" s="518">
        <f>'Revenue Jrnl'!H369</f>
        <v>0</v>
      </c>
      <c r="I363" s="518" t="str">
        <f t="shared" si="10"/>
        <v>0</v>
      </c>
      <c r="J363" s="520" t="b">
        <f t="shared" si="11"/>
        <v>0</v>
      </c>
      <c r="K363" s="521">
        <f>'Revenue Jrnl'!$G369</f>
        <v>0</v>
      </c>
      <c r="L363" s="522"/>
      <c r="M363" s="523"/>
      <c r="N363" s="524">
        <f>'Revenue Jrnl'!$H159</f>
        <v>0</v>
      </c>
    </row>
    <row r="364" spans="2:14" s="1" customFormat="1" ht="30" hidden="1" customHeight="1" x14ac:dyDescent="0.2">
      <c r="B364" s="517">
        <f>IF(AND('Revenue Jrnl'!G370&lt;&gt;"",'Revenue Jrnl'!C370&lt;&gt;""),1,0)</f>
        <v>0</v>
      </c>
      <c r="C364" s="517">
        <f>'Revenue Jrnl'!$C370</f>
        <v>0</v>
      </c>
      <c r="D364" s="518">
        <f>'Revenue Jrnl'!$D370</f>
        <v>0</v>
      </c>
      <c r="E364" s="1523">
        <f>'Revenue Jrnl'!$F370</f>
        <v>0</v>
      </c>
      <c r="F364" s="1523"/>
      <c r="G364" s="519" t="str">
        <f>IF('Revenue Jrnl'!$E370="","",'Revenue Jrnl'!$E370)</f>
        <v/>
      </c>
      <c r="H364" s="518">
        <f>'Revenue Jrnl'!H370</f>
        <v>0</v>
      </c>
      <c r="I364" s="518" t="str">
        <f t="shared" si="10"/>
        <v>0</v>
      </c>
      <c r="J364" s="520" t="b">
        <f t="shared" si="11"/>
        <v>0</v>
      </c>
      <c r="K364" s="521">
        <f>'Revenue Jrnl'!$G370</f>
        <v>0</v>
      </c>
      <c r="L364" s="522"/>
      <c r="M364" s="523"/>
      <c r="N364" s="524">
        <f>'Revenue Jrnl'!$H160</f>
        <v>0</v>
      </c>
    </row>
    <row r="365" spans="2:14" s="1" customFormat="1" ht="30" hidden="1" customHeight="1" x14ac:dyDescent="0.2">
      <c r="B365" s="517">
        <f>IF(AND('Revenue Jrnl'!G371&lt;&gt;"",'Revenue Jrnl'!C371&lt;&gt;""),1,0)</f>
        <v>0</v>
      </c>
      <c r="C365" s="517">
        <f>'Revenue Jrnl'!$C371</f>
        <v>0</v>
      </c>
      <c r="D365" s="518">
        <f>'Revenue Jrnl'!$D371</f>
        <v>0</v>
      </c>
      <c r="E365" s="1523">
        <f>'Revenue Jrnl'!$F371</f>
        <v>0</v>
      </c>
      <c r="F365" s="1523"/>
      <c r="G365" s="519" t="str">
        <f>IF('Revenue Jrnl'!$E371="","",'Revenue Jrnl'!$E371)</f>
        <v/>
      </c>
      <c r="H365" s="518">
        <f>'Revenue Jrnl'!H371</f>
        <v>0</v>
      </c>
      <c r="I365" s="518" t="str">
        <f t="shared" si="10"/>
        <v>0</v>
      </c>
      <c r="J365" s="520" t="b">
        <f t="shared" si="11"/>
        <v>0</v>
      </c>
      <c r="K365" s="521">
        <f>'Revenue Jrnl'!$G371</f>
        <v>0</v>
      </c>
      <c r="L365" s="522"/>
      <c r="M365" s="523"/>
      <c r="N365" s="524">
        <f>'Revenue Jrnl'!$H161</f>
        <v>0</v>
      </c>
    </row>
    <row r="366" spans="2:14" s="1" customFormat="1" ht="30" hidden="1" customHeight="1" x14ac:dyDescent="0.2">
      <c r="B366" s="517">
        <f>IF(AND('Revenue Jrnl'!G372&lt;&gt;"",'Revenue Jrnl'!C372&lt;&gt;""),1,0)</f>
        <v>0</v>
      </c>
      <c r="C366" s="517">
        <f>'Revenue Jrnl'!$C372</f>
        <v>0</v>
      </c>
      <c r="D366" s="518">
        <f>'Revenue Jrnl'!$D372</f>
        <v>0</v>
      </c>
      <c r="E366" s="1523">
        <f>'Revenue Jrnl'!$F372</f>
        <v>0</v>
      </c>
      <c r="F366" s="1523"/>
      <c r="G366" s="519" t="str">
        <f>IF('Revenue Jrnl'!$E372="","",'Revenue Jrnl'!$E372)</f>
        <v/>
      </c>
      <c r="H366" s="518">
        <f>'Revenue Jrnl'!H372</f>
        <v>0</v>
      </c>
      <c r="I366" s="518" t="str">
        <f t="shared" si="10"/>
        <v>0</v>
      </c>
      <c r="J366" s="520" t="b">
        <f t="shared" si="11"/>
        <v>0</v>
      </c>
      <c r="K366" s="521">
        <f>'Revenue Jrnl'!$G372</f>
        <v>0</v>
      </c>
      <c r="L366" s="522"/>
      <c r="M366" s="523"/>
      <c r="N366" s="524">
        <f>'Revenue Jrnl'!$H162</f>
        <v>0</v>
      </c>
    </row>
    <row r="367" spans="2:14" s="1" customFormat="1" ht="30" hidden="1" customHeight="1" x14ac:dyDescent="0.2">
      <c r="B367" s="517">
        <f>IF(AND('Revenue Jrnl'!G373&lt;&gt;"",'Revenue Jrnl'!C373&lt;&gt;""),1,0)</f>
        <v>0</v>
      </c>
      <c r="C367" s="517">
        <f>'Revenue Jrnl'!$C373</f>
        <v>0</v>
      </c>
      <c r="D367" s="518">
        <f>'Revenue Jrnl'!$D373</f>
        <v>0</v>
      </c>
      <c r="E367" s="1523">
        <f>'Revenue Jrnl'!$F373</f>
        <v>0</v>
      </c>
      <c r="F367" s="1523"/>
      <c r="G367" s="519" t="str">
        <f>IF('Revenue Jrnl'!$E373="","",'Revenue Jrnl'!$E373)</f>
        <v/>
      </c>
      <c r="H367" s="518">
        <f>'Revenue Jrnl'!H373</f>
        <v>0</v>
      </c>
      <c r="I367" s="518" t="str">
        <f t="shared" si="10"/>
        <v>0</v>
      </c>
      <c r="J367" s="520" t="b">
        <f t="shared" si="11"/>
        <v>0</v>
      </c>
      <c r="K367" s="521">
        <f>'Revenue Jrnl'!$G373</f>
        <v>0</v>
      </c>
      <c r="L367" s="522"/>
      <c r="M367" s="523"/>
      <c r="N367" s="524">
        <f>'Revenue Jrnl'!$H163</f>
        <v>0</v>
      </c>
    </row>
    <row r="368" spans="2:14" s="1" customFormat="1" ht="30" hidden="1" customHeight="1" x14ac:dyDescent="0.2">
      <c r="B368" s="517">
        <f>IF(AND('Revenue Jrnl'!G374&lt;&gt;"",'Revenue Jrnl'!C374&lt;&gt;""),1,0)</f>
        <v>0</v>
      </c>
      <c r="C368" s="517">
        <f>'Revenue Jrnl'!$C374</f>
        <v>0</v>
      </c>
      <c r="D368" s="518">
        <f>'Revenue Jrnl'!$D374</f>
        <v>0</v>
      </c>
      <c r="E368" s="1523">
        <f>'Revenue Jrnl'!$F374</f>
        <v>0</v>
      </c>
      <c r="F368" s="1523"/>
      <c r="G368" s="519" t="str">
        <f>IF('Revenue Jrnl'!$E374="","",'Revenue Jrnl'!$E374)</f>
        <v/>
      </c>
      <c r="H368" s="518">
        <f>'Revenue Jrnl'!H374</f>
        <v>0</v>
      </c>
      <c r="I368" s="518" t="str">
        <f t="shared" si="10"/>
        <v>0</v>
      </c>
      <c r="J368" s="520" t="b">
        <f t="shared" si="11"/>
        <v>0</v>
      </c>
      <c r="K368" s="521">
        <f>'Revenue Jrnl'!$G374</f>
        <v>0</v>
      </c>
      <c r="L368" s="522"/>
      <c r="M368" s="523"/>
      <c r="N368" s="524">
        <f>'Revenue Jrnl'!$H164</f>
        <v>0</v>
      </c>
    </row>
    <row r="369" spans="2:14" s="1" customFormat="1" ht="30" hidden="1" customHeight="1" x14ac:dyDescent="0.2">
      <c r="B369" s="517">
        <f>IF(AND('Revenue Jrnl'!G375&lt;&gt;"",'Revenue Jrnl'!C375&lt;&gt;""),1,0)</f>
        <v>0</v>
      </c>
      <c r="C369" s="517">
        <f>'Revenue Jrnl'!$C375</f>
        <v>0</v>
      </c>
      <c r="D369" s="518">
        <f>'Revenue Jrnl'!$D375</f>
        <v>0</v>
      </c>
      <c r="E369" s="1523">
        <f>'Revenue Jrnl'!$F375</f>
        <v>0</v>
      </c>
      <c r="F369" s="1523"/>
      <c r="G369" s="519" t="str">
        <f>IF('Revenue Jrnl'!$E375="","",'Revenue Jrnl'!$E375)</f>
        <v/>
      </c>
      <c r="H369" s="518">
        <f>'Revenue Jrnl'!H375</f>
        <v>0</v>
      </c>
      <c r="I369" s="518" t="str">
        <f t="shared" si="10"/>
        <v>0</v>
      </c>
      <c r="J369" s="520" t="b">
        <f t="shared" si="11"/>
        <v>0</v>
      </c>
      <c r="K369" s="521">
        <f>'Revenue Jrnl'!$G375</f>
        <v>0</v>
      </c>
      <c r="L369" s="522"/>
      <c r="M369" s="523"/>
      <c r="N369" s="524">
        <f>'Revenue Jrnl'!$H165</f>
        <v>0</v>
      </c>
    </row>
    <row r="370" spans="2:14" s="1" customFormat="1" ht="30" hidden="1" customHeight="1" x14ac:dyDescent="0.2">
      <c r="B370" s="517">
        <f>IF(AND('Revenue Jrnl'!G376&lt;&gt;"",'Revenue Jrnl'!C376&lt;&gt;""),1,0)</f>
        <v>0</v>
      </c>
      <c r="C370" s="517">
        <f>'Revenue Jrnl'!$C376</f>
        <v>0</v>
      </c>
      <c r="D370" s="518">
        <f>'Revenue Jrnl'!$D376</f>
        <v>0</v>
      </c>
      <c r="E370" s="1523">
        <f>'Revenue Jrnl'!$F376</f>
        <v>0</v>
      </c>
      <c r="F370" s="1523"/>
      <c r="G370" s="519" t="str">
        <f>IF('Revenue Jrnl'!$E376="","",'Revenue Jrnl'!$E376)</f>
        <v/>
      </c>
      <c r="H370" s="518">
        <f>'Revenue Jrnl'!H376</f>
        <v>0</v>
      </c>
      <c r="I370" s="518" t="str">
        <f t="shared" si="10"/>
        <v>0</v>
      </c>
      <c r="J370" s="520" t="b">
        <f t="shared" si="11"/>
        <v>0</v>
      </c>
      <c r="K370" s="521">
        <f>'Revenue Jrnl'!$G376</f>
        <v>0</v>
      </c>
      <c r="L370" s="522"/>
      <c r="M370" s="523"/>
      <c r="N370" s="524">
        <f>'Revenue Jrnl'!$H166</f>
        <v>0</v>
      </c>
    </row>
    <row r="371" spans="2:14" s="1" customFormat="1" ht="30" hidden="1" customHeight="1" x14ac:dyDescent="0.2">
      <c r="B371" s="517">
        <f>IF(AND('Revenue Jrnl'!G377&lt;&gt;"",'Revenue Jrnl'!C377&lt;&gt;""),1,0)</f>
        <v>0</v>
      </c>
      <c r="C371" s="517">
        <f>'Revenue Jrnl'!$C377</f>
        <v>0</v>
      </c>
      <c r="D371" s="518">
        <f>'Revenue Jrnl'!$D377</f>
        <v>0</v>
      </c>
      <c r="E371" s="1523">
        <f>'Revenue Jrnl'!$F377</f>
        <v>0</v>
      </c>
      <c r="F371" s="1523"/>
      <c r="G371" s="519" t="str">
        <f>IF('Revenue Jrnl'!$E377="","",'Revenue Jrnl'!$E377)</f>
        <v/>
      </c>
      <c r="H371" s="518">
        <f>'Revenue Jrnl'!H377</f>
        <v>0</v>
      </c>
      <c r="I371" s="518" t="str">
        <f t="shared" si="10"/>
        <v>0</v>
      </c>
      <c r="J371" s="520" t="b">
        <f t="shared" si="11"/>
        <v>0</v>
      </c>
      <c r="K371" s="521">
        <f>'Revenue Jrnl'!$G377</f>
        <v>0</v>
      </c>
      <c r="L371" s="522"/>
      <c r="M371" s="523"/>
      <c r="N371" s="524">
        <f>'Revenue Jrnl'!$H167</f>
        <v>0</v>
      </c>
    </row>
    <row r="372" spans="2:14" s="1" customFormat="1" ht="30" hidden="1" customHeight="1" x14ac:dyDescent="0.2">
      <c r="B372" s="517">
        <f>IF(AND('Revenue Jrnl'!G378&lt;&gt;"",'Revenue Jrnl'!C378&lt;&gt;""),1,0)</f>
        <v>0</v>
      </c>
      <c r="C372" s="517">
        <f>'Revenue Jrnl'!$C378</f>
        <v>0</v>
      </c>
      <c r="D372" s="518">
        <f>'Revenue Jrnl'!$D378</f>
        <v>0</v>
      </c>
      <c r="E372" s="1523">
        <f>'Revenue Jrnl'!$F378</f>
        <v>0</v>
      </c>
      <c r="F372" s="1523"/>
      <c r="G372" s="519" t="str">
        <f>IF('Revenue Jrnl'!$E378="","",'Revenue Jrnl'!$E378)</f>
        <v/>
      </c>
      <c r="H372" s="518">
        <f>'Revenue Jrnl'!H378</f>
        <v>0</v>
      </c>
      <c r="I372" s="518" t="str">
        <f t="shared" si="10"/>
        <v>0</v>
      </c>
      <c r="J372" s="520" t="b">
        <f t="shared" si="11"/>
        <v>0</v>
      </c>
      <c r="K372" s="521">
        <f>'Revenue Jrnl'!$G378</f>
        <v>0</v>
      </c>
      <c r="L372" s="522"/>
      <c r="M372" s="523"/>
      <c r="N372" s="524">
        <f>'Revenue Jrnl'!$H168</f>
        <v>0</v>
      </c>
    </row>
    <row r="373" spans="2:14" s="1" customFormat="1" ht="30" hidden="1" customHeight="1" x14ac:dyDescent="0.2">
      <c r="B373" s="517">
        <f>IF(AND('Revenue Jrnl'!G379&lt;&gt;"",'Revenue Jrnl'!C379&lt;&gt;""),1,0)</f>
        <v>0</v>
      </c>
      <c r="C373" s="517">
        <f>'Revenue Jrnl'!$C379</f>
        <v>0</v>
      </c>
      <c r="D373" s="518">
        <f>'Revenue Jrnl'!$D379</f>
        <v>0</v>
      </c>
      <c r="E373" s="1523">
        <f>'Revenue Jrnl'!$F379</f>
        <v>0</v>
      </c>
      <c r="F373" s="1523"/>
      <c r="G373" s="519" t="str">
        <f>IF('Revenue Jrnl'!$E379="","",'Revenue Jrnl'!$E379)</f>
        <v/>
      </c>
      <c r="H373" s="518">
        <f>'Revenue Jrnl'!H379</f>
        <v>0</v>
      </c>
      <c r="I373" s="518" t="str">
        <f t="shared" si="10"/>
        <v>0</v>
      </c>
      <c r="J373" s="520" t="b">
        <f t="shared" si="11"/>
        <v>0</v>
      </c>
      <c r="K373" s="521">
        <f>'Revenue Jrnl'!$G379</f>
        <v>0</v>
      </c>
      <c r="L373" s="522"/>
      <c r="M373" s="523"/>
      <c r="N373" s="524">
        <f>'Revenue Jrnl'!$H169</f>
        <v>0</v>
      </c>
    </row>
    <row r="374" spans="2:14" s="1" customFormat="1" ht="30" hidden="1" customHeight="1" x14ac:dyDescent="0.2">
      <c r="B374" s="517">
        <f>IF(AND('Revenue Jrnl'!G380&lt;&gt;"",'Revenue Jrnl'!C380&lt;&gt;""),1,0)</f>
        <v>0</v>
      </c>
      <c r="C374" s="517">
        <f>'Revenue Jrnl'!$C380</f>
        <v>0</v>
      </c>
      <c r="D374" s="518">
        <f>'Revenue Jrnl'!$D380</f>
        <v>0</v>
      </c>
      <c r="E374" s="1523">
        <f>'Revenue Jrnl'!$F380</f>
        <v>0</v>
      </c>
      <c r="F374" s="1523"/>
      <c r="G374" s="519" t="str">
        <f>IF('Revenue Jrnl'!$E380="","",'Revenue Jrnl'!$E380)</f>
        <v/>
      </c>
      <c r="H374" s="518">
        <f>'Revenue Jrnl'!H380</f>
        <v>0</v>
      </c>
      <c r="I374" s="518" t="str">
        <f t="shared" si="10"/>
        <v>0</v>
      </c>
      <c r="J374" s="520" t="b">
        <f t="shared" si="11"/>
        <v>0</v>
      </c>
      <c r="K374" s="521">
        <f>'Revenue Jrnl'!$G380</f>
        <v>0</v>
      </c>
      <c r="L374" s="522"/>
      <c r="M374" s="523"/>
      <c r="N374" s="524">
        <f>'Revenue Jrnl'!$H170</f>
        <v>0</v>
      </c>
    </row>
    <row r="375" spans="2:14" s="1" customFormat="1" ht="30" hidden="1" customHeight="1" x14ac:dyDescent="0.2">
      <c r="B375" s="517">
        <f>IF(AND('Revenue Jrnl'!G381&lt;&gt;"",'Revenue Jrnl'!C381&lt;&gt;""),1,0)</f>
        <v>0</v>
      </c>
      <c r="C375" s="517">
        <f>'Revenue Jrnl'!$C381</f>
        <v>0</v>
      </c>
      <c r="D375" s="518">
        <f>'Revenue Jrnl'!$D381</f>
        <v>0</v>
      </c>
      <c r="E375" s="1523">
        <f>'Revenue Jrnl'!$F381</f>
        <v>0</v>
      </c>
      <c r="F375" s="1523"/>
      <c r="G375" s="519" t="str">
        <f>IF('Revenue Jrnl'!$E381="","",'Revenue Jrnl'!$E381)</f>
        <v/>
      </c>
      <c r="H375" s="518">
        <f>'Revenue Jrnl'!H381</f>
        <v>0</v>
      </c>
      <c r="I375" s="518" t="str">
        <f t="shared" si="10"/>
        <v>0</v>
      </c>
      <c r="J375" s="520" t="b">
        <f t="shared" si="11"/>
        <v>0</v>
      </c>
      <c r="K375" s="521">
        <f>'Revenue Jrnl'!$G381</f>
        <v>0</v>
      </c>
      <c r="L375" s="522"/>
      <c r="M375" s="523"/>
      <c r="N375" s="524">
        <f>'Revenue Jrnl'!$H171</f>
        <v>0</v>
      </c>
    </row>
    <row r="376" spans="2:14" s="1" customFormat="1" ht="30" hidden="1" customHeight="1" x14ac:dyDescent="0.2">
      <c r="B376" s="517">
        <f>IF(AND('Revenue Jrnl'!G382&lt;&gt;"",'Revenue Jrnl'!C382&lt;&gt;""),1,0)</f>
        <v>0</v>
      </c>
      <c r="C376" s="517">
        <f>'Revenue Jrnl'!$C382</f>
        <v>0</v>
      </c>
      <c r="D376" s="518">
        <f>'Revenue Jrnl'!$D382</f>
        <v>0</v>
      </c>
      <c r="E376" s="1523">
        <f>'Revenue Jrnl'!$F382</f>
        <v>0</v>
      </c>
      <c r="F376" s="1523"/>
      <c r="G376" s="519" t="str">
        <f>IF('Revenue Jrnl'!$E382="","",'Revenue Jrnl'!$E382)</f>
        <v/>
      </c>
      <c r="H376" s="518">
        <f>'Revenue Jrnl'!H382</f>
        <v>0</v>
      </c>
      <c r="I376" s="518" t="str">
        <f t="shared" si="10"/>
        <v>0</v>
      </c>
      <c r="J376" s="520" t="b">
        <f t="shared" si="11"/>
        <v>0</v>
      </c>
      <c r="K376" s="521">
        <f>'Revenue Jrnl'!$G382</f>
        <v>0</v>
      </c>
      <c r="L376" s="522"/>
      <c r="M376" s="523"/>
      <c r="N376" s="524">
        <f>'Revenue Jrnl'!$H172</f>
        <v>0</v>
      </c>
    </row>
    <row r="377" spans="2:14" s="1" customFormat="1" ht="30" hidden="1" customHeight="1" x14ac:dyDescent="0.2">
      <c r="B377" s="517">
        <f>IF(AND('Revenue Jrnl'!G383&lt;&gt;"",'Revenue Jrnl'!C383&lt;&gt;""),1,0)</f>
        <v>0</v>
      </c>
      <c r="C377" s="517">
        <f>'Revenue Jrnl'!$C383</f>
        <v>0</v>
      </c>
      <c r="D377" s="518">
        <f>'Revenue Jrnl'!$D383</f>
        <v>0</v>
      </c>
      <c r="E377" s="1523">
        <f>'Revenue Jrnl'!$F383</f>
        <v>0</v>
      </c>
      <c r="F377" s="1523"/>
      <c r="G377" s="519" t="str">
        <f>IF('Revenue Jrnl'!$E383="","",'Revenue Jrnl'!$E383)</f>
        <v/>
      </c>
      <c r="H377" s="518">
        <f>'Revenue Jrnl'!H383</f>
        <v>0</v>
      </c>
      <c r="I377" s="518" t="str">
        <f t="shared" si="10"/>
        <v>0</v>
      </c>
      <c r="J377" s="520" t="b">
        <f t="shared" si="11"/>
        <v>0</v>
      </c>
      <c r="K377" s="521">
        <f>'Revenue Jrnl'!$G383</f>
        <v>0</v>
      </c>
      <c r="L377" s="522"/>
      <c r="M377" s="523"/>
      <c r="N377" s="524">
        <f>'Revenue Jrnl'!$H173</f>
        <v>0</v>
      </c>
    </row>
    <row r="378" spans="2:14" s="1" customFormat="1" ht="30" hidden="1" customHeight="1" x14ac:dyDescent="0.2">
      <c r="B378" s="517">
        <f>IF(AND('Revenue Jrnl'!G384&lt;&gt;"",'Revenue Jrnl'!C384&lt;&gt;""),1,0)</f>
        <v>0</v>
      </c>
      <c r="C378" s="517">
        <f>'Revenue Jrnl'!$C384</f>
        <v>0</v>
      </c>
      <c r="D378" s="518">
        <f>'Revenue Jrnl'!$D384</f>
        <v>0</v>
      </c>
      <c r="E378" s="1523">
        <f>'Revenue Jrnl'!$F384</f>
        <v>0</v>
      </c>
      <c r="F378" s="1523"/>
      <c r="G378" s="519" t="str">
        <f>IF('Revenue Jrnl'!$E384="","",'Revenue Jrnl'!$E384)</f>
        <v/>
      </c>
      <c r="H378" s="518">
        <f>'Revenue Jrnl'!H384</f>
        <v>0</v>
      </c>
      <c r="I378" s="518" t="str">
        <f t="shared" si="10"/>
        <v>0</v>
      </c>
      <c r="J378" s="520" t="b">
        <f t="shared" si="11"/>
        <v>0</v>
      </c>
      <c r="K378" s="521">
        <f>'Revenue Jrnl'!$G384</f>
        <v>0</v>
      </c>
      <c r="L378" s="522"/>
      <c r="M378" s="523"/>
      <c r="N378" s="524">
        <f>'Revenue Jrnl'!$H174</f>
        <v>0</v>
      </c>
    </row>
    <row r="379" spans="2:14" s="1" customFormat="1" ht="30" hidden="1" customHeight="1" x14ac:dyDescent="0.2">
      <c r="B379" s="517">
        <f>IF(AND('Revenue Jrnl'!G385&lt;&gt;"",'Revenue Jrnl'!C385&lt;&gt;""),1,0)</f>
        <v>0</v>
      </c>
      <c r="C379" s="517">
        <f>'Revenue Jrnl'!$C385</f>
        <v>0</v>
      </c>
      <c r="D379" s="518">
        <f>'Revenue Jrnl'!$D385</f>
        <v>0</v>
      </c>
      <c r="E379" s="1523">
        <f>'Revenue Jrnl'!$F385</f>
        <v>0</v>
      </c>
      <c r="F379" s="1523"/>
      <c r="G379" s="519" t="str">
        <f>IF('Revenue Jrnl'!$E385="","",'Revenue Jrnl'!$E385)</f>
        <v/>
      </c>
      <c r="H379" s="518">
        <f>'Revenue Jrnl'!H385</f>
        <v>0</v>
      </c>
      <c r="I379" s="518" t="str">
        <f t="shared" si="10"/>
        <v>0</v>
      </c>
      <c r="J379" s="520" t="b">
        <f t="shared" si="11"/>
        <v>0</v>
      </c>
      <c r="K379" s="521">
        <f>'Revenue Jrnl'!$G385</f>
        <v>0</v>
      </c>
      <c r="L379" s="522"/>
      <c r="M379" s="523"/>
      <c r="N379" s="524">
        <f>'Revenue Jrnl'!$H175</f>
        <v>0</v>
      </c>
    </row>
    <row r="380" spans="2:14" s="1" customFormat="1" ht="30" hidden="1" customHeight="1" x14ac:dyDescent="0.2">
      <c r="B380" s="517">
        <f>IF(AND('Revenue Jrnl'!G386&lt;&gt;"",'Revenue Jrnl'!C386&lt;&gt;""),1,0)</f>
        <v>0</v>
      </c>
      <c r="C380" s="517">
        <f>'Revenue Jrnl'!$C386</f>
        <v>0</v>
      </c>
      <c r="D380" s="518">
        <f>'Revenue Jrnl'!$D386</f>
        <v>0</v>
      </c>
      <c r="E380" s="1523">
        <f>'Revenue Jrnl'!$F386</f>
        <v>0</v>
      </c>
      <c r="F380" s="1523"/>
      <c r="G380" s="519" t="str">
        <f>IF('Revenue Jrnl'!$E386="","",'Revenue Jrnl'!$E386)</f>
        <v/>
      </c>
      <c r="H380" s="518">
        <f>'Revenue Jrnl'!H386</f>
        <v>0</v>
      </c>
      <c r="I380" s="518" t="str">
        <f t="shared" si="10"/>
        <v>0</v>
      </c>
      <c r="J380" s="520" t="b">
        <f t="shared" si="11"/>
        <v>0</v>
      </c>
      <c r="K380" s="521">
        <f>'Revenue Jrnl'!$G386</f>
        <v>0</v>
      </c>
      <c r="L380" s="522"/>
      <c r="M380" s="523"/>
      <c r="N380" s="524">
        <f>'Revenue Jrnl'!$H176</f>
        <v>0</v>
      </c>
    </row>
    <row r="381" spans="2:14" s="1" customFormat="1" ht="30" hidden="1" customHeight="1" x14ac:dyDescent="0.2">
      <c r="B381" s="517">
        <f>IF(AND('Revenue Jrnl'!G387&lt;&gt;"",'Revenue Jrnl'!C387&lt;&gt;""),1,0)</f>
        <v>0</v>
      </c>
      <c r="C381" s="517">
        <f>'Revenue Jrnl'!$C387</f>
        <v>0</v>
      </c>
      <c r="D381" s="518">
        <f>'Revenue Jrnl'!$D387</f>
        <v>0</v>
      </c>
      <c r="E381" s="1523">
        <f>'Revenue Jrnl'!$F387</f>
        <v>0</v>
      </c>
      <c r="F381" s="1523"/>
      <c r="G381" s="519" t="str">
        <f>IF('Revenue Jrnl'!$E387="","",'Revenue Jrnl'!$E387)</f>
        <v/>
      </c>
      <c r="H381" s="518">
        <f>'Revenue Jrnl'!H387</f>
        <v>0</v>
      </c>
      <c r="I381" s="518" t="str">
        <f t="shared" si="10"/>
        <v>0</v>
      </c>
      <c r="J381" s="520" t="b">
        <f t="shared" si="11"/>
        <v>0</v>
      </c>
      <c r="K381" s="521">
        <f>'Revenue Jrnl'!$G387</f>
        <v>0</v>
      </c>
      <c r="L381" s="522"/>
      <c r="M381" s="523"/>
      <c r="N381" s="524">
        <f>'Revenue Jrnl'!$H177</f>
        <v>0</v>
      </c>
    </row>
    <row r="382" spans="2:14" s="1" customFormat="1" ht="30" hidden="1" customHeight="1" x14ac:dyDescent="0.2">
      <c r="B382" s="517">
        <f>IF(AND('Revenue Jrnl'!G388&lt;&gt;"",'Revenue Jrnl'!C388&lt;&gt;""),1,0)</f>
        <v>0</v>
      </c>
      <c r="C382" s="517">
        <f>'Revenue Jrnl'!$C388</f>
        <v>0</v>
      </c>
      <c r="D382" s="518">
        <f>'Revenue Jrnl'!$D388</f>
        <v>0</v>
      </c>
      <c r="E382" s="1523">
        <f>'Revenue Jrnl'!$F388</f>
        <v>0</v>
      </c>
      <c r="F382" s="1523"/>
      <c r="G382" s="519" t="str">
        <f>IF('Revenue Jrnl'!$E388="","",'Revenue Jrnl'!$E388)</f>
        <v/>
      </c>
      <c r="H382" s="518">
        <f>'Revenue Jrnl'!H388</f>
        <v>0</v>
      </c>
      <c r="I382" s="518" t="str">
        <f t="shared" si="10"/>
        <v>0</v>
      </c>
      <c r="J382" s="520" t="b">
        <f t="shared" si="11"/>
        <v>0</v>
      </c>
      <c r="K382" s="521">
        <f>'Revenue Jrnl'!$G388</f>
        <v>0</v>
      </c>
      <c r="L382" s="522"/>
      <c r="M382" s="523"/>
      <c r="N382" s="524">
        <f>'Revenue Jrnl'!$H178</f>
        <v>0</v>
      </c>
    </row>
    <row r="383" spans="2:14" s="1" customFormat="1" ht="30" hidden="1" customHeight="1" x14ac:dyDescent="0.2">
      <c r="B383" s="517">
        <f>IF(AND('Revenue Jrnl'!G389&lt;&gt;"",'Revenue Jrnl'!C389&lt;&gt;""),1,0)</f>
        <v>0</v>
      </c>
      <c r="C383" s="517">
        <f>'Revenue Jrnl'!$C389</f>
        <v>0</v>
      </c>
      <c r="D383" s="518">
        <f>'Revenue Jrnl'!$D389</f>
        <v>0</v>
      </c>
      <c r="E383" s="1523">
        <f>'Revenue Jrnl'!$F389</f>
        <v>0</v>
      </c>
      <c r="F383" s="1523"/>
      <c r="G383" s="519" t="str">
        <f>IF('Revenue Jrnl'!$E389="","",'Revenue Jrnl'!$E389)</f>
        <v/>
      </c>
      <c r="H383" s="518">
        <f>'Revenue Jrnl'!H389</f>
        <v>0</v>
      </c>
      <c r="I383" s="518" t="str">
        <f t="shared" si="10"/>
        <v>0</v>
      </c>
      <c r="J383" s="520" t="b">
        <f t="shared" si="11"/>
        <v>0</v>
      </c>
      <c r="K383" s="521">
        <f>'Revenue Jrnl'!$G389</f>
        <v>0</v>
      </c>
      <c r="L383" s="522"/>
      <c r="M383" s="523"/>
      <c r="N383" s="524">
        <f>'Revenue Jrnl'!$H179</f>
        <v>0</v>
      </c>
    </row>
    <row r="384" spans="2:14" s="1" customFormat="1" ht="30" hidden="1" customHeight="1" x14ac:dyDescent="0.2">
      <c r="B384" s="517">
        <f>IF(AND('Revenue Jrnl'!G390&lt;&gt;"",'Revenue Jrnl'!C390&lt;&gt;""),1,0)</f>
        <v>0</v>
      </c>
      <c r="C384" s="517">
        <f>'Revenue Jrnl'!$C390</f>
        <v>0</v>
      </c>
      <c r="D384" s="518">
        <f>'Revenue Jrnl'!$D390</f>
        <v>0</v>
      </c>
      <c r="E384" s="1523">
        <f>'Revenue Jrnl'!$F390</f>
        <v>0</v>
      </c>
      <c r="F384" s="1523"/>
      <c r="G384" s="519" t="str">
        <f>IF('Revenue Jrnl'!$E390="","",'Revenue Jrnl'!$E390)</f>
        <v/>
      </c>
      <c r="H384" s="518">
        <f>'Revenue Jrnl'!H390</f>
        <v>0</v>
      </c>
      <c r="I384" s="518" t="str">
        <f t="shared" si="10"/>
        <v>0</v>
      </c>
      <c r="J384" s="520" t="b">
        <f t="shared" si="11"/>
        <v>0</v>
      </c>
      <c r="K384" s="521">
        <f>'Revenue Jrnl'!$G390</f>
        <v>0</v>
      </c>
      <c r="L384" s="522"/>
      <c r="M384" s="523"/>
      <c r="N384" s="524">
        <f>'Revenue Jrnl'!$H180</f>
        <v>0</v>
      </c>
    </row>
    <row r="385" spans="2:14" s="1" customFormat="1" ht="30" hidden="1" customHeight="1" x14ac:dyDescent="0.2">
      <c r="B385" s="517">
        <f>IF(AND('Revenue Jrnl'!G391&lt;&gt;"",'Revenue Jrnl'!C391&lt;&gt;""),1,0)</f>
        <v>0</v>
      </c>
      <c r="C385" s="517">
        <f>'Revenue Jrnl'!$C391</f>
        <v>0</v>
      </c>
      <c r="D385" s="518">
        <f>'Revenue Jrnl'!$D391</f>
        <v>0</v>
      </c>
      <c r="E385" s="1523">
        <f>'Revenue Jrnl'!$F391</f>
        <v>0</v>
      </c>
      <c r="F385" s="1523"/>
      <c r="G385" s="519" t="str">
        <f>IF('Revenue Jrnl'!$E391="","",'Revenue Jrnl'!$E391)</f>
        <v/>
      </c>
      <c r="H385" s="518">
        <f>'Revenue Jrnl'!H391</f>
        <v>0</v>
      </c>
      <c r="I385" s="518" t="str">
        <f t="shared" si="10"/>
        <v>0</v>
      </c>
      <c r="J385" s="520" t="b">
        <f t="shared" si="11"/>
        <v>0</v>
      </c>
      <c r="K385" s="521">
        <f>'Revenue Jrnl'!$G391</f>
        <v>0</v>
      </c>
      <c r="L385" s="522"/>
      <c r="M385" s="523"/>
      <c r="N385" s="524">
        <f>'Revenue Jrnl'!$H181</f>
        <v>0</v>
      </c>
    </row>
    <row r="386" spans="2:14" s="1" customFormat="1" ht="30" hidden="1" customHeight="1" x14ac:dyDescent="0.2">
      <c r="B386" s="517">
        <f>IF(AND('Revenue Jrnl'!G392&lt;&gt;"",'Revenue Jrnl'!C392&lt;&gt;""),1,0)</f>
        <v>0</v>
      </c>
      <c r="C386" s="517">
        <f>'Revenue Jrnl'!$C392</f>
        <v>0</v>
      </c>
      <c r="D386" s="518">
        <f>'Revenue Jrnl'!$D392</f>
        <v>0</v>
      </c>
      <c r="E386" s="1523">
        <f>'Revenue Jrnl'!$F392</f>
        <v>0</v>
      </c>
      <c r="F386" s="1523"/>
      <c r="G386" s="519" t="str">
        <f>IF('Revenue Jrnl'!$E392="","",'Revenue Jrnl'!$E392)</f>
        <v/>
      </c>
      <c r="H386" s="518">
        <f>'Revenue Jrnl'!H392</f>
        <v>0</v>
      </c>
      <c r="I386" s="518" t="str">
        <f t="shared" si="10"/>
        <v>0</v>
      </c>
      <c r="J386" s="520" t="b">
        <f t="shared" si="11"/>
        <v>0</v>
      </c>
      <c r="K386" s="521">
        <f>'Revenue Jrnl'!$G392</f>
        <v>0</v>
      </c>
      <c r="L386" s="522"/>
      <c r="M386" s="523"/>
      <c r="N386" s="524">
        <f>'Revenue Jrnl'!$H182</f>
        <v>0</v>
      </c>
    </row>
    <row r="387" spans="2:14" s="1" customFormat="1" ht="30" hidden="1" customHeight="1" x14ac:dyDescent="0.2">
      <c r="B387" s="517">
        <f>IF(AND('Revenue Jrnl'!G393&lt;&gt;"",'Revenue Jrnl'!C393&lt;&gt;""),1,0)</f>
        <v>0</v>
      </c>
      <c r="C387" s="517">
        <f>'Revenue Jrnl'!$C393</f>
        <v>0</v>
      </c>
      <c r="D387" s="518">
        <f>'Revenue Jrnl'!$D393</f>
        <v>0</v>
      </c>
      <c r="E387" s="1523">
        <f>'Revenue Jrnl'!$F393</f>
        <v>0</v>
      </c>
      <c r="F387" s="1523"/>
      <c r="G387" s="519" t="str">
        <f>IF('Revenue Jrnl'!$E393="","",'Revenue Jrnl'!$E393)</f>
        <v/>
      </c>
      <c r="H387" s="518">
        <f>'Revenue Jrnl'!H393</f>
        <v>0</v>
      </c>
      <c r="I387" s="518" t="str">
        <f t="shared" si="10"/>
        <v>0</v>
      </c>
      <c r="J387" s="520" t="b">
        <f t="shared" si="11"/>
        <v>0</v>
      </c>
      <c r="K387" s="521">
        <f>'Revenue Jrnl'!$G393</f>
        <v>0</v>
      </c>
      <c r="L387" s="522"/>
      <c r="M387" s="523"/>
      <c r="N387" s="524">
        <f>'Revenue Jrnl'!$H183</f>
        <v>0</v>
      </c>
    </row>
    <row r="388" spans="2:14" s="1" customFormat="1" ht="30" hidden="1" customHeight="1" x14ac:dyDescent="0.2">
      <c r="B388" s="517">
        <f>IF(AND('Revenue Jrnl'!G394&lt;&gt;"",'Revenue Jrnl'!C394&lt;&gt;""),1,0)</f>
        <v>0</v>
      </c>
      <c r="C388" s="517">
        <f>'Revenue Jrnl'!$C394</f>
        <v>0</v>
      </c>
      <c r="D388" s="518">
        <f>'Revenue Jrnl'!$D394</f>
        <v>0</v>
      </c>
      <c r="E388" s="1523">
        <f>'Revenue Jrnl'!$F394</f>
        <v>0</v>
      </c>
      <c r="F388" s="1523"/>
      <c r="G388" s="519" t="str">
        <f>IF('Revenue Jrnl'!$E394="","",'Revenue Jrnl'!$E394)</f>
        <v/>
      </c>
      <c r="H388" s="518">
        <f>'Revenue Jrnl'!H394</f>
        <v>0</v>
      </c>
      <c r="I388" s="518" t="str">
        <f t="shared" si="10"/>
        <v>0</v>
      </c>
      <c r="J388" s="520" t="b">
        <f t="shared" si="11"/>
        <v>0</v>
      </c>
      <c r="K388" s="521">
        <f>'Revenue Jrnl'!$G394</f>
        <v>0</v>
      </c>
      <c r="L388" s="522"/>
      <c r="M388" s="523"/>
      <c r="N388" s="524">
        <f>'Revenue Jrnl'!$H184</f>
        <v>0</v>
      </c>
    </row>
    <row r="389" spans="2:14" s="1" customFormat="1" ht="30" hidden="1" customHeight="1" x14ac:dyDescent="0.2">
      <c r="B389" s="517">
        <f>IF(AND('Revenue Jrnl'!G395&lt;&gt;"",'Revenue Jrnl'!C395&lt;&gt;""),1,0)</f>
        <v>0</v>
      </c>
      <c r="C389" s="517">
        <f>'Revenue Jrnl'!$C395</f>
        <v>0</v>
      </c>
      <c r="D389" s="518">
        <f>'Revenue Jrnl'!$D395</f>
        <v>0</v>
      </c>
      <c r="E389" s="1523">
        <f>'Revenue Jrnl'!$F395</f>
        <v>0</v>
      </c>
      <c r="F389" s="1523"/>
      <c r="G389" s="519" t="str">
        <f>IF('Revenue Jrnl'!$E395="","",'Revenue Jrnl'!$E395)</f>
        <v/>
      </c>
      <c r="H389" s="518">
        <f>'Revenue Jrnl'!H395</f>
        <v>0</v>
      </c>
      <c r="I389" s="518" t="str">
        <f t="shared" si="10"/>
        <v>0</v>
      </c>
      <c r="J389" s="520" t="b">
        <f t="shared" si="11"/>
        <v>0</v>
      </c>
      <c r="K389" s="521">
        <f>'Revenue Jrnl'!$G395</f>
        <v>0</v>
      </c>
      <c r="L389" s="522"/>
      <c r="M389" s="523"/>
      <c r="N389" s="524">
        <f>'Revenue Jrnl'!$H185</f>
        <v>0</v>
      </c>
    </row>
    <row r="390" spans="2:14" s="1" customFormat="1" ht="30" hidden="1" customHeight="1" x14ac:dyDescent="0.2">
      <c r="B390" s="517">
        <f>IF(AND('Revenue Jrnl'!G396&lt;&gt;"",'Revenue Jrnl'!C396&lt;&gt;""),1,0)</f>
        <v>0</v>
      </c>
      <c r="C390" s="517">
        <f>'Revenue Jrnl'!$C396</f>
        <v>0</v>
      </c>
      <c r="D390" s="518">
        <f>'Revenue Jrnl'!$D396</f>
        <v>0</v>
      </c>
      <c r="E390" s="1523">
        <f>'Revenue Jrnl'!$F396</f>
        <v>0</v>
      </c>
      <c r="F390" s="1523"/>
      <c r="G390" s="519" t="str">
        <f>IF('Revenue Jrnl'!$E396="","",'Revenue Jrnl'!$E396)</f>
        <v/>
      </c>
      <c r="H390" s="518">
        <f>'Revenue Jrnl'!H396</f>
        <v>0</v>
      </c>
      <c r="I390" s="518" t="str">
        <f t="shared" si="10"/>
        <v>0</v>
      </c>
      <c r="J390" s="520" t="b">
        <f t="shared" si="11"/>
        <v>0</v>
      </c>
      <c r="K390" s="521">
        <f>'Revenue Jrnl'!$G396</f>
        <v>0</v>
      </c>
      <c r="L390" s="522"/>
      <c r="M390" s="523"/>
      <c r="N390" s="524">
        <f>'Revenue Jrnl'!$H186</f>
        <v>0</v>
      </c>
    </row>
    <row r="391" spans="2:14" s="1" customFormat="1" ht="30" hidden="1" customHeight="1" x14ac:dyDescent="0.2">
      <c r="B391" s="517">
        <f>IF(AND('Revenue Jrnl'!G397&lt;&gt;"",'Revenue Jrnl'!C397&lt;&gt;""),1,0)</f>
        <v>0</v>
      </c>
      <c r="C391" s="517">
        <f>'Revenue Jrnl'!$C397</f>
        <v>0</v>
      </c>
      <c r="D391" s="518">
        <f>'Revenue Jrnl'!$D397</f>
        <v>0</v>
      </c>
      <c r="E391" s="1523">
        <f>'Revenue Jrnl'!$F397</f>
        <v>0</v>
      </c>
      <c r="F391" s="1523"/>
      <c r="G391" s="519" t="str">
        <f>IF('Revenue Jrnl'!$E397="","",'Revenue Jrnl'!$E397)</f>
        <v/>
      </c>
      <c r="H391" s="518">
        <f>'Revenue Jrnl'!H397</f>
        <v>0</v>
      </c>
      <c r="I391" s="518" t="str">
        <f t="shared" si="10"/>
        <v>0</v>
      </c>
      <c r="J391" s="520" t="b">
        <f t="shared" si="11"/>
        <v>0</v>
      </c>
      <c r="K391" s="521">
        <f>'Revenue Jrnl'!$G397</f>
        <v>0</v>
      </c>
      <c r="L391" s="522"/>
      <c r="M391" s="523"/>
      <c r="N391" s="524">
        <f>'Revenue Jrnl'!$H187</f>
        <v>0</v>
      </c>
    </row>
    <row r="392" spans="2:14" s="1" customFormat="1" ht="30" hidden="1" customHeight="1" x14ac:dyDescent="0.2">
      <c r="B392" s="517">
        <f>IF(AND('Revenue Jrnl'!G398&lt;&gt;"",'Revenue Jrnl'!C398&lt;&gt;""),1,0)</f>
        <v>0</v>
      </c>
      <c r="C392" s="517">
        <f>'Revenue Jrnl'!$C398</f>
        <v>0</v>
      </c>
      <c r="D392" s="518">
        <f>'Revenue Jrnl'!$D398</f>
        <v>0</v>
      </c>
      <c r="E392" s="1523">
        <f>'Revenue Jrnl'!$F398</f>
        <v>0</v>
      </c>
      <c r="F392" s="1523"/>
      <c r="G392" s="519" t="str">
        <f>IF('Revenue Jrnl'!$E398="","",'Revenue Jrnl'!$E398)</f>
        <v/>
      </c>
      <c r="H392" s="518">
        <f>'Revenue Jrnl'!H398</f>
        <v>0</v>
      </c>
      <c r="I392" s="518" t="str">
        <f t="shared" si="10"/>
        <v>0</v>
      </c>
      <c r="J392" s="520" t="b">
        <f t="shared" si="11"/>
        <v>0</v>
      </c>
      <c r="K392" s="521">
        <f>'Revenue Jrnl'!$G398</f>
        <v>0</v>
      </c>
      <c r="L392" s="522"/>
      <c r="M392" s="523"/>
      <c r="N392" s="524">
        <f>'Revenue Jrnl'!$H188</f>
        <v>0</v>
      </c>
    </row>
    <row r="393" spans="2:14" s="1" customFormat="1" ht="30" hidden="1" customHeight="1" x14ac:dyDescent="0.2">
      <c r="B393" s="517">
        <f>IF(AND('Revenue Jrnl'!G399&lt;&gt;"",'Revenue Jrnl'!C399&lt;&gt;""),1,0)</f>
        <v>0</v>
      </c>
      <c r="C393" s="517">
        <f>'Revenue Jrnl'!$C399</f>
        <v>0</v>
      </c>
      <c r="D393" s="518">
        <f>'Revenue Jrnl'!$D399</f>
        <v>0</v>
      </c>
      <c r="E393" s="1523">
        <f>'Revenue Jrnl'!$F399</f>
        <v>0</v>
      </c>
      <c r="F393" s="1523"/>
      <c r="G393" s="519" t="str">
        <f>IF('Revenue Jrnl'!$E399="","",'Revenue Jrnl'!$E399)</f>
        <v/>
      </c>
      <c r="H393" s="518">
        <f>'Revenue Jrnl'!H399</f>
        <v>0</v>
      </c>
      <c r="I393" s="518" t="str">
        <f t="shared" si="10"/>
        <v>0</v>
      </c>
      <c r="J393" s="520" t="b">
        <f t="shared" si="11"/>
        <v>0</v>
      </c>
      <c r="K393" s="521">
        <f>'Revenue Jrnl'!$G399</f>
        <v>0</v>
      </c>
      <c r="L393" s="522"/>
      <c r="M393" s="523"/>
      <c r="N393" s="524">
        <f>'Revenue Jrnl'!$H189</f>
        <v>0</v>
      </c>
    </row>
    <row r="394" spans="2:14" s="1" customFormat="1" ht="30" hidden="1" customHeight="1" x14ac:dyDescent="0.2">
      <c r="B394" s="517">
        <f>IF(AND('Revenue Jrnl'!G400&lt;&gt;"",'Revenue Jrnl'!C400&lt;&gt;""),1,0)</f>
        <v>0</v>
      </c>
      <c r="C394" s="517">
        <f>'Revenue Jrnl'!$C400</f>
        <v>0</v>
      </c>
      <c r="D394" s="518">
        <f>'Revenue Jrnl'!$D400</f>
        <v>0</v>
      </c>
      <c r="E394" s="1523">
        <f>'Revenue Jrnl'!$F400</f>
        <v>0</v>
      </c>
      <c r="F394" s="1523"/>
      <c r="G394" s="519" t="str">
        <f>IF('Revenue Jrnl'!$E400="","",'Revenue Jrnl'!$E400)</f>
        <v/>
      </c>
      <c r="H394" s="518">
        <f>'Revenue Jrnl'!H400</f>
        <v>0</v>
      </c>
      <c r="I394" s="518" t="str">
        <f t="shared" ref="I394:I457" si="12">LEFT(H394,4)</f>
        <v>0</v>
      </c>
      <c r="J394" s="520" t="b">
        <f t="shared" si="11"/>
        <v>0</v>
      </c>
      <c r="K394" s="521">
        <f>'Revenue Jrnl'!$G400</f>
        <v>0</v>
      </c>
      <c r="L394" s="522"/>
      <c r="M394" s="523"/>
      <c r="N394" s="524">
        <f>'Revenue Jrnl'!$H190</f>
        <v>0</v>
      </c>
    </row>
    <row r="395" spans="2:14" s="1" customFormat="1" ht="30" hidden="1" customHeight="1" x14ac:dyDescent="0.2">
      <c r="B395" s="517">
        <f>IF(AND('Revenue Jrnl'!G401&lt;&gt;"",'Revenue Jrnl'!C401&lt;&gt;""),1,0)</f>
        <v>0</v>
      </c>
      <c r="C395" s="517">
        <f>'Revenue Jrnl'!$C401</f>
        <v>0</v>
      </c>
      <c r="D395" s="518">
        <f>'Revenue Jrnl'!$D401</f>
        <v>0</v>
      </c>
      <c r="E395" s="1523">
        <f>'Revenue Jrnl'!$F401</f>
        <v>0</v>
      </c>
      <c r="F395" s="1523"/>
      <c r="G395" s="519" t="str">
        <f>IF('Revenue Jrnl'!$E401="","",'Revenue Jrnl'!$E401)</f>
        <v/>
      </c>
      <c r="H395" s="518">
        <f>'Revenue Jrnl'!H401</f>
        <v>0</v>
      </c>
      <c r="I395" s="518" t="str">
        <f t="shared" si="12"/>
        <v>0</v>
      </c>
      <c r="J395" s="520" t="b">
        <f t="shared" ref="J395:J458" si="13">IF(I395="1020",IF(G395&gt;=$E$3,IF(G395&lt;=$G$3,K395,0)))</f>
        <v>0</v>
      </c>
      <c r="K395" s="521">
        <f>'Revenue Jrnl'!$G401</f>
        <v>0</v>
      </c>
      <c r="L395" s="522"/>
      <c r="M395" s="523"/>
      <c r="N395" s="524">
        <f>'Revenue Jrnl'!$H191</f>
        <v>0</v>
      </c>
    </row>
    <row r="396" spans="2:14" s="1" customFormat="1" ht="30" hidden="1" customHeight="1" x14ac:dyDescent="0.2">
      <c r="B396" s="517">
        <f>IF(AND('Revenue Jrnl'!G402&lt;&gt;"",'Revenue Jrnl'!C402&lt;&gt;""),1,0)</f>
        <v>0</v>
      </c>
      <c r="C396" s="517">
        <f>'Revenue Jrnl'!$C402</f>
        <v>0</v>
      </c>
      <c r="D396" s="518">
        <f>'Revenue Jrnl'!$D402</f>
        <v>0</v>
      </c>
      <c r="E396" s="1523">
        <f>'Revenue Jrnl'!$F402</f>
        <v>0</v>
      </c>
      <c r="F396" s="1523"/>
      <c r="G396" s="519" t="str">
        <f>IF('Revenue Jrnl'!$E402="","",'Revenue Jrnl'!$E402)</f>
        <v/>
      </c>
      <c r="H396" s="518">
        <f>'Revenue Jrnl'!H402</f>
        <v>0</v>
      </c>
      <c r="I396" s="518" t="str">
        <f t="shared" si="12"/>
        <v>0</v>
      </c>
      <c r="J396" s="520" t="b">
        <f t="shared" si="13"/>
        <v>0</v>
      </c>
      <c r="K396" s="521">
        <f>'Revenue Jrnl'!$G402</f>
        <v>0</v>
      </c>
      <c r="L396" s="522"/>
      <c r="M396" s="523"/>
      <c r="N396" s="524">
        <f>'Revenue Jrnl'!$H192</f>
        <v>0</v>
      </c>
    </row>
    <row r="397" spans="2:14" s="1" customFormat="1" ht="30" hidden="1" customHeight="1" x14ac:dyDescent="0.2">
      <c r="B397" s="517">
        <f>IF(AND('Revenue Jrnl'!G403&lt;&gt;"",'Revenue Jrnl'!C403&lt;&gt;""),1,0)</f>
        <v>0</v>
      </c>
      <c r="C397" s="517">
        <f>'Revenue Jrnl'!$C403</f>
        <v>0</v>
      </c>
      <c r="D397" s="518">
        <f>'Revenue Jrnl'!$D403</f>
        <v>0</v>
      </c>
      <c r="E397" s="1523">
        <f>'Revenue Jrnl'!$F403</f>
        <v>0</v>
      </c>
      <c r="F397" s="1523"/>
      <c r="G397" s="519" t="str">
        <f>IF('Revenue Jrnl'!$E403="","",'Revenue Jrnl'!$E403)</f>
        <v/>
      </c>
      <c r="H397" s="518">
        <f>'Revenue Jrnl'!H403</f>
        <v>0</v>
      </c>
      <c r="I397" s="518" t="str">
        <f t="shared" si="12"/>
        <v>0</v>
      </c>
      <c r="J397" s="520" t="b">
        <f t="shared" si="13"/>
        <v>0</v>
      </c>
      <c r="K397" s="521">
        <f>'Revenue Jrnl'!$G403</f>
        <v>0</v>
      </c>
      <c r="L397" s="522"/>
      <c r="M397" s="523"/>
      <c r="N397" s="524">
        <f>'Revenue Jrnl'!$H193</f>
        <v>0</v>
      </c>
    </row>
    <row r="398" spans="2:14" s="1" customFormat="1" ht="30" hidden="1" customHeight="1" x14ac:dyDescent="0.2">
      <c r="B398" s="517">
        <f>IF(AND('Revenue Jrnl'!G404&lt;&gt;"",'Revenue Jrnl'!C404&lt;&gt;""),1,0)</f>
        <v>0</v>
      </c>
      <c r="C398" s="517">
        <f>'Revenue Jrnl'!$C404</f>
        <v>0</v>
      </c>
      <c r="D398" s="518">
        <f>'Revenue Jrnl'!$D404</f>
        <v>0</v>
      </c>
      <c r="E398" s="1523">
        <f>'Revenue Jrnl'!$F404</f>
        <v>0</v>
      </c>
      <c r="F398" s="1523"/>
      <c r="G398" s="519" t="str">
        <f>IF('Revenue Jrnl'!$E404="","",'Revenue Jrnl'!$E404)</f>
        <v/>
      </c>
      <c r="H398" s="518">
        <f>'Revenue Jrnl'!H404</f>
        <v>0</v>
      </c>
      <c r="I398" s="518" t="str">
        <f t="shared" si="12"/>
        <v>0</v>
      </c>
      <c r="J398" s="520" t="b">
        <f t="shared" si="13"/>
        <v>0</v>
      </c>
      <c r="K398" s="521">
        <f>'Revenue Jrnl'!$G404</f>
        <v>0</v>
      </c>
      <c r="L398" s="522"/>
      <c r="M398" s="523"/>
      <c r="N398" s="524">
        <f>'Revenue Jrnl'!$H194</f>
        <v>0</v>
      </c>
    </row>
    <row r="399" spans="2:14" s="1" customFormat="1" ht="30" hidden="1" customHeight="1" x14ac:dyDescent="0.2">
      <c r="B399" s="517">
        <f>IF(AND('Revenue Jrnl'!G405&lt;&gt;"",'Revenue Jrnl'!C405&lt;&gt;""),1,0)</f>
        <v>0</v>
      </c>
      <c r="C399" s="517">
        <f>'Revenue Jrnl'!$C405</f>
        <v>0</v>
      </c>
      <c r="D399" s="518">
        <f>'Revenue Jrnl'!$D405</f>
        <v>0</v>
      </c>
      <c r="E399" s="1523">
        <f>'Revenue Jrnl'!$F405</f>
        <v>0</v>
      </c>
      <c r="F399" s="1523"/>
      <c r="G399" s="519" t="str">
        <f>IF('Revenue Jrnl'!$E405="","",'Revenue Jrnl'!$E405)</f>
        <v/>
      </c>
      <c r="H399" s="518">
        <f>'Revenue Jrnl'!H405</f>
        <v>0</v>
      </c>
      <c r="I399" s="518" t="str">
        <f t="shared" si="12"/>
        <v>0</v>
      </c>
      <c r="J399" s="520" t="b">
        <f t="shared" si="13"/>
        <v>0</v>
      </c>
      <c r="K399" s="521">
        <f>'Revenue Jrnl'!$G405</f>
        <v>0</v>
      </c>
      <c r="L399" s="522"/>
      <c r="M399" s="523"/>
      <c r="N399" s="524">
        <f>'Revenue Jrnl'!$H195</f>
        <v>0</v>
      </c>
    </row>
    <row r="400" spans="2:14" s="1" customFormat="1" ht="30" hidden="1" customHeight="1" x14ac:dyDescent="0.2">
      <c r="B400" s="517">
        <f>IF(AND('Revenue Jrnl'!G406&lt;&gt;"",'Revenue Jrnl'!C406&lt;&gt;""),1,0)</f>
        <v>0</v>
      </c>
      <c r="C400" s="517">
        <f>'Revenue Jrnl'!$C406</f>
        <v>0</v>
      </c>
      <c r="D400" s="518">
        <f>'Revenue Jrnl'!$D406</f>
        <v>0</v>
      </c>
      <c r="E400" s="1523">
        <f>'Revenue Jrnl'!$F406</f>
        <v>0</v>
      </c>
      <c r="F400" s="1523"/>
      <c r="G400" s="519" t="str">
        <f>IF('Revenue Jrnl'!$E406="","",'Revenue Jrnl'!$E406)</f>
        <v/>
      </c>
      <c r="H400" s="518">
        <f>'Revenue Jrnl'!H406</f>
        <v>0</v>
      </c>
      <c r="I400" s="518" t="str">
        <f t="shared" si="12"/>
        <v>0</v>
      </c>
      <c r="J400" s="520" t="b">
        <f t="shared" si="13"/>
        <v>0</v>
      </c>
      <c r="K400" s="521">
        <f>'Revenue Jrnl'!$G406</f>
        <v>0</v>
      </c>
      <c r="L400" s="522"/>
      <c r="M400" s="523"/>
      <c r="N400" s="524">
        <f>'Revenue Jrnl'!$H196</f>
        <v>0</v>
      </c>
    </row>
    <row r="401" spans="2:14" s="1" customFormat="1" ht="30" hidden="1" customHeight="1" x14ac:dyDescent="0.2">
      <c r="B401" s="517">
        <f>IF(AND('Revenue Jrnl'!G407&lt;&gt;"",'Revenue Jrnl'!C407&lt;&gt;""),1,0)</f>
        <v>0</v>
      </c>
      <c r="C401" s="517">
        <f>'Revenue Jrnl'!$C407</f>
        <v>0</v>
      </c>
      <c r="D401" s="518">
        <f>'Revenue Jrnl'!$D407</f>
        <v>0</v>
      </c>
      <c r="E401" s="1523">
        <f>'Revenue Jrnl'!$F407</f>
        <v>0</v>
      </c>
      <c r="F401" s="1523"/>
      <c r="G401" s="519" t="str">
        <f>IF('Revenue Jrnl'!$E407="","",'Revenue Jrnl'!$E407)</f>
        <v/>
      </c>
      <c r="H401" s="518">
        <f>'Revenue Jrnl'!H407</f>
        <v>0</v>
      </c>
      <c r="I401" s="518" t="str">
        <f t="shared" si="12"/>
        <v>0</v>
      </c>
      <c r="J401" s="520" t="b">
        <f t="shared" si="13"/>
        <v>0</v>
      </c>
      <c r="K401" s="521">
        <f>'Revenue Jrnl'!$G407</f>
        <v>0</v>
      </c>
      <c r="L401" s="522"/>
      <c r="M401" s="523"/>
      <c r="N401" s="524">
        <f>'Revenue Jrnl'!$H197</f>
        <v>0</v>
      </c>
    </row>
    <row r="402" spans="2:14" s="1" customFormat="1" ht="30" hidden="1" customHeight="1" x14ac:dyDescent="0.2">
      <c r="B402" s="517">
        <f>IF(AND('Revenue Jrnl'!G408&lt;&gt;"",'Revenue Jrnl'!C408&lt;&gt;""),1,0)</f>
        <v>0</v>
      </c>
      <c r="C402" s="517">
        <f>'Revenue Jrnl'!$C408</f>
        <v>0</v>
      </c>
      <c r="D402" s="518">
        <f>'Revenue Jrnl'!$D408</f>
        <v>0</v>
      </c>
      <c r="E402" s="1523">
        <f>'Revenue Jrnl'!$F408</f>
        <v>0</v>
      </c>
      <c r="F402" s="1523"/>
      <c r="G402" s="519" t="str">
        <f>IF('Revenue Jrnl'!$E408="","",'Revenue Jrnl'!$E408)</f>
        <v/>
      </c>
      <c r="H402" s="518">
        <f>'Revenue Jrnl'!H408</f>
        <v>0</v>
      </c>
      <c r="I402" s="518" t="str">
        <f t="shared" si="12"/>
        <v>0</v>
      </c>
      <c r="J402" s="520" t="b">
        <f t="shared" si="13"/>
        <v>0</v>
      </c>
      <c r="K402" s="521">
        <f>'Revenue Jrnl'!$G408</f>
        <v>0</v>
      </c>
      <c r="L402" s="522"/>
      <c r="M402" s="523"/>
      <c r="N402" s="524">
        <f>'Revenue Jrnl'!$H198</f>
        <v>0</v>
      </c>
    </row>
    <row r="403" spans="2:14" s="1" customFormat="1" ht="30" hidden="1" customHeight="1" x14ac:dyDescent="0.2">
      <c r="B403" s="517">
        <f>IF(AND('Revenue Jrnl'!G409&lt;&gt;"",'Revenue Jrnl'!C409&lt;&gt;""),1,0)</f>
        <v>0</v>
      </c>
      <c r="C403" s="517">
        <f>'Revenue Jrnl'!$C409</f>
        <v>0</v>
      </c>
      <c r="D403" s="518">
        <f>'Revenue Jrnl'!$D409</f>
        <v>0</v>
      </c>
      <c r="E403" s="1523">
        <f>'Revenue Jrnl'!$F409</f>
        <v>0</v>
      </c>
      <c r="F403" s="1523"/>
      <c r="G403" s="519" t="str">
        <f>IF('Revenue Jrnl'!$E409="","",'Revenue Jrnl'!$E409)</f>
        <v/>
      </c>
      <c r="H403" s="518">
        <f>'Revenue Jrnl'!H409</f>
        <v>0</v>
      </c>
      <c r="I403" s="518" t="str">
        <f t="shared" si="12"/>
        <v>0</v>
      </c>
      <c r="J403" s="520" t="b">
        <f t="shared" si="13"/>
        <v>0</v>
      </c>
      <c r="K403" s="521">
        <f>'Revenue Jrnl'!$G409</f>
        <v>0</v>
      </c>
      <c r="L403" s="522"/>
      <c r="M403" s="523"/>
      <c r="N403" s="524">
        <f>'Revenue Jrnl'!$H199</f>
        <v>0</v>
      </c>
    </row>
    <row r="404" spans="2:14" s="1" customFormat="1" ht="30" hidden="1" customHeight="1" x14ac:dyDescent="0.2">
      <c r="B404" s="517">
        <f>IF(AND('Revenue Jrnl'!G410&lt;&gt;"",'Revenue Jrnl'!C410&lt;&gt;""),1,0)</f>
        <v>0</v>
      </c>
      <c r="C404" s="517">
        <f>'Revenue Jrnl'!$C410</f>
        <v>0</v>
      </c>
      <c r="D404" s="518">
        <f>'Revenue Jrnl'!$D410</f>
        <v>0</v>
      </c>
      <c r="E404" s="1523">
        <f>'Revenue Jrnl'!$F410</f>
        <v>0</v>
      </c>
      <c r="F404" s="1523"/>
      <c r="G404" s="519" t="str">
        <f>IF('Revenue Jrnl'!$E410="","",'Revenue Jrnl'!$E410)</f>
        <v/>
      </c>
      <c r="H404" s="518">
        <f>'Revenue Jrnl'!H410</f>
        <v>0</v>
      </c>
      <c r="I404" s="518" t="str">
        <f t="shared" si="12"/>
        <v>0</v>
      </c>
      <c r="J404" s="520" t="b">
        <f t="shared" si="13"/>
        <v>0</v>
      </c>
      <c r="K404" s="521">
        <f>'Revenue Jrnl'!$G410</f>
        <v>0</v>
      </c>
      <c r="L404" s="522"/>
      <c r="M404" s="523"/>
      <c r="N404" s="524">
        <f>'Revenue Jrnl'!$H200</f>
        <v>0</v>
      </c>
    </row>
    <row r="405" spans="2:14" s="1" customFormat="1" ht="30" hidden="1" customHeight="1" x14ac:dyDescent="0.2">
      <c r="B405" s="517">
        <f>IF(AND('Revenue Jrnl'!G411&lt;&gt;"",'Revenue Jrnl'!C411&lt;&gt;""),1,0)</f>
        <v>0</v>
      </c>
      <c r="C405" s="517">
        <f>'Revenue Jrnl'!$C411</f>
        <v>0</v>
      </c>
      <c r="D405" s="518">
        <f>'Revenue Jrnl'!$D411</f>
        <v>0</v>
      </c>
      <c r="E405" s="1523">
        <f>'Revenue Jrnl'!$F411</f>
        <v>0</v>
      </c>
      <c r="F405" s="1523"/>
      <c r="G405" s="519" t="str">
        <f>IF('Revenue Jrnl'!$E411="","",'Revenue Jrnl'!$E411)</f>
        <v/>
      </c>
      <c r="H405" s="518">
        <f>'Revenue Jrnl'!H411</f>
        <v>0</v>
      </c>
      <c r="I405" s="518" t="str">
        <f t="shared" si="12"/>
        <v>0</v>
      </c>
      <c r="J405" s="520" t="b">
        <f t="shared" si="13"/>
        <v>0</v>
      </c>
      <c r="K405" s="521">
        <f>'Revenue Jrnl'!$G411</f>
        <v>0</v>
      </c>
      <c r="L405" s="522"/>
      <c r="M405" s="523"/>
      <c r="N405" s="524">
        <f>'Revenue Jrnl'!$H201</f>
        <v>0</v>
      </c>
    </row>
    <row r="406" spans="2:14" s="1" customFormat="1" ht="30" hidden="1" customHeight="1" x14ac:dyDescent="0.2">
      <c r="B406" s="517">
        <f>IF(AND('Revenue Jrnl'!G412&lt;&gt;"",'Revenue Jrnl'!C412&lt;&gt;""),1,0)</f>
        <v>0</v>
      </c>
      <c r="C406" s="517">
        <f>'Revenue Jrnl'!$C412</f>
        <v>0</v>
      </c>
      <c r="D406" s="518">
        <f>'Revenue Jrnl'!$D412</f>
        <v>0</v>
      </c>
      <c r="E406" s="1523">
        <f>'Revenue Jrnl'!$F412</f>
        <v>0</v>
      </c>
      <c r="F406" s="1523"/>
      <c r="G406" s="519" t="str">
        <f>IF('Revenue Jrnl'!$E412="","",'Revenue Jrnl'!$E412)</f>
        <v/>
      </c>
      <c r="H406" s="518">
        <f>'Revenue Jrnl'!H412</f>
        <v>0</v>
      </c>
      <c r="I406" s="518" t="str">
        <f t="shared" si="12"/>
        <v>0</v>
      </c>
      <c r="J406" s="520" t="b">
        <f t="shared" si="13"/>
        <v>0</v>
      </c>
      <c r="K406" s="521">
        <f>'Revenue Jrnl'!$G412</f>
        <v>0</v>
      </c>
      <c r="L406" s="522"/>
      <c r="M406" s="523"/>
      <c r="N406" s="524">
        <f>'Revenue Jrnl'!$H202</f>
        <v>0</v>
      </c>
    </row>
    <row r="407" spans="2:14" s="1" customFormat="1" ht="30" hidden="1" customHeight="1" x14ac:dyDescent="0.2">
      <c r="B407" s="517">
        <f>IF(AND('Revenue Jrnl'!G413&lt;&gt;"",'Revenue Jrnl'!C413&lt;&gt;""),1,0)</f>
        <v>0</v>
      </c>
      <c r="C407" s="517">
        <f>'Revenue Jrnl'!$C413</f>
        <v>0</v>
      </c>
      <c r="D407" s="518">
        <f>'Revenue Jrnl'!$D413</f>
        <v>0</v>
      </c>
      <c r="E407" s="1523">
        <f>'Revenue Jrnl'!$F413</f>
        <v>0</v>
      </c>
      <c r="F407" s="1523"/>
      <c r="G407" s="519" t="str">
        <f>IF('Revenue Jrnl'!$E413="","",'Revenue Jrnl'!$E413)</f>
        <v/>
      </c>
      <c r="H407" s="518">
        <f>'Revenue Jrnl'!H413</f>
        <v>0</v>
      </c>
      <c r="I407" s="518" t="str">
        <f t="shared" si="12"/>
        <v>0</v>
      </c>
      <c r="J407" s="520" t="b">
        <f t="shared" si="13"/>
        <v>0</v>
      </c>
      <c r="K407" s="521">
        <f>'Revenue Jrnl'!$G413</f>
        <v>0</v>
      </c>
      <c r="L407" s="522"/>
      <c r="M407" s="523"/>
      <c r="N407" s="524">
        <f>'Revenue Jrnl'!$H203</f>
        <v>0</v>
      </c>
    </row>
    <row r="408" spans="2:14" s="1" customFormat="1" ht="30" hidden="1" customHeight="1" x14ac:dyDescent="0.2">
      <c r="B408" s="517">
        <f>IF(AND('Revenue Jrnl'!G414&lt;&gt;"",'Revenue Jrnl'!C414&lt;&gt;""),1,0)</f>
        <v>0</v>
      </c>
      <c r="C408" s="517">
        <f>'Revenue Jrnl'!$C414</f>
        <v>0</v>
      </c>
      <c r="D408" s="518">
        <f>'Revenue Jrnl'!$D414</f>
        <v>0</v>
      </c>
      <c r="E408" s="1523">
        <f>'Revenue Jrnl'!$F414</f>
        <v>0</v>
      </c>
      <c r="F408" s="1523"/>
      <c r="G408" s="519" t="str">
        <f>IF('Revenue Jrnl'!$E414="","",'Revenue Jrnl'!$E414)</f>
        <v/>
      </c>
      <c r="H408" s="518">
        <f>'Revenue Jrnl'!H414</f>
        <v>0</v>
      </c>
      <c r="I408" s="518" t="str">
        <f t="shared" si="12"/>
        <v>0</v>
      </c>
      <c r="J408" s="520" t="b">
        <f t="shared" si="13"/>
        <v>0</v>
      </c>
      <c r="K408" s="521">
        <f>'Revenue Jrnl'!$G414</f>
        <v>0</v>
      </c>
      <c r="L408" s="522"/>
      <c r="M408" s="523"/>
      <c r="N408" s="524">
        <f>'Revenue Jrnl'!$H204</f>
        <v>0</v>
      </c>
    </row>
    <row r="409" spans="2:14" s="1" customFormat="1" ht="30" hidden="1" customHeight="1" x14ac:dyDescent="0.2">
      <c r="B409" s="517">
        <f>IF(AND('Revenue Jrnl'!G415&lt;&gt;"",'Revenue Jrnl'!C415&lt;&gt;""),1,0)</f>
        <v>0</v>
      </c>
      <c r="C409" s="517">
        <f>'Revenue Jrnl'!$C415</f>
        <v>0</v>
      </c>
      <c r="D409" s="518">
        <f>'Revenue Jrnl'!$D415</f>
        <v>0</v>
      </c>
      <c r="E409" s="1523">
        <f>'Revenue Jrnl'!$F415</f>
        <v>0</v>
      </c>
      <c r="F409" s="1523"/>
      <c r="G409" s="519" t="str">
        <f>IF('Revenue Jrnl'!$E415="","",'Revenue Jrnl'!$E415)</f>
        <v/>
      </c>
      <c r="H409" s="518">
        <f>'Revenue Jrnl'!H415</f>
        <v>0</v>
      </c>
      <c r="I409" s="518" t="str">
        <f t="shared" si="12"/>
        <v>0</v>
      </c>
      <c r="J409" s="520" t="b">
        <f t="shared" si="13"/>
        <v>0</v>
      </c>
      <c r="K409" s="521">
        <f>'Revenue Jrnl'!$G415</f>
        <v>0</v>
      </c>
      <c r="L409" s="522"/>
      <c r="M409" s="523"/>
      <c r="N409" s="524">
        <f>'Revenue Jrnl'!$H205</f>
        <v>0</v>
      </c>
    </row>
    <row r="410" spans="2:14" s="1" customFormat="1" ht="30" hidden="1" customHeight="1" x14ac:dyDescent="0.2">
      <c r="B410" s="517">
        <f>IF(AND('Revenue Jrnl'!G416&lt;&gt;"",'Revenue Jrnl'!C416&lt;&gt;""),1,0)</f>
        <v>0</v>
      </c>
      <c r="C410" s="517">
        <f>'Revenue Jrnl'!$C416</f>
        <v>0</v>
      </c>
      <c r="D410" s="518">
        <f>'Revenue Jrnl'!$D416</f>
        <v>0</v>
      </c>
      <c r="E410" s="1523">
        <f>'Revenue Jrnl'!$F416</f>
        <v>0</v>
      </c>
      <c r="F410" s="1523"/>
      <c r="G410" s="519" t="str">
        <f>IF('Revenue Jrnl'!$E416="","",'Revenue Jrnl'!$E416)</f>
        <v/>
      </c>
      <c r="H410" s="518">
        <f>'Revenue Jrnl'!H416</f>
        <v>0</v>
      </c>
      <c r="I410" s="518" t="str">
        <f t="shared" si="12"/>
        <v>0</v>
      </c>
      <c r="J410" s="520" t="b">
        <f t="shared" si="13"/>
        <v>0</v>
      </c>
      <c r="K410" s="521">
        <f>'Revenue Jrnl'!$G416</f>
        <v>0</v>
      </c>
      <c r="L410" s="522"/>
      <c r="M410" s="523"/>
      <c r="N410" s="524">
        <f>'Revenue Jrnl'!$H206</f>
        <v>0</v>
      </c>
    </row>
    <row r="411" spans="2:14" s="1" customFormat="1" ht="30" hidden="1" customHeight="1" x14ac:dyDescent="0.2">
      <c r="B411" s="517">
        <f>IF(AND('Revenue Jrnl'!G417&lt;&gt;"",'Revenue Jrnl'!C417&lt;&gt;""),1,0)</f>
        <v>0</v>
      </c>
      <c r="C411" s="517">
        <f>'Revenue Jrnl'!$C417</f>
        <v>0</v>
      </c>
      <c r="D411" s="518">
        <f>'Revenue Jrnl'!$D417</f>
        <v>0</v>
      </c>
      <c r="E411" s="1523">
        <f>'Revenue Jrnl'!$F417</f>
        <v>0</v>
      </c>
      <c r="F411" s="1523"/>
      <c r="G411" s="519" t="str">
        <f>IF('Revenue Jrnl'!$E417="","",'Revenue Jrnl'!$E417)</f>
        <v/>
      </c>
      <c r="H411" s="518">
        <f>'Revenue Jrnl'!H417</f>
        <v>0</v>
      </c>
      <c r="I411" s="518" t="str">
        <f t="shared" si="12"/>
        <v>0</v>
      </c>
      <c r="J411" s="520" t="b">
        <f t="shared" si="13"/>
        <v>0</v>
      </c>
      <c r="K411" s="521">
        <f>'Revenue Jrnl'!$G417</f>
        <v>0</v>
      </c>
      <c r="L411" s="522"/>
      <c r="M411" s="523"/>
      <c r="N411" s="524">
        <f>'Revenue Jrnl'!$H207</f>
        <v>0</v>
      </c>
    </row>
    <row r="412" spans="2:14" s="1" customFormat="1" ht="30" hidden="1" customHeight="1" x14ac:dyDescent="0.2">
      <c r="B412" s="517">
        <f>IF(AND('Revenue Jrnl'!G418&lt;&gt;"",'Revenue Jrnl'!C418&lt;&gt;""),1,0)</f>
        <v>0</v>
      </c>
      <c r="C412" s="517">
        <f>'Revenue Jrnl'!$C418</f>
        <v>0</v>
      </c>
      <c r="D412" s="518">
        <f>'Revenue Jrnl'!$D418</f>
        <v>0</v>
      </c>
      <c r="E412" s="1523">
        <f>'Revenue Jrnl'!$F418</f>
        <v>0</v>
      </c>
      <c r="F412" s="1523"/>
      <c r="G412" s="519" t="str">
        <f>IF('Revenue Jrnl'!$E418="","",'Revenue Jrnl'!$E418)</f>
        <v/>
      </c>
      <c r="H412" s="518">
        <f>'Revenue Jrnl'!H418</f>
        <v>0</v>
      </c>
      <c r="I412" s="518" t="str">
        <f t="shared" si="12"/>
        <v>0</v>
      </c>
      <c r="J412" s="520" t="b">
        <f t="shared" si="13"/>
        <v>0</v>
      </c>
      <c r="K412" s="521">
        <f>'Revenue Jrnl'!$G418</f>
        <v>0</v>
      </c>
      <c r="L412" s="522"/>
      <c r="M412" s="523"/>
      <c r="N412" s="524">
        <f>'Revenue Jrnl'!$H208</f>
        <v>0</v>
      </c>
    </row>
    <row r="413" spans="2:14" s="1" customFormat="1" ht="30" hidden="1" customHeight="1" x14ac:dyDescent="0.2">
      <c r="B413" s="517">
        <f>IF(AND('Revenue Jrnl'!G419&lt;&gt;"",'Revenue Jrnl'!C419&lt;&gt;""),1,0)</f>
        <v>0</v>
      </c>
      <c r="C413" s="517">
        <f>'Revenue Jrnl'!$C419</f>
        <v>0</v>
      </c>
      <c r="D413" s="518">
        <f>'Revenue Jrnl'!$D419</f>
        <v>0</v>
      </c>
      <c r="E413" s="1523">
        <f>'Revenue Jrnl'!$F419</f>
        <v>0</v>
      </c>
      <c r="F413" s="1523"/>
      <c r="G413" s="519" t="str">
        <f>IF('Revenue Jrnl'!$E419="","",'Revenue Jrnl'!$E419)</f>
        <v/>
      </c>
      <c r="H413" s="518">
        <f>'Revenue Jrnl'!H419</f>
        <v>0</v>
      </c>
      <c r="I413" s="518" t="str">
        <f t="shared" si="12"/>
        <v>0</v>
      </c>
      <c r="J413" s="520" t="b">
        <f t="shared" si="13"/>
        <v>0</v>
      </c>
      <c r="K413" s="521">
        <f>'Revenue Jrnl'!$G419</f>
        <v>0</v>
      </c>
      <c r="L413" s="522"/>
      <c r="M413" s="523"/>
      <c r="N413" s="524">
        <f>'Revenue Jrnl'!$H209</f>
        <v>0</v>
      </c>
    </row>
    <row r="414" spans="2:14" s="1" customFormat="1" ht="30" hidden="1" customHeight="1" x14ac:dyDescent="0.2">
      <c r="B414" s="517">
        <f>IF(AND('Revenue Jrnl'!G420&lt;&gt;"",'Revenue Jrnl'!C420&lt;&gt;""),1,0)</f>
        <v>0</v>
      </c>
      <c r="C414" s="517">
        <f>'Revenue Jrnl'!$C420</f>
        <v>0</v>
      </c>
      <c r="D414" s="518">
        <f>'Revenue Jrnl'!$D420</f>
        <v>0</v>
      </c>
      <c r="E414" s="1523">
        <f>'Revenue Jrnl'!$F420</f>
        <v>0</v>
      </c>
      <c r="F414" s="1523"/>
      <c r="G414" s="519" t="str">
        <f>IF('Revenue Jrnl'!$E420="","",'Revenue Jrnl'!$E420)</f>
        <v/>
      </c>
      <c r="H414" s="518">
        <f>'Revenue Jrnl'!H420</f>
        <v>0</v>
      </c>
      <c r="I414" s="518" t="str">
        <f t="shared" si="12"/>
        <v>0</v>
      </c>
      <c r="J414" s="520" t="b">
        <f t="shared" si="13"/>
        <v>0</v>
      </c>
      <c r="K414" s="521">
        <f>'Revenue Jrnl'!$G420</f>
        <v>0</v>
      </c>
      <c r="L414" s="522"/>
      <c r="M414" s="523"/>
      <c r="N414" s="524">
        <f>'Revenue Jrnl'!$H210</f>
        <v>0</v>
      </c>
    </row>
    <row r="415" spans="2:14" s="1" customFormat="1" ht="30" hidden="1" customHeight="1" x14ac:dyDescent="0.2">
      <c r="B415" s="517">
        <f>IF(AND('Revenue Jrnl'!G421&lt;&gt;"",'Revenue Jrnl'!C421&lt;&gt;""),1,0)</f>
        <v>0</v>
      </c>
      <c r="C415" s="517">
        <f>'Revenue Jrnl'!$C421</f>
        <v>0</v>
      </c>
      <c r="D415" s="518">
        <f>'Revenue Jrnl'!$D421</f>
        <v>0</v>
      </c>
      <c r="E415" s="1523">
        <f>'Revenue Jrnl'!$F421</f>
        <v>0</v>
      </c>
      <c r="F415" s="1523"/>
      <c r="G415" s="519" t="str">
        <f>IF('Revenue Jrnl'!$E421="","",'Revenue Jrnl'!$E421)</f>
        <v/>
      </c>
      <c r="H415" s="518">
        <f>'Revenue Jrnl'!H421</f>
        <v>0</v>
      </c>
      <c r="I415" s="518" t="str">
        <f t="shared" si="12"/>
        <v>0</v>
      </c>
      <c r="J415" s="520" t="b">
        <f t="shared" si="13"/>
        <v>0</v>
      </c>
      <c r="K415" s="521">
        <f>'Revenue Jrnl'!$G421</f>
        <v>0</v>
      </c>
      <c r="L415" s="522"/>
      <c r="M415" s="523"/>
      <c r="N415" s="524">
        <f>'Revenue Jrnl'!$H211</f>
        <v>0</v>
      </c>
    </row>
    <row r="416" spans="2:14" s="1" customFormat="1" ht="30" hidden="1" customHeight="1" x14ac:dyDescent="0.2">
      <c r="B416" s="517">
        <f>IF(AND('Revenue Jrnl'!G422&lt;&gt;"",'Revenue Jrnl'!C422&lt;&gt;""),1,0)</f>
        <v>0</v>
      </c>
      <c r="C416" s="517">
        <f>'Revenue Jrnl'!$C422</f>
        <v>0</v>
      </c>
      <c r="D416" s="518">
        <f>'Revenue Jrnl'!$D422</f>
        <v>0</v>
      </c>
      <c r="E416" s="1523">
        <f>'Revenue Jrnl'!$F422</f>
        <v>0</v>
      </c>
      <c r="F416" s="1523"/>
      <c r="G416" s="519" t="str">
        <f>IF('Revenue Jrnl'!$E422="","",'Revenue Jrnl'!$E422)</f>
        <v/>
      </c>
      <c r="H416" s="518">
        <f>'Revenue Jrnl'!H422</f>
        <v>0</v>
      </c>
      <c r="I416" s="518" t="str">
        <f t="shared" si="12"/>
        <v>0</v>
      </c>
      <c r="J416" s="520" t="b">
        <f t="shared" si="13"/>
        <v>0</v>
      </c>
      <c r="K416" s="521">
        <f>'Revenue Jrnl'!$G422</f>
        <v>0</v>
      </c>
      <c r="L416" s="522"/>
      <c r="M416" s="523"/>
      <c r="N416" s="524">
        <f>'Revenue Jrnl'!$H212</f>
        <v>0</v>
      </c>
    </row>
    <row r="417" spans="2:14" s="1" customFormat="1" ht="30" hidden="1" customHeight="1" x14ac:dyDescent="0.2">
      <c r="B417" s="517">
        <f>IF(AND('Revenue Jrnl'!G423&lt;&gt;"",'Revenue Jrnl'!C423&lt;&gt;""),1,0)</f>
        <v>0</v>
      </c>
      <c r="C417" s="517">
        <f>'Revenue Jrnl'!$C423</f>
        <v>0</v>
      </c>
      <c r="D417" s="518">
        <f>'Revenue Jrnl'!$D423</f>
        <v>0</v>
      </c>
      <c r="E417" s="1523">
        <f>'Revenue Jrnl'!$F423</f>
        <v>0</v>
      </c>
      <c r="F417" s="1523"/>
      <c r="G417" s="519" t="str">
        <f>IF('Revenue Jrnl'!$E423="","",'Revenue Jrnl'!$E423)</f>
        <v/>
      </c>
      <c r="H417" s="518">
        <f>'Revenue Jrnl'!H423</f>
        <v>0</v>
      </c>
      <c r="I417" s="518" t="str">
        <f t="shared" si="12"/>
        <v>0</v>
      </c>
      <c r="J417" s="520" t="b">
        <f t="shared" si="13"/>
        <v>0</v>
      </c>
      <c r="K417" s="521">
        <f>'Revenue Jrnl'!$G423</f>
        <v>0</v>
      </c>
      <c r="L417" s="522"/>
      <c r="M417" s="523"/>
      <c r="N417" s="524">
        <f>'Revenue Jrnl'!$H213</f>
        <v>0</v>
      </c>
    </row>
    <row r="418" spans="2:14" s="1" customFormat="1" ht="30" hidden="1" customHeight="1" x14ac:dyDescent="0.2">
      <c r="B418" s="517">
        <f>IF(AND('Revenue Jrnl'!G424&lt;&gt;"",'Revenue Jrnl'!C424&lt;&gt;""),1,0)</f>
        <v>0</v>
      </c>
      <c r="C418" s="517">
        <f>'Revenue Jrnl'!$C424</f>
        <v>0</v>
      </c>
      <c r="D418" s="518">
        <f>'Revenue Jrnl'!$D424</f>
        <v>0</v>
      </c>
      <c r="E418" s="1523">
        <f>'Revenue Jrnl'!$F424</f>
        <v>0</v>
      </c>
      <c r="F418" s="1523"/>
      <c r="G418" s="519" t="str">
        <f>IF('Revenue Jrnl'!$E424="","",'Revenue Jrnl'!$E424)</f>
        <v/>
      </c>
      <c r="H418" s="518">
        <f>'Revenue Jrnl'!H424</f>
        <v>0</v>
      </c>
      <c r="I418" s="518" t="str">
        <f t="shared" si="12"/>
        <v>0</v>
      </c>
      <c r="J418" s="520" t="b">
        <f t="shared" si="13"/>
        <v>0</v>
      </c>
      <c r="K418" s="521">
        <f>'Revenue Jrnl'!$G424</f>
        <v>0</v>
      </c>
      <c r="L418" s="522"/>
      <c r="M418" s="523"/>
      <c r="N418" s="524">
        <f>'Revenue Jrnl'!$H214</f>
        <v>0</v>
      </c>
    </row>
    <row r="419" spans="2:14" s="1" customFormat="1" ht="30" hidden="1" customHeight="1" x14ac:dyDescent="0.2">
      <c r="B419" s="517">
        <f>IF(AND('Revenue Jrnl'!G425&lt;&gt;"",'Revenue Jrnl'!C425&lt;&gt;""),1,0)</f>
        <v>0</v>
      </c>
      <c r="C419" s="517">
        <f>'Revenue Jrnl'!$C425</f>
        <v>0</v>
      </c>
      <c r="D419" s="518">
        <f>'Revenue Jrnl'!$D425</f>
        <v>0</v>
      </c>
      <c r="E419" s="1523">
        <f>'Revenue Jrnl'!$F425</f>
        <v>0</v>
      </c>
      <c r="F419" s="1523"/>
      <c r="G419" s="519" t="str">
        <f>IF('Revenue Jrnl'!$E425="","",'Revenue Jrnl'!$E425)</f>
        <v/>
      </c>
      <c r="H419" s="518">
        <f>'Revenue Jrnl'!H425</f>
        <v>0</v>
      </c>
      <c r="I419" s="518" t="str">
        <f t="shared" si="12"/>
        <v>0</v>
      </c>
      <c r="J419" s="520" t="b">
        <f t="shared" si="13"/>
        <v>0</v>
      </c>
      <c r="K419" s="521">
        <f>'Revenue Jrnl'!$G425</f>
        <v>0</v>
      </c>
      <c r="L419" s="522"/>
      <c r="M419" s="523"/>
      <c r="N419" s="524">
        <f>'Revenue Jrnl'!$H215</f>
        <v>0</v>
      </c>
    </row>
    <row r="420" spans="2:14" s="1" customFormat="1" ht="30" hidden="1" customHeight="1" x14ac:dyDescent="0.2">
      <c r="B420" s="517">
        <f>IF(AND('Revenue Jrnl'!G426&lt;&gt;"",'Revenue Jrnl'!C426&lt;&gt;""),1,0)</f>
        <v>0</v>
      </c>
      <c r="C420" s="517">
        <f>'Revenue Jrnl'!$C426</f>
        <v>0</v>
      </c>
      <c r="D420" s="518">
        <f>'Revenue Jrnl'!$D426</f>
        <v>0</v>
      </c>
      <c r="E420" s="1523">
        <f>'Revenue Jrnl'!$F426</f>
        <v>0</v>
      </c>
      <c r="F420" s="1523"/>
      <c r="G420" s="519" t="str">
        <f>IF('Revenue Jrnl'!$E426="","",'Revenue Jrnl'!$E426)</f>
        <v/>
      </c>
      <c r="H420" s="518">
        <f>'Revenue Jrnl'!H426</f>
        <v>0</v>
      </c>
      <c r="I420" s="518" t="str">
        <f t="shared" si="12"/>
        <v>0</v>
      </c>
      <c r="J420" s="520" t="b">
        <f t="shared" si="13"/>
        <v>0</v>
      </c>
      <c r="K420" s="521">
        <f>'Revenue Jrnl'!$G426</f>
        <v>0</v>
      </c>
      <c r="L420" s="522"/>
      <c r="M420" s="523"/>
      <c r="N420" s="524">
        <f>'Revenue Jrnl'!$H216</f>
        <v>0</v>
      </c>
    </row>
    <row r="421" spans="2:14" s="1" customFormat="1" ht="30" hidden="1" customHeight="1" x14ac:dyDescent="0.2">
      <c r="B421" s="517">
        <f>IF(AND('Revenue Jrnl'!G427&lt;&gt;"",'Revenue Jrnl'!C427&lt;&gt;""),1,0)</f>
        <v>0</v>
      </c>
      <c r="C421" s="517">
        <f>'Revenue Jrnl'!$C427</f>
        <v>0</v>
      </c>
      <c r="D421" s="518">
        <f>'Revenue Jrnl'!$D427</f>
        <v>0</v>
      </c>
      <c r="E421" s="1523">
        <f>'Revenue Jrnl'!$F427</f>
        <v>0</v>
      </c>
      <c r="F421" s="1523"/>
      <c r="G421" s="519" t="str">
        <f>IF('Revenue Jrnl'!$E427="","",'Revenue Jrnl'!$E427)</f>
        <v/>
      </c>
      <c r="H421" s="518">
        <f>'Revenue Jrnl'!H427</f>
        <v>0</v>
      </c>
      <c r="I421" s="518" t="str">
        <f t="shared" si="12"/>
        <v>0</v>
      </c>
      <c r="J421" s="520" t="b">
        <f t="shared" si="13"/>
        <v>0</v>
      </c>
      <c r="K421" s="521">
        <f>'Revenue Jrnl'!$G427</f>
        <v>0</v>
      </c>
      <c r="L421" s="522"/>
      <c r="M421" s="523"/>
      <c r="N421" s="524">
        <f>'Revenue Jrnl'!$H217</f>
        <v>0</v>
      </c>
    </row>
    <row r="422" spans="2:14" s="1" customFormat="1" ht="30" hidden="1" customHeight="1" x14ac:dyDescent="0.2">
      <c r="B422" s="517">
        <f>IF(AND('Revenue Jrnl'!G428&lt;&gt;"",'Revenue Jrnl'!C428&lt;&gt;""),1,0)</f>
        <v>0</v>
      </c>
      <c r="C422" s="517">
        <f>'Revenue Jrnl'!$C428</f>
        <v>0</v>
      </c>
      <c r="D422" s="518">
        <f>'Revenue Jrnl'!$D428</f>
        <v>0</v>
      </c>
      <c r="E422" s="1523">
        <f>'Revenue Jrnl'!$F428</f>
        <v>0</v>
      </c>
      <c r="F422" s="1523"/>
      <c r="G422" s="519" t="str">
        <f>IF('Revenue Jrnl'!$E428="","",'Revenue Jrnl'!$E428)</f>
        <v/>
      </c>
      <c r="H422" s="518">
        <f>'Revenue Jrnl'!H428</f>
        <v>0</v>
      </c>
      <c r="I422" s="518" t="str">
        <f t="shared" si="12"/>
        <v>0</v>
      </c>
      <c r="J422" s="520" t="b">
        <f t="shared" si="13"/>
        <v>0</v>
      </c>
      <c r="K422" s="521">
        <f>'Revenue Jrnl'!$G428</f>
        <v>0</v>
      </c>
      <c r="L422" s="522"/>
      <c r="M422" s="523"/>
      <c r="N422" s="524">
        <f>'Revenue Jrnl'!$H218</f>
        <v>0</v>
      </c>
    </row>
    <row r="423" spans="2:14" s="1" customFormat="1" ht="30" hidden="1" customHeight="1" x14ac:dyDescent="0.2">
      <c r="B423" s="517">
        <f>IF(AND('Revenue Jrnl'!G429&lt;&gt;"",'Revenue Jrnl'!C429&lt;&gt;""),1,0)</f>
        <v>0</v>
      </c>
      <c r="C423" s="517">
        <f>'Revenue Jrnl'!$C429</f>
        <v>0</v>
      </c>
      <c r="D423" s="518">
        <f>'Revenue Jrnl'!$D429</f>
        <v>0</v>
      </c>
      <c r="E423" s="1523">
        <f>'Revenue Jrnl'!$F429</f>
        <v>0</v>
      </c>
      <c r="F423" s="1523"/>
      <c r="G423" s="519" t="str">
        <f>IF('Revenue Jrnl'!$E429="","",'Revenue Jrnl'!$E429)</f>
        <v/>
      </c>
      <c r="H423" s="518">
        <f>'Revenue Jrnl'!H429</f>
        <v>0</v>
      </c>
      <c r="I423" s="518" t="str">
        <f t="shared" si="12"/>
        <v>0</v>
      </c>
      <c r="J423" s="520" t="b">
        <f t="shared" si="13"/>
        <v>0</v>
      </c>
      <c r="K423" s="521">
        <f>'Revenue Jrnl'!$G429</f>
        <v>0</v>
      </c>
      <c r="L423" s="522"/>
      <c r="M423" s="523"/>
      <c r="N423" s="524">
        <f>'Revenue Jrnl'!$H219</f>
        <v>0</v>
      </c>
    </row>
    <row r="424" spans="2:14" s="1" customFormat="1" ht="30" hidden="1" customHeight="1" x14ac:dyDescent="0.2">
      <c r="B424" s="517">
        <f>IF(AND('Revenue Jrnl'!G430&lt;&gt;"",'Revenue Jrnl'!C430&lt;&gt;""),1,0)</f>
        <v>0</v>
      </c>
      <c r="C424" s="517">
        <f>'Revenue Jrnl'!$C430</f>
        <v>0</v>
      </c>
      <c r="D424" s="518">
        <f>'Revenue Jrnl'!$D430</f>
        <v>0</v>
      </c>
      <c r="E424" s="1523">
        <f>'Revenue Jrnl'!$F430</f>
        <v>0</v>
      </c>
      <c r="F424" s="1523"/>
      <c r="G424" s="519" t="str">
        <f>IF('Revenue Jrnl'!$E430="","",'Revenue Jrnl'!$E430)</f>
        <v/>
      </c>
      <c r="H424" s="518">
        <f>'Revenue Jrnl'!H430</f>
        <v>0</v>
      </c>
      <c r="I424" s="518" t="str">
        <f t="shared" si="12"/>
        <v>0</v>
      </c>
      <c r="J424" s="520" t="b">
        <f t="shared" si="13"/>
        <v>0</v>
      </c>
      <c r="K424" s="521">
        <f>'Revenue Jrnl'!$G430</f>
        <v>0</v>
      </c>
      <c r="L424" s="522"/>
      <c r="M424" s="523"/>
      <c r="N424" s="524">
        <f>'Revenue Jrnl'!$H220</f>
        <v>0</v>
      </c>
    </row>
    <row r="425" spans="2:14" s="1" customFormat="1" ht="30" hidden="1" customHeight="1" x14ac:dyDescent="0.2">
      <c r="B425" s="517">
        <f>IF(AND('Revenue Jrnl'!G431&lt;&gt;"",'Revenue Jrnl'!C431&lt;&gt;""),1,0)</f>
        <v>0</v>
      </c>
      <c r="C425" s="517">
        <f>'Revenue Jrnl'!$C431</f>
        <v>0</v>
      </c>
      <c r="D425" s="518">
        <f>'Revenue Jrnl'!$D431</f>
        <v>0</v>
      </c>
      <c r="E425" s="1523">
        <f>'Revenue Jrnl'!$F431</f>
        <v>0</v>
      </c>
      <c r="F425" s="1523"/>
      <c r="G425" s="519" t="str">
        <f>IF('Revenue Jrnl'!$E431="","",'Revenue Jrnl'!$E431)</f>
        <v/>
      </c>
      <c r="H425" s="518">
        <f>'Revenue Jrnl'!H431</f>
        <v>0</v>
      </c>
      <c r="I425" s="518" t="str">
        <f t="shared" si="12"/>
        <v>0</v>
      </c>
      <c r="J425" s="520" t="b">
        <f t="shared" si="13"/>
        <v>0</v>
      </c>
      <c r="K425" s="521">
        <f>'Revenue Jrnl'!$G431</f>
        <v>0</v>
      </c>
      <c r="L425" s="522"/>
      <c r="M425" s="523"/>
      <c r="N425" s="524">
        <f>'Revenue Jrnl'!$H221</f>
        <v>0</v>
      </c>
    </row>
    <row r="426" spans="2:14" s="1" customFormat="1" ht="30" hidden="1" customHeight="1" x14ac:dyDescent="0.2">
      <c r="B426" s="517">
        <f>IF(AND('Revenue Jrnl'!G432&lt;&gt;"",'Revenue Jrnl'!C432&lt;&gt;""),1,0)</f>
        <v>0</v>
      </c>
      <c r="C426" s="517">
        <f>'Revenue Jrnl'!$C432</f>
        <v>0</v>
      </c>
      <c r="D426" s="518">
        <f>'Revenue Jrnl'!$D432</f>
        <v>0</v>
      </c>
      <c r="E426" s="1523">
        <f>'Revenue Jrnl'!$F432</f>
        <v>0</v>
      </c>
      <c r="F426" s="1523"/>
      <c r="G426" s="519" t="str">
        <f>IF('Revenue Jrnl'!$E432="","",'Revenue Jrnl'!$E432)</f>
        <v/>
      </c>
      <c r="H426" s="518">
        <f>'Revenue Jrnl'!H432</f>
        <v>0</v>
      </c>
      <c r="I426" s="518" t="str">
        <f t="shared" si="12"/>
        <v>0</v>
      </c>
      <c r="J426" s="520" t="b">
        <f t="shared" si="13"/>
        <v>0</v>
      </c>
      <c r="K426" s="521">
        <f>'Revenue Jrnl'!$G432</f>
        <v>0</v>
      </c>
      <c r="L426" s="522"/>
      <c r="M426" s="523"/>
      <c r="N426" s="524">
        <f>'Revenue Jrnl'!$H222</f>
        <v>0</v>
      </c>
    </row>
    <row r="427" spans="2:14" s="1" customFormat="1" ht="30" hidden="1" customHeight="1" x14ac:dyDescent="0.2">
      <c r="B427" s="517">
        <f>IF(AND('Revenue Jrnl'!G433&lt;&gt;"",'Revenue Jrnl'!C433&lt;&gt;""),1,0)</f>
        <v>0</v>
      </c>
      <c r="C427" s="517">
        <f>'Revenue Jrnl'!$C433</f>
        <v>0</v>
      </c>
      <c r="D427" s="518">
        <f>'Revenue Jrnl'!$D433</f>
        <v>0</v>
      </c>
      <c r="E427" s="1523">
        <f>'Revenue Jrnl'!$F433</f>
        <v>0</v>
      </c>
      <c r="F427" s="1523"/>
      <c r="G427" s="519" t="str">
        <f>IF('Revenue Jrnl'!$E433="","",'Revenue Jrnl'!$E433)</f>
        <v/>
      </c>
      <c r="H427" s="518">
        <f>'Revenue Jrnl'!H433</f>
        <v>0</v>
      </c>
      <c r="I427" s="518" t="str">
        <f t="shared" si="12"/>
        <v>0</v>
      </c>
      <c r="J427" s="520" t="b">
        <f t="shared" si="13"/>
        <v>0</v>
      </c>
      <c r="K427" s="521">
        <f>'Revenue Jrnl'!$G433</f>
        <v>0</v>
      </c>
      <c r="L427" s="522"/>
      <c r="M427" s="523"/>
      <c r="N427" s="524">
        <f>'Revenue Jrnl'!$H223</f>
        <v>0</v>
      </c>
    </row>
    <row r="428" spans="2:14" s="1" customFormat="1" ht="30" hidden="1" customHeight="1" x14ac:dyDescent="0.2">
      <c r="B428" s="517">
        <f>IF(AND('Revenue Jrnl'!G434&lt;&gt;"",'Revenue Jrnl'!C434&lt;&gt;""),1,0)</f>
        <v>0</v>
      </c>
      <c r="C428" s="517">
        <f>'Revenue Jrnl'!$C434</f>
        <v>0</v>
      </c>
      <c r="D428" s="518">
        <f>'Revenue Jrnl'!$D434</f>
        <v>0</v>
      </c>
      <c r="E428" s="1523">
        <f>'Revenue Jrnl'!$F434</f>
        <v>0</v>
      </c>
      <c r="F428" s="1523"/>
      <c r="G428" s="519" t="str">
        <f>IF('Revenue Jrnl'!$E434="","",'Revenue Jrnl'!$E434)</f>
        <v/>
      </c>
      <c r="H428" s="518">
        <f>'Revenue Jrnl'!H434</f>
        <v>0</v>
      </c>
      <c r="I428" s="518" t="str">
        <f t="shared" si="12"/>
        <v>0</v>
      </c>
      <c r="J428" s="520" t="b">
        <f t="shared" si="13"/>
        <v>0</v>
      </c>
      <c r="K428" s="521">
        <f>'Revenue Jrnl'!$G434</f>
        <v>0</v>
      </c>
      <c r="L428" s="522"/>
      <c r="M428" s="523"/>
      <c r="N428" s="524">
        <f>'Revenue Jrnl'!$H224</f>
        <v>0</v>
      </c>
    </row>
    <row r="429" spans="2:14" s="1" customFormat="1" ht="30" hidden="1" customHeight="1" x14ac:dyDescent="0.2">
      <c r="B429" s="517">
        <f>IF(AND('Revenue Jrnl'!G435&lt;&gt;"",'Revenue Jrnl'!C435&lt;&gt;""),1,0)</f>
        <v>0</v>
      </c>
      <c r="C429" s="517">
        <f>'Revenue Jrnl'!$C435</f>
        <v>0</v>
      </c>
      <c r="D429" s="518">
        <f>'Revenue Jrnl'!$D435</f>
        <v>0</v>
      </c>
      <c r="E429" s="1523">
        <f>'Revenue Jrnl'!$F435</f>
        <v>0</v>
      </c>
      <c r="F429" s="1523"/>
      <c r="G429" s="519" t="str">
        <f>IF('Revenue Jrnl'!$E435="","",'Revenue Jrnl'!$E435)</f>
        <v/>
      </c>
      <c r="H429" s="518">
        <f>'Revenue Jrnl'!H435</f>
        <v>0</v>
      </c>
      <c r="I429" s="518" t="str">
        <f t="shared" si="12"/>
        <v>0</v>
      </c>
      <c r="J429" s="520" t="b">
        <f t="shared" si="13"/>
        <v>0</v>
      </c>
      <c r="K429" s="521">
        <f>'Revenue Jrnl'!$G435</f>
        <v>0</v>
      </c>
      <c r="L429" s="522"/>
      <c r="M429" s="523"/>
      <c r="N429" s="524">
        <f>'Revenue Jrnl'!$H225</f>
        <v>0</v>
      </c>
    </row>
    <row r="430" spans="2:14" s="1" customFormat="1" ht="30" hidden="1" customHeight="1" x14ac:dyDescent="0.2">
      <c r="B430" s="517">
        <f>IF(AND('Revenue Jrnl'!G436&lt;&gt;"",'Revenue Jrnl'!C436&lt;&gt;""),1,0)</f>
        <v>0</v>
      </c>
      <c r="C430" s="517">
        <f>'Revenue Jrnl'!$C436</f>
        <v>0</v>
      </c>
      <c r="D430" s="518">
        <f>'Revenue Jrnl'!$D436</f>
        <v>0</v>
      </c>
      <c r="E430" s="1523">
        <f>'Revenue Jrnl'!$F436</f>
        <v>0</v>
      </c>
      <c r="F430" s="1523"/>
      <c r="G430" s="519" t="str">
        <f>IF('Revenue Jrnl'!$E436="","",'Revenue Jrnl'!$E436)</f>
        <v/>
      </c>
      <c r="H430" s="518">
        <f>'Revenue Jrnl'!H436</f>
        <v>0</v>
      </c>
      <c r="I430" s="518" t="str">
        <f t="shared" si="12"/>
        <v>0</v>
      </c>
      <c r="J430" s="520" t="b">
        <f t="shared" si="13"/>
        <v>0</v>
      </c>
      <c r="K430" s="521">
        <f>'Revenue Jrnl'!$G436</f>
        <v>0</v>
      </c>
      <c r="L430" s="522"/>
      <c r="M430" s="523"/>
      <c r="N430" s="524">
        <f>'Revenue Jrnl'!$H226</f>
        <v>0</v>
      </c>
    </row>
    <row r="431" spans="2:14" s="1" customFormat="1" ht="30" hidden="1" customHeight="1" x14ac:dyDescent="0.2">
      <c r="B431" s="517">
        <f>IF(AND('Revenue Jrnl'!G437&lt;&gt;"",'Revenue Jrnl'!C437&lt;&gt;""),1,0)</f>
        <v>0</v>
      </c>
      <c r="C431" s="517">
        <f>'Revenue Jrnl'!$C437</f>
        <v>0</v>
      </c>
      <c r="D431" s="518">
        <f>'Revenue Jrnl'!$D437</f>
        <v>0</v>
      </c>
      <c r="E431" s="1523">
        <f>'Revenue Jrnl'!$F437</f>
        <v>0</v>
      </c>
      <c r="F431" s="1523"/>
      <c r="G431" s="519" t="str">
        <f>IF('Revenue Jrnl'!$E437="","",'Revenue Jrnl'!$E437)</f>
        <v/>
      </c>
      <c r="H431" s="518">
        <f>'Revenue Jrnl'!H437</f>
        <v>0</v>
      </c>
      <c r="I431" s="518" t="str">
        <f t="shared" si="12"/>
        <v>0</v>
      </c>
      <c r="J431" s="520" t="b">
        <f t="shared" si="13"/>
        <v>0</v>
      </c>
      <c r="K431" s="521">
        <f>'Revenue Jrnl'!$G437</f>
        <v>0</v>
      </c>
      <c r="L431" s="522"/>
      <c r="M431" s="523"/>
      <c r="N431" s="524">
        <f>'Revenue Jrnl'!$H227</f>
        <v>0</v>
      </c>
    </row>
    <row r="432" spans="2:14" s="1" customFormat="1" ht="30" hidden="1" customHeight="1" x14ac:dyDescent="0.2">
      <c r="B432" s="517">
        <f>IF(AND('Revenue Jrnl'!G438&lt;&gt;"",'Revenue Jrnl'!C438&lt;&gt;""),1,0)</f>
        <v>0</v>
      </c>
      <c r="C432" s="517">
        <f>'Revenue Jrnl'!$C438</f>
        <v>0</v>
      </c>
      <c r="D432" s="518">
        <f>'Revenue Jrnl'!$D438</f>
        <v>0</v>
      </c>
      <c r="E432" s="1523">
        <f>'Revenue Jrnl'!$F438</f>
        <v>0</v>
      </c>
      <c r="F432" s="1523"/>
      <c r="G432" s="519" t="str">
        <f>IF('Revenue Jrnl'!$E438="","",'Revenue Jrnl'!$E438)</f>
        <v/>
      </c>
      <c r="H432" s="518">
        <f>'Revenue Jrnl'!H438</f>
        <v>0</v>
      </c>
      <c r="I432" s="518" t="str">
        <f t="shared" si="12"/>
        <v>0</v>
      </c>
      <c r="J432" s="520" t="b">
        <f t="shared" si="13"/>
        <v>0</v>
      </c>
      <c r="K432" s="521">
        <f>'Revenue Jrnl'!$G438</f>
        <v>0</v>
      </c>
      <c r="L432" s="522"/>
      <c r="M432" s="523"/>
      <c r="N432" s="524">
        <f>'Revenue Jrnl'!$H228</f>
        <v>0</v>
      </c>
    </row>
    <row r="433" spans="2:14" s="1" customFormat="1" ht="30" hidden="1" customHeight="1" x14ac:dyDescent="0.2">
      <c r="B433" s="517">
        <f>IF(AND('Revenue Jrnl'!G439&lt;&gt;"",'Revenue Jrnl'!C439&lt;&gt;""),1,0)</f>
        <v>0</v>
      </c>
      <c r="C433" s="517">
        <f>'Revenue Jrnl'!$C439</f>
        <v>0</v>
      </c>
      <c r="D433" s="518">
        <f>'Revenue Jrnl'!$D439</f>
        <v>0</v>
      </c>
      <c r="E433" s="1523">
        <f>'Revenue Jrnl'!$F439</f>
        <v>0</v>
      </c>
      <c r="F433" s="1523"/>
      <c r="G433" s="519" t="str">
        <f>IF('Revenue Jrnl'!$E439="","",'Revenue Jrnl'!$E439)</f>
        <v/>
      </c>
      <c r="H433" s="518">
        <f>'Revenue Jrnl'!H439</f>
        <v>0</v>
      </c>
      <c r="I433" s="518" t="str">
        <f t="shared" si="12"/>
        <v>0</v>
      </c>
      <c r="J433" s="520" t="b">
        <f t="shared" si="13"/>
        <v>0</v>
      </c>
      <c r="K433" s="521">
        <f>'Revenue Jrnl'!$G439</f>
        <v>0</v>
      </c>
      <c r="L433" s="522"/>
      <c r="M433" s="523"/>
      <c r="N433" s="524">
        <f>'Revenue Jrnl'!$H229</f>
        <v>0</v>
      </c>
    </row>
    <row r="434" spans="2:14" s="1" customFormat="1" ht="30" hidden="1" customHeight="1" x14ac:dyDescent="0.2">
      <c r="B434" s="517">
        <f>IF(AND('Revenue Jrnl'!G440&lt;&gt;"",'Revenue Jrnl'!C440&lt;&gt;""),1,0)</f>
        <v>0</v>
      </c>
      <c r="C434" s="517">
        <f>'Revenue Jrnl'!$C440</f>
        <v>0</v>
      </c>
      <c r="D434" s="518">
        <f>'Revenue Jrnl'!$D440</f>
        <v>0</v>
      </c>
      <c r="E434" s="1523">
        <f>'Revenue Jrnl'!$F440</f>
        <v>0</v>
      </c>
      <c r="F434" s="1523"/>
      <c r="G434" s="519" t="str">
        <f>IF('Revenue Jrnl'!$E440="","",'Revenue Jrnl'!$E440)</f>
        <v/>
      </c>
      <c r="H434" s="518">
        <f>'Revenue Jrnl'!H440</f>
        <v>0</v>
      </c>
      <c r="I434" s="518" t="str">
        <f t="shared" si="12"/>
        <v>0</v>
      </c>
      <c r="J434" s="520" t="b">
        <f t="shared" si="13"/>
        <v>0</v>
      </c>
      <c r="K434" s="521">
        <f>'Revenue Jrnl'!$G440</f>
        <v>0</v>
      </c>
      <c r="L434" s="522"/>
      <c r="M434" s="523"/>
      <c r="N434" s="524">
        <f>'Revenue Jrnl'!$H230</f>
        <v>0</v>
      </c>
    </row>
    <row r="435" spans="2:14" s="1" customFormat="1" ht="30" hidden="1" customHeight="1" x14ac:dyDescent="0.2">
      <c r="B435" s="517">
        <f>IF(AND('Revenue Jrnl'!G441&lt;&gt;"",'Revenue Jrnl'!C441&lt;&gt;""),1,0)</f>
        <v>0</v>
      </c>
      <c r="C435" s="517">
        <f>'Revenue Jrnl'!$C441</f>
        <v>0</v>
      </c>
      <c r="D435" s="518">
        <f>'Revenue Jrnl'!$D441</f>
        <v>0</v>
      </c>
      <c r="E435" s="1523">
        <f>'Revenue Jrnl'!$F441</f>
        <v>0</v>
      </c>
      <c r="F435" s="1523"/>
      <c r="G435" s="519" t="str">
        <f>IF('Revenue Jrnl'!$E441="","",'Revenue Jrnl'!$E441)</f>
        <v/>
      </c>
      <c r="H435" s="518">
        <f>'Revenue Jrnl'!H441</f>
        <v>0</v>
      </c>
      <c r="I435" s="518" t="str">
        <f t="shared" si="12"/>
        <v>0</v>
      </c>
      <c r="J435" s="520" t="b">
        <f t="shared" si="13"/>
        <v>0</v>
      </c>
      <c r="K435" s="521">
        <f>'Revenue Jrnl'!$G441</f>
        <v>0</v>
      </c>
      <c r="L435" s="522"/>
      <c r="M435" s="523"/>
      <c r="N435" s="524">
        <f>'Revenue Jrnl'!$H231</f>
        <v>0</v>
      </c>
    </row>
    <row r="436" spans="2:14" s="1" customFormat="1" ht="30" hidden="1" customHeight="1" x14ac:dyDescent="0.2">
      <c r="B436" s="517">
        <f>IF(AND('Revenue Jrnl'!G442&lt;&gt;"",'Revenue Jrnl'!C442&lt;&gt;""),1,0)</f>
        <v>0</v>
      </c>
      <c r="C436" s="517">
        <f>'Revenue Jrnl'!$C442</f>
        <v>0</v>
      </c>
      <c r="D436" s="518">
        <f>'Revenue Jrnl'!$D442</f>
        <v>0</v>
      </c>
      <c r="E436" s="1523">
        <f>'Revenue Jrnl'!$F442</f>
        <v>0</v>
      </c>
      <c r="F436" s="1523"/>
      <c r="G436" s="519" t="str">
        <f>IF('Revenue Jrnl'!$E442="","",'Revenue Jrnl'!$E442)</f>
        <v/>
      </c>
      <c r="H436" s="518">
        <f>'Revenue Jrnl'!H442</f>
        <v>0</v>
      </c>
      <c r="I436" s="518" t="str">
        <f t="shared" si="12"/>
        <v>0</v>
      </c>
      <c r="J436" s="520" t="b">
        <f t="shared" si="13"/>
        <v>0</v>
      </c>
      <c r="K436" s="521">
        <f>'Revenue Jrnl'!$G442</f>
        <v>0</v>
      </c>
      <c r="L436" s="522"/>
      <c r="M436" s="523"/>
      <c r="N436" s="524">
        <f>'Revenue Jrnl'!$H232</f>
        <v>0</v>
      </c>
    </row>
    <row r="437" spans="2:14" s="1" customFormat="1" ht="30" hidden="1" customHeight="1" x14ac:dyDescent="0.2">
      <c r="B437" s="517">
        <f>IF(AND('Revenue Jrnl'!G443&lt;&gt;"",'Revenue Jrnl'!C443&lt;&gt;""),1,0)</f>
        <v>0</v>
      </c>
      <c r="C437" s="517">
        <f>'Revenue Jrnl'!$C443</f>
        <v>0</v>
      </c>
      <c r="D437" s="518">
        <f>'Revenue Jrnl'!$D443</f>
        <v>0</v>
      </c>
      <c r="E437" s="1523">
        <f>'Revenue Jrnl'!$F443</f>
        <v>0</v>
      </c>
      <c r="F437" s="1523"/>
      <c r="G437" s="519" t="str">
        <f>IF('Revenue Jrnl'!$E443="","",'Revenue Jrnl'!$E443)</f>
        <v/>
      </c>
      <c r="H437" s="518">
        <f>'Revenue Jrnl'!H443</f>
        <v>0</v>
      </c>
      <c r="I437" s="518" t="str">
        <f t="shared" si="12"/>
        <v>0</v>
      </c>
      <c r="J437" s="520" t="b">
        <f t="shared" si="13"/>
        <v>0</v>
      </c>
      <c r="K437" s="521">
        <f>'Revenue Jrnl'!$G443</f>
        <v>0</v>
      </c>
      <c r="L437" s="522"/>
      <c r="M437" s="523"/>
      <c r="N437" s="524">
        <f>'Revenue Jrnl'!$H233</f>
        <v>0</v>
      </c>
    </row>
    <row r="438" spans="2:14" s="1" customFormat="1" ht="30" hidden="1" customHeight="1" x14ac:dyDescent="0.2">
      <c r="B438" s="517">
        <f>IF(AND('Revenue Jrnl'!G444&lt;&gt;"",'Revenue Jrnl'!C444&lt;&gt;""),1,0)</f>
        <v>0</v>
      </c>
      <c r="C438" s="517">
        <f>'Revenue Jrnl'!$C444</f>
        <v>0</v>
      </c>
      <c r="D438" s="518">
        <f>'Revenue Jrnl'!$D444</f>
        <v>0</v>
      </c>
      <c r="E438" s="1523">
        <f>'Revenue Jrnl'!$F444</f>
        <v>0</v>
      </c>
      <c r="F438" s="1523"/>
      <c r="G438" s="519" t="str">
        <f>IF('Revenue Jrnl'!$E444="","",'Revenue Jrnl'!$E444)</f>
        <v/>
      </c>
      <c r="H438" s="518">
        <f>'Revenue Jrnl'!H444</f>
        <v>0</v>
      </c>
      <c r="I438" s="518" t="str">
        <f t="shared" si="12"/>
        <v>0</v>
      </c>
      <c r="J438" s="520" t="b">
        <f t="shared" si="13"/>
        <v>0</v>
      </c>
      <c r="K438" s="521">
        <f>'Revenue Jrnl'!$G444</f>
        <v>0</v>
      </c>
      <c r="L438" s="522"/>
      <c r="M438" s="523"/>
      <c r="N438" s="524">
        <f>'Revenue Jrnl'!$H234</f>
        <v>0</v>
      </c>
    </row>
    <row r="439" spans="2:14" s="1" customFormat="1" ht="30" hidden="1" customHeight="1" x14ac:dyDescent="0.2">
      <c r="B439" s="517">
        <f>IF(AND('Revenue Jrnl'!G445&lt;&gt;"",'Revenue Jrnl'!C445&lt;&gt;""),1,0)</f>
        <v>0</v>
      </c>
      <c r="C439" s="517">
        <f>'Revenue Jrnl'!$C445</f>
        <v>0</v>
      </c>
      <c r="D439" s="518">
        <f>'Revenue Jrnl'!$D445</f>
        <v>0</v>
      </c>
      <c r="E439" s="1523">
        <f>'Revenue Jrnl'!$F445</f>
        <v>0</v>
      </c>
      <c r="F439" s="1523"/>
      <c r="G439" s="519" t="str">
        <f>IF('Revenue Jrnl'!$E445="","",'Revenue Jrnl'!$E445)</f>
        <v/>
      </c>
      <c r="H439" s="518">
        <f>'Revenue Jrnl'!H445</f>
        <v>0</v>
      </c>
      <c r="I439" s="518" t="str">
        <f t="shared" si="12"/>
        <v>0</v>
      </c>
      <c r="J439" s="520" t="b">
        <f t="shared" si="13"/>
        <v>0</v>
      </c>
      <c r="K439" s="521">
        <f>'Revenue Jrnl'!$G445</f>
        <v>0</v>
      </c>
      <c r="L439" s="522"/>
      <c r="M439" s="523"/>
      <c r="N439" s="524">
        <f>'Revenue Jrnl'!$H235</f>
        <v>0</v>
      </c>
    </row>
    <row r="440" spans="2:14" s="1" customFormat="1" ht="30" hidden="1" customHeight="1" x14ac:dyDescent="0.2">
      <c r="B440" s="517">
        <f>IF(AND('Revenue Jrnl'!G446&lt;&gt;"",'Revenue Jrnl'!C446&lt;&gt;""),1,0)</f>
        <v>0</v>
      </c>
      <c r="C440" s="517">
        <f>'Revenue Jrnl'!$C446</f>
        <v>0</v>
      </c>
      <c r="D440" s="518">
        <f>'Revenue Jrnl'!$D446</f>
        <v>0</v>
      </c>
      <c r="E440" s="1523">
        <f>'Revenue Jrnl'!$F446</f>
        <v>0</v>
      </c>
      <c r="F440" s="1523"/>
      <c r="G440" s="519" t="str">
        <f>IF('Revenue Jrnl'!$E446="","",'Revenue Jrnl'!$E446)</f>
        <v/>
      </c>
      <c r="H440" s="518">
        <f>'Revenue Jrnl'!H446</f>
        <v>0</v>
      </c>
      <c r="I440" s="518" t="str">
        <f t="shared" si="12"/>
        <v>0</v>
      </c>
      <c r="J440" s="520" t="b">
        <f t="shared" si="13"/>
        <v>0</v>
      </c>
      <c r="K440" s="521">
        <f>'Revenue Jrnl'!$G446</f>
        <v>0</v>
      </c>
      <c r="L440" s="522"/>
      <c r="M440" s="523"/>
      <c r="N440" s="524">
        <f>'Revenue Jrnl'!$H236</f>
        <v>0</v>
      </c>
    </row>
    <row r="441" spans="2:14" s="1" customFormat="1" ht="30" hidden="1" customHeight="1" x14ac:dyDescent="0.2">
      <c r="B441" s="517">
        <f>IF(AND('Revenue Jrnl'!G447&lt;&gt;"",'Revenue Jrnl'!C447&lt;&gt;""),1,0)</f>
        <v>0</v>
      </c>
      <c r="C441" s="517">
        <f>'Revenue Jrnl'!$C447</f>
        <v>0</v>
      </c>
      <c r="D441" s="518">
        <f>'Revenue Jrnl'!$D447</f>
        <v>0</v>
      </c>
      <c r="E441" s="1523">
        <f>'Revenue Jrnl'!$F447</f>
        <v>0</v>
      </c>
      <c r="F441" s="1523"/>
      <c r="G441" s="519" t="str">
        <f>IF('Revenue Jrnl'!$E447="","",'Revenue Jrnl'!$E447)</f>
        <v/>
      </c>
      <c r="H441" s="518">
        <f>'Revenue Jrnl'!H447</f>
        <v>0</v>
      </c>
      <c r="I441" s="518" t="str">
        <f t="shared" si="12"/>
        <v>0</v>
      </c>
      <c r="J441" s="520" t="b">
        <f t="shared" si="13"/>
        <v>0</v>
      </c>
      <c r="K441" s="521">
        <f>'Revenue Jrnl'!$G447</f>
        <v>0</v>
      </c>
      <c r="L441" s="522"/>
      <c r="M441" s="523"/>
      <c r="N441" s="524">
        <f>'Revenue Jrnl'!$H237</f>
        <v>0</v>
      </c>
    </row>
    <row r="442" spans="2:14" s="1" customFormat="1" ht="30" hidden="1" customHeight="1" x14ac:dyDescent="0.2">
      <c r="B442" s="517">
        <f>IF(AND('Revenue Jrnl'!G448&lt;&gt;"",'Revenue Jrnl'!C448&lt;&gt;""),1,0)</f>
        <v>0</v>
      </c>
      <c r="C442" s="517">
        <f>'Revenue Jrnl'!$C448</f>
        <v>0</v>
      </c>
      <c r="D442" s="518">
        <f>'Revenue Jrnl'!$D448</f>
        <v>0</v>
      </c>
      <c r="E442" s="1523">
        <f>'Revenue Jrnl'!$F448</f>
        <v>0</v>
      </c>
      <c r="F442" s="1523"/>
      <c r="G442" s="519" t="str">
        <f>IF('Revenue Jrnl'!$E448="","",'Revenue Jrnl'!$E448)</f>
        <v/>
      </c>
      <c r="H442" s="518">
        <f>'Revenue Jrnl'!H448</f>
        <v>0</v>
      </c>
      <c r="I442" s="518" t="str">
        <f t="shared" si="12"/>
        <v>0</v>
      </c>
      <c r="J442" s="520" t="b">
        <f t="shared" si="13"/>
        <v>0</v>
      </c>
      <c r="K442" s="521">
        <f>'Revenue Jrnl'!$G448</f>
        <v>0</v>
      </c>
      <c r="L442" s="522"/>
      <c r="M442" s="523"/>
      <c r="N442" s="524">
        <f>'Revenue Jrnl'!$H238</f>
        <v>0</v>
      </c>
    </row>
    <row r="443" spans="2:14" s="1" customFormat="1" ht="30" hidden="1" customHeight="1" x14ac:dyDescent="0.2">
      <c r="B443" s="517">
        <f>IF(AND('Revenue Jrnl'!G449&lt;&gt;"",'Revenue Jrnl'!C449&lt;&gt;""),1,0)</f>
        <v>0</v>
      </c>
      <c r="C443" s="517">
        <f>'Revenue Jrnl'!$C449</f>
        <v>0</v>
      </c>
      <c r="D443" s="518">
        <f>'Revenue Jrnl'!$D449</f>
        <v>0</v>
      </c>
      <c r="E443" s="1523">
        <f>'Revenue Jrnl'!$F449</f>
        <v>0</v>
      </c>
      <c r="F443" s="1523"/>
      <c r="G443" s="519" t="str">
        <f>IF('Revenue Jrnl'!$E449="","",'Revenue Jrnl'!$E449)</f>
        <v/>
      </c>
      <c r="H443" s="518">
        <f>'Revenue Jrnl'!H449</f>
        <v>0</v>
      </c>
      <c r="I443" s="518" t="str">
        <f t="shared" si="12"/>
        <v>0</v>
      </c>
      <c r="J443" s="520" t="b">
        <f t="shared" si="13"/>
        <v>0</v>
      </c>
      <c r="K443" s="521">
        <f>'Revenue Jrnl'!$G449</f>
        <v>0</v>
      </c>
      <c r="L443" s="522"/>
      <c r="M443" s="523"/>
      <c r="N443" s="524">
        <f>'Revenue Jrnl'!$H239</f>
        <v>0</v>
      </c>
    </row>
    <row r="444" spans="2:14" s="1" customFormat="1" ht="30" hidden="1" customHeight="1" x14ac:dyDescent="0.2">
      <c r="B444" s="517">
        <f>IF(AND('Revenue Jrnl'!G450&lt;&gt;"",'Revenue Jrnl'!C450&lt;&gt;""),1,0)</f>
        <v>0</v>
      </c>
      <c r="C444" s="517">
        <f>'Revenue Jrnl'!$C450</f>
        <v>0</v>
      </c>
      <c r="D444" s="518">
        <f>'Revenue Jrnl'!$D450</f>
        <v>0</v>
      </c>
      <c r="E444" s="1523">
        <f>'Revenue Jrnl'!$F450</f>
        <v>0</v>
      </c>
      <c r="F444" s="1523"/>
      <c r="G444" s="519" t="str">
        <f>IF('Revenue Jrnl'!$E450="","",'Revenue Jrnl'!$E450)</f>
        <v/>
      </c>
      <c r="H444" s="518">
        <f>'Revenue Jrnl'!H450</f>
        <v>0</v>
      </c>
      <c r="I444" s="518" t="str">
        <f t="shared" si="12"/>
        <v>0</v>
      </c>
      <c r="J444" s="520" t="b">
        <f t="shared" si="13"/>
        <v>0</v>
      </c>
      <c r="K444" s="521">
        <f>'Revenue Jrnl'!$G450</f>
        <v>0</v>
      </c>
      <c r="L444" s="522"/>
      <c r="M444" s="523"/>
      <c r="N444" s="524">
        <f>'Revenue Jrnl'!$H240</f>
        <v>0</v>
      </c>
    </row>
    <row r="445" spans="2:14" s="1" customFormat="1" ht="30" hidden="1" customHeight="1" x14ac:dyDescent="0.2">
      <c r="B445" s="517">
        <f>IF(AND('Revenue Jrnl'!G451&lt;&gt;"",'Revenue Jrnl'!C451&lt;&gt;""),1,0)</f>
        <v>0</v>
      </c>
      <c r="C445" s="517">
        <f>'Revenue Jrnl'!$C451</f>
        <v>0</v>
      </c>
      <c r="D445" s="518">
        <f>'Revenue Jrnl'!$D451</f>
        <v>0</v>
      </c>
      <c r="E445" s="1523">
        <f>'Revenue Jrnl'!$F451</f>
        <v>0</v>
      </c>
      <c r="F445" s="1523"/>
      <c r="G445" s="519" t="str">
        <f>IF('Revenue Jrnl'!$E451="","",'Revenue Jrnl'!$E451)</f>
        <v/>
      </c>
      <c r="H445" s="518">
        <f>'Revenue Jrnl'!H451</f>
        <v>0</v>
      </c>
      <c r="I445" s="518" t="str">
        <f t="shared" si="12"/>
        <v>0</v>
      </c>
      <c r="J445" s="520" t="b">
        <f t="shared" si="13"/>
        <v>0</v>
      </c>
      <c r="K445" s="521">
        <f>'Revenue Jrnl'!$G451</f>
        <v>0</v>
      </c>
      <c r="L445" s="522"/>
      <c r="M445" s="523"/>
      <c r="N445" s="524">
        <f>'Revenue Jrnl'!$H241</f>
        <v>0</v>
      </c>
    </row>
    <row r="446" spans="2:14" s="1" customFormat="1" ht="30" hidden="1" customHeight="1" x14ac:dyDescent="0.2">
      <c r="B446" s="517">
        <f>IF(AND('Revenue Jrnl'!G452&lt;&gt;"",'Revenue Jrnl'!C452&lt;&gt;""),1,0)</f>
        <v>0</v>
      </c>
      <c r="C446" s="517">
        <f>'Revenue Jrnl'!$C452</f>
        <v>0</v>
      </c>
      <c r="D446" s="518">
        <f>'Revenue Jrnl'!$D452</f>
        <v>0</v>
      </c>
      <c r="E446" s="1523">
        <f>'Revenue Jrnl'!$F452</f>
        <v>0</v>
      </c>
      <c r="F446" s="1523"/>
      <c r="G446" s="519" t="str">
        <f>IF('Revenue Jrnl'!$E452="","",'Revenue Jrnl'!$E452)</f>
        <v/>
      </c>
      <c r="H446" s="518">
        <f>'Revenue Jrnl'!H452</f>
        <v>0</v>
      </c>
      <c r="I446" s="518" t="str">
        <f t="shared" si="12"/>
        <v>0</v>
      </c>
      <c r="J446" s="520" t="b">
        <f t="shared" si="13"/>
        <v>0</v>
      </c>
      <c r="K446" s="521">
        <f>'Revenue Jrnl'!$G452</f>
        <v>0</v>
      </c>
      <c r="L446" s="522"/>
      <c r="M446" s="523"/>
      <c r="N446" s="524">
        <f>'Revenue Jrnl'!$H242</f>
        <v>0</v>
      </c>
    </row>
    <row r="447" spans="2:14" s="1" customFormat="1" ht="30" hidden="1" customHeight="1" x14ac:dyDescent="0.2">
      <c r="B447" s="517">
        <f>IF(AND('Revenue Jrnl'!G453&lt;&gt;"",'Revenue Jrnl'!C453&lt;&gt;""),1,0)</f>
        <v>0</v>
      </c>
      <c r="C447" s="517">
        <f>'Revenue Jrnl'!$C453</f>
        <v>0</v>
      </c>
      <c r="D447" s="518">
        <f>'Revenue Jrnl'!$D453</f>
        <v>0</v>
      </c>
      <c r="E447" s="1523">
        <f>'Revenue Jrnl'!$F453</f>
        <v>0</v>
      </c>
      <c r="F447" s="1523"/>
      <c r="G447" s="519" t="str">
        <f>IF('Revenue Jrnl'!$E453="","",'Revenue Jrnl'!$E453)</f>
        <v/>
      </c>
      <c r="H447" s="518">
        <f>'Revenue Jrnl'!H453</f>
        <v>0</v>
      </c>
      <c r="I447" s="518" t="str">
        <f t="shared" si="12"/>
        <v>0</v>
      </c>
      <c r="J447" s="520" t="b">
        <f t="shared" si="13"/>
        <v>0</v>
      </c>
      <c r="K447" s="521">
        <f>'Revenue Jrnl'!$G453</f>
        <v>0</v>
      </c>
      <c r="L447" s="522"/>
      <c r="M447" s="523"/>
      <c r="N447" s="524">
        <f>'Revenue Jrnl'!$H243</f>
        <v>0</v>
      </c>
    </row>
    <row r="448" spans="2:14" s="1" customFormat="1" ht="30" hidden="1" customHeight="1" x14ac:dyDescent="0.2">
      <c r="B448" s="517">
        <f>IF(AND('Revenue Jrnl'!G454&lt;&gt;"",'Revenue Jrnl'!C454&lt;&gt;""),1,0)</f>
        <v>0</v>
      </c>
      <c r="C448" s="517">
        <f>'Revenue Jrnl'!$C454</f>
        <v>0</v>
      </c>
      <c r="D448" s="518">
        <f>'Revenue Jrnl'!$D454</f>
        <v>0</v>
      </c>
      <c r="E448" s="1523">
        <f>'Revenue Jrnl'!$F454</f>
        <v>0</v>
      </c>
      <c r="F448" s="1523"/>
      <c r="G448" s="519" t="str">
        <f>IF('Revenue Jrnl'!$E454="","",'Revenue Jrnl'!$E454)</f>
        <v/>
      </c>
      <c r="H448" s="518">
        <f>'Revenue Jrnl'!H454</f>
        <v>0</v>
      </c>
      <c r="I448" s="518" t="str">
        <f t="shared" si="12"/>
        <v>0</v>
      </c>
      <c r="J448" s="520" t="b">
        <f t="shared" si="13"/>
        <v>0</v>
      </c>
      <c r="K448" s="521">
        <f>'Revenue Jrnl'!$G454</f>
        <v>0</v>
      </c>
      <c r="L448" s="522"/>
      <c r="M448" s="523"/>
      <c r="N448" s="524">
        <f>'Revenue Jrnl'!$H244</f>
        <v>0</v>
      </c>
    </row>
    <row r="449" spans="2:14" s="1" customFormat="1" ht="30" hidden="1" customHeight="1" x14ac:dyDescent="0.2">
      <c r="B449" s="517">
        <f>IF(AND('Revenue Jrnl'!G455&lt;&gt;"",'Revenue Jrnl'!C455&lt;&gt;""),1,0)</f>
        <v>0</v>
      </c>
      <c r="C449" s="517">
        <f>'Revenue Jrnl'!$C455</f>
        <v>0</v>
      </c>
      <c r="D449" s="518">
        <f>'Revenue Jrnl'!$D455</f>
        <v>0</v>
      </c>
      <c r="E449" s="1523">
        <f>'Revenue Jrnl'!$F455</f>
        <v>0</v>
      </c>
      <c r="F449" s="1523"/>
      <c r="G449" s="519" t="str">
        <f>IF('Revenue Jrnl'!$E455="","",'Revenue Jrnl'!$E455)</f>
        <v/>
      </c>
      <c r="H449" s="518">
        <f>'Revenue Jrnl'!H455</f>
        <v>0</v>
      </c>
      <c r="I449" s="518" t="str">
        <f t="shared" si="12"/>
        <v>0</v>
      </c>
      <c r="J449" s="520" t="b">
        <f t="shared" si="13"/>
        <v>0</v>
      </c>
      <c r="K449" s="521">
        <f>'Revenue Jrnl'!$G455</f>
        <v>0</v>
      </c>
      <c r="L449" s="522"/>
      <c r="M449" s="523"/>
      <c r="N449" s="524">
        <f>'Revenue Jrnl'!$H245</f>
        <v>0</v>
      </c>
    </row>
    <row r="450" spans="2:14" s="1" customFormat="1" ht="30" hidden="1" customHeight="1" x14ac:dyDescent="0.2">
      <c r="B450" s="517">
        <f>IF(AND('Revenue Jrnl'!G456&lt;&gt;"",'Revenue Jrnl'!C456&lt;&gt;""),1,0)</f>
        <v>0</v>
      </c>
      <c r="C450" s="517">
        <f>'Revenue Jrnl'!$C456</f>
        <v>0</v>
      </c>
      <c r="D450" s="518">
        <f>'Revenue Jrnl'!$D456</f>
        <v>0</v>
      </c>
      <c r="E450" s="1523">
        <f>'Revenue Jrnl'!$F456</f>
        <v>0</v>
      </c>
      <c r="F450" s="1523"/>
      <c r="G450" s="519" t="str">
        <f>IF('Revenue Jrnl'!$E456="","",'Revenue Jrnl'!$E456)</f>
        <v/>
      </c>
      <c r="H450" s="518">
        <f>'Revenue Jrnl'!H456</f>
        <v>0</v>
      </c>
      <c r="I450" s="518" t="str">
        <f t="shared" si="12"/>
        <v>0</v>
      </c>
      <c r="J450" s="520" t="b">
        <f t="shared" si="13"/>
        <v>0</v>
      </c>
      <c r="K450" s="521">
        <f>'Revenue Jrnl'!$G456</f>
        <v>0</v>
      </c>
      <c r="L450" s="522"/>
      <c r="M450" s="523"/>
      <c r="N450" s="524">
        <f>'Revenue Jrnl'!$H246</f>
        <v>0</v>
      </c>
    </row>
    <row r="451" spans="2:14" s="1" customFormat="1" ht="30" hidden="1" customHeight="1" x14ac:dyDescent="0.2">
      <c r="B451" s="517">
        <f>IF(AND('Revenue Jrnl'!G457&lt;&gt;"",'Revenue Jrnl'!C457&lt;&gt;""),1,0)</f>
        <v>0</v>
      </c>
      <c r="C451" s="517">
        <f>'Revenue Jrnl'!$C457</f>
        <v>0</v>
      </c>
      <c r="D451" s="518">
        <f>'Revenue Jrnl'!$D457</f>
        <v>0</v>
      </c>
      <c r="E451" s="1523">
        <f>'Revenue Jrnl'!$F457</f>
        <v>0</v>
      </c>
      <c r="F451" s="1523"/>
      <c r="G451" s="519" t="str">
        <f>IF('Revenue Jrnl'!$E457="","",'Revenue Jrnl'!$E457)</f>
        <v/>
      </c>
      <c r="H451" s="518">
        <f>'Revenue Jrnl'!H457</f>
        <v>0</v>
      </c>
      <c r="I451" s="518" t="str">
        <f t="shared" si="12"/>
        <v>0</v>
      </c>
      <c r="J451" s="520" t="b">
        <f t="shared" si="13"/>
        <v>0</v>
      </c>
      <c r="K451" s="521">
        <f>'Revenue Jrnl'!$G457</f>
        <v>0</v>
      </c>
      <c r="L451" s="522"/>
      <c r="M451" s="523"/>
      <c r="N451" s="524">
        <f>'Revenue Jrnl'!$H247</f>
        <v>0</v>
      </c>
    </row>
    <row r="452" spans="2:14" s="1" customFormat="1" ht="30" hidden="1" customHeight="1" x14ac:dyDescent="0.2">
      <c r="B452" s="517">
        <f>IF(AND('Revenue Jrnl'!G458&lt;&gt;"",'Revenue Jrnl'!C458&lt;&gt;""),1,0)</f>
        <v>0</v>
      </c>
      <c r="C452" s="517">
        <f>'Revenue Jrnl'!$C458</f>
        <v>0</v>
      </c>
      <c r="D452" s="518">
        <f>'Revenue Jrnl'!$D458</f>
        <v>0</v>
      </c>
      <c r="E452" s="1523">
        <f>'Revenue Jrnl'!$F458</f>
        <v>0</v>
      </c>
      <c r="F452" s="1523"/>
      <c r="G452" s="519" t="str">
        <f>IF('Revenue Jrnl'!$E458="","",'Revenue Jrnl'!$E458)</f>
        <v/>
      </c>
      <c r="H452" s="518">
        <f>'Revenue Jrnl'!H458</f>
        <v>0</v>
      </c>
      <c r="I452" s="518" t="str">
        <f t="shared" si="12"/>
        <v>0</v>
      </c>
      <c r="J452" s="520" t="b">
        <f t="shared" si="13"/>
        <v>0</v>
      </c>
      <c r="K452" s="521">
        <f>'Revenue Jrnl'!$G458</f>
        <v>0</v>
      </c>
      <c r="L452" s="522"/>
      <c r="M452" s="523"/>
      <c r="N452" s="524">
        <f>'Revenue Jrnl'!$H248</f>
        <v>0</v>
      </c>
    </row>
    <row r="453" spans="2:14" s="1" customFormat="1" ht="30" hidden="1" customHeight="1" x14ac:dyDescent="0.2">
      <c r="B453" s="517">
        <f>IF(AND('Revenue Jrnl'!G459&lt;&gt;"",'Revenue Jrnl'!C459&lt;&gt;""),1,0)</f>
        <v>0</v>
      </c>
      <c r="C453" s="517">
        <f>'Revenue Jrnl'!$C459</f>
        <v>0</v>
      </c>
      <c r="D453" s="518">
        <f>'Revenue Jrnl'!$D459</f>
        <v>0</v>
      </c>
      <c r="E453" s="1523">
        <f>'Revenue Jrnl'!$F459</f>
        <v>0</v>
      </c>
      <c r="F453" s="1523"/>
      <c r="G453" s="519" t="str">
        <f>IF('Revenue Jrnl'!$E459="","",'Revenue Jrnl'!$E459)</f>
        <v/>
      </c>
      <c r="H453" s="518">
        <f>'Revenue Jrnl'!H459</f>
        <v>0</v>
      </c>
      <c r="I453" s="518" t="str">
        <f t="shared" si="12"/>
        <v>0</v>
      </c>
      <c r="J453" s="520" t="b">
        <f t="shared" si="13"/>
        <v>0</v>
      </c>
      <c r="K453" s="521">
        <f>'Revenue Jrnl'!$G459</f>
        <v>0</v>
      </c>
      <c r="L453" s="522"/>
      <c r="M453" s="523"/>
      <c r="N453" s="524">
        <f>'Revenue Jrnl'!$H249</f>
        <v>0</v>
      </c>
    </row>
    <row r="454" spans="2:14" s="1" customFormat="1" ht="30" hidden="1" customHeight="1" x14ac:dyDescent="0.2">
      <c r="B454" s="517">
        <f>IF(AND('Revenue Jrnl'!G460&lt;&gt;"",'Revenue Jrnl'!C460&lt;&gt;""),1,0)</f>
        <v>0</v>
      </c>
      <c r="C454" s="517">
        <f>'Revenue Jrnl'!$C460</f>
        <v>0</v>
      </c>
      <c r="D454" s="518">
        <f>'Revenue Jrnl'!$D460</f>
        <v>0</v>
      </c>
      <c r="E454" s="1523">
        <f>'Revenue Jrnl'!$F460</f>
        <v>0</v>
      </c>
      <c r="F454" s="1523"/>
      <c r="G454" s="519" t="str">
        <f>IF('Revenue Jrnl'!$E460="","",'Revenue Jrnl'!$E460)</f>
        <v/>
      </c>
      <c r="H454" s="518">
        <f>'Revenue Jrnl'!H460</f>
        <v>0</v>
      </c>
      <c r="I454" s="518" t="str">
        <f t="shared" si="12"/>
        <v>0</v>
      </c>
      <c r="J454" s="520" t="b">
        <f t="shared" si="13"/>
        <v>0</v>
      </c>
      <c r="K454" s="521">
        <f>'Revenue Jrnl'!$G460</f>
        <v>0</v>
      </c>
      <c r="L454" s="522"/>
      <c r="M454" s="523"/>
      <c r="N454" s="524">
        <f>'Revenue Jrnl'!$H250</f>
        <v>0</v>
      </c>
    </row>
    <row r="455" spans="2:14" s="1" customFormat="1" ht="30" hidden="1" customHeight="1" x14ac:dyDescent="0.2">
      <c r="B455" s="517">
        <f>IF(AND('Revenue Jrnl'!G461&lt;&gt;"",'Revenue Jrnl'!C461&lt;&gt;""),1,0)</f>
        <v>0</v>
      </c>
      <c r="C455" s="517">
        <f>'Revenue Jrnl'!$C461</f>
        <v>0</v>
      </c>
      <c r="D455" s="518">
        <f>'Revenue Jrnl'!$D461</f>
        <v>0</v>
      </c>
      <c r="E455" s="1523">
        <f>'Revenue Jrnl'!$F461</f>
        <v>0</v>
      </c>
      <c r="F455" s="1523"/>
      <c r="G455" s="519" t="str">
        <f>IF('Revenue Jrnl'!$E461="","",'Revenue Jrnl'!$E461)</f>
        <v/>
      </c>
      <c r="H455" s="518">
        <f>'Revenue Jrnl'!H461</f>
        <v>0</v>
      </c>
      <c r="I455" s="518" t="str">
        <f t="shared" si="12"/>
        <v>0</v>
      </c>
      <c r="J455" s="520" t="b">
        <f t="shared" si="13"/>
        <v>0</v>
      </c>
      <c r="K455" s="521">
        <f>'Revenue Jrnl'!$G461</f>
        <v>0</v>
      </c>
      <c r="L455" s="522"/>
      <c r="M455" s="523"/>
      <c r="N455" s="524">
        <f>'Revenue Jrnl'!$H251</f>
        <v>0</v>
      </c>
    </row>
    <row r="456" spans="2:14" s="1" customFormat="1" ht="30" hidden="1" customHeight="1" x14ac:dyDescent="0.2">
      <c r="B456" s="517">
        <f>IF(AND('Revenue Jrnl'!G462&lt;&gt;"",'Revenue Jrnl'!C462&lt;&gt;""),1,0)</f>
        <v>0</v>
      </c>
      <c r="C456" s="517">
        <f>'Revenue Jrnl'!$C462</f>
        <v>0</v>
      </c>
      <c r="D456" s="518">
        <f>'Revenue Jrnl'!$D462</f>
        <v>0</v>
      </c>
      <c r="E456" s="1523">
        <f>'Revenue Jrnl'!$F462</f>
        <v>0</v>
      </c>
      <c r="F456" s="1523"/>
      <c r="G456" s="519" t="str">
        <f>IF('Revenue Jrnl'!$E462="","",'Revenue Jrnl'!$E462)</f>
        <v/>
      </c>
      <c r="H456" s="518">
        <f>'Revenue Jrnl'!H462</f>
        <v>0</v>
      </c>
      <c r="I456" s="518" t="str">
        <f t="shared" si="12"/>
        <v>0</v>
      </c>
      <c r="J456" s="520" t="b">
        <f t="shared" si="13"/>
        <v>0</v>
      </c>
      <c r="K456" s="521">
        <f>'Revenue Jrnl'!$G462</f>
        <v>0</v>
      </c>
      <c r="L456" s="522"/>
      <c r="M456" s="523"/>
      <c r="N456" s="524">
        <f>'Revenue Jrnl'!$H252</f>
        <v>0</v>
      </c>
    </row>
    <row r="457" spans="2:14" s="1" customFormat="1" ht="30" hidden="1" customHeight="1" x14ac:dyDescent="0.2">
      <c r="B457" s="517">
        <f>IF(AND('Revenue Jrnl'!G463&lt;&gt;"",'Revenue Jrnl'!C463&lt;&gt;""),1,0)</f>
        <v>0</v>
      </c>
      <c r="C457" s="517">
        <f>'Revenue Jrnl'!$C463</f>
        <v>0</v>
      </c>
      <c r="D457" s="518">
        <f>'Revenue Jrnl'!$D463</f>
        <v>0</v>
      </c>
      <c r="E457" s="1523">
        <f>'Revenue Jrnl'!$F463</f>
        <v>0</v>
      </c>
      <c r="F457" s="1523"/>
      <c r="G457" s="519" t="str">
        <f>IF('Revenue Jrnl'!$E463="","",'Revenue Jrnl'!$E463)</f>
        <v/>
      </c>
      <c r="H457" s="518">
        <f>'Revenue Jrnl'!H463</f>
        <v>0</v>
      </c>
      <c r="I457" s="518" t="str">
        <f t="shared" si="12"/>
        <v>0</v>
      </c>
      <c r="J457" s="520" t="b">
        <f t="shared" si="13"/>
        <v>0</v>
      </c>
      <c r="K457" s="521">
        <f>'Revenue Jrnl'!$G463</f>
        <v>0</v>
      </c>
      <c r="L457" s="522"/>
      <c r="M457" s="523"/>
      <c r="N457" s="524">
        <f>'Revenue Jrnl'!$H253</f>
        <v>0</v>
      </c>
    </row>
    <row r="458" spans="2:14" s="1" customFormat="1" ht="30" hidden="1" customHeight="1" x14ac:dyDescent="0.2">
      <c r="B458" s="517">
        <f>IF(AND('Revenue Jrnl'!G464&lt;&gt;"",'Revenue Jrnl'!C464&lt;&gt;""),1,0)</f>
        <v>0</v>
      </c>
      <c r="C458" s="517">
        <f>'Revenue Jrnl'!$C464</f>
        <v>0</v>
      </c>
      <c r="D458" s="518">
        <f>'Revenue Jrnl'!$D464</f>
        <v>0</v>
      </c>
      <c r="E458" s="1523">
        <f>'Revenue Jrnl'!$F464</f>
        <v>0</v>
      </c>
      <c r="F458" s="1523"/>
      <c r="G458" s="519" t="str">
        <f>IF('Revenue Jrnl'!$E464="","",'Revenue Jrnl'!$E464)</f>
        <v/>
      </c>
      <c r="H458" s="518">
        <f>'Revenue Jrnl'!H464</f>
        <v>0</v>
      </c>
      <c r="I458" s="518" t="str">
        <f t="shared" ref="I458:I509" si="14">LEFT(H458,4)</f>
        <v>0</v>
      </c>
      <c r="J458" s="520" t="b">
        <f t="shared" si="13"/>
        <v>0</v>
      </c>
      <c r="K458" s="521">
        <f>'Revenue Jrnl'!$G464</f>
        <v>0</v>
      </c>
      <c r="L458" s="522"/>
      <c r="M458" s="523"/>
      <c r="N458" s="524">
        <f>'Revenue Jrnl'!$H254</f>
        <v>0</v>
      </c>
    </row>
    <row r="459" spans="2:14" s="1" customFormat="1" ht="30" hidden="1" customHeight="1" x14ac:dyDescent="0.2">
      <c r="B459" s="517">
        <f>IF(AND('Revenue Jrnl'!G465&lt;&gt;"",'Revenue Jrnl'!C465&lt;&gt;""),1,0)</f>
        <v>0</v>
      </c>
      <c r="C459" s="517">
        <f>'Revenue Jrnl'!$C465</f>
        <v>0</v>
      </c>
      <c r="D459" s="518">
        <f>'Revenue Jrnl'!$D465</f>
        <v>0</v>
      </c>
      <c r="E459" s="1523">
        <f>'Revenue Jrnl'!$F465</f>
        <v>0</v>
      </c>
      <c r="F459" s="1523"/>
      <c r="G459" s="519" t="str">
        <f>IF('Revenue Jrnl'!$E465="","",'Revenue Jrnl'!$E465)</f>
        <v/>
      </c>
      <c r="H459" s="518">
        <f>'Revenue Jrnl'!H465</f>
        <v>0</v>
      </c>
      <c r="I459" s="518" t="str">
        <f t="shared" si="14"/>
        <v>0</v>
      </c>
      <c r="J459" s="520" t="b">
        <f t="shared" ref="J459:J509" si="15">IF(I459="1020",IF(G459&gt;=$E$3,IF(G459&lt;=$G$3,K459,0)))</f>
        <v>0</v>
      </c>
      <c r="K459" s="521">
        <f>'Revenue Jrnl'!$G465</f>
        <v>0</v>
      </c>
      <c r="L459" s="522"/>
      <c r="M459" s="523"/>
      <c r="N459" s="524">
        <f>'Revenue Jrnl'!$H255</f>
        <v>0</v>
      </c>
    </row>
    <row r="460" spans="2:14" s="1" customFormat="1" ht="30" hidden="1" customHeight="1" x14ac:dyDescent="0.2">
      <c r="B460" s="517">
        <f>IF(AND('Revenue Jrnl'!G466&lt;&gt;"",'Revenue Jrnl'!C466&lt;&gt;""),1,0)</f>
        <v>0</v>
      </c>
      <c r="C460" s="517">
        <f>'Revenue Jrnl'!$C466</f>
        <v>0</v>
      </c>
      <c r="D460" s="518">
        <f>'Revenue Jrnl'!$D466</f>
        <v>0</v>
      </c>
      <c r="E460" s="1523">
        <f>'Revenue Jrnl'!$F466</f>
        <v>0</v>
      </c>
      <c r="F460" s="1523"/>
      <c r="G460" s="519" t="str">
        <f>IF('Revenue Jrnl'!$E466="","",'Revenue Jrnl'!$E466)</f>
        <v/>
      </c>
      <c r="H460" s="518">
        <f>'Revenue Jrnl'!H466</f>
        <v>0</v>
      </c>
      <c r="I460" s="518" t="str">
        <f t="shared" si="14"/>
        <v>0</v>
      </c>
      <c r="J460" s="520" t="b">
        <f t="shared" si="15"/>
        <v>0</v>
      </c>
      <c r="K460" s="521">
        <f>'Revenue Jrnl'!$G466</f>
        <v>0</v>
      </c>
      <c r="L460" s="522"/>
      <c r="M460" s="523"/>
      <c r="N460" s="524">
        <f>'Revenue Jrnl'!$H256</f>
        <v>0</v>
      </c>
    </row>
    <row r="461" spans="2:14" s="1" customFormat="1" ht="30" hidden="1" customHeight="1" x14ac:dyDescent="0.2">
      <c r="B461" s="517">
        <f>IF(AND('Revenue Jrnl'!G467&lt;&gt;"",'Revenue Jrnl'!C467&lt;&gt;""),1,0)</f>
        <v>0</v>
      </c>
      <c r="C461" s="517">
        <f>'Revenue Jrnl'!$C467</f>
        <v>0</v>
      </c>
      <c r="D461" s="518">
        <f>'Revenue Jrnl'!$D467</f>
        <v>0</v>
      </c>
      <c r="E461" s="1523">
        <f>'Revenue Jrnl'!$F467</f>
        <v>0</v>
      </c>
      <c r="F461" s="1523"/>
      <c r="G461" s="519" t="str">
        <f>IF('Revenue Jrnl'!$E467="","",'Revenue Jrnl'!$E467)</f>
        <v/>
      </c>
      <c r="H461" s="518">
        <f>'Revenue Jrnl'!H467</f>
        <v>0</v>
      </c>
      <c r="I461" s="518" t="str">
        <f t="shared" si="14"/>
        <v>0</v>
      </c>
      <c r="J461" s="520" t="b">
        <f t="shared" si="15"/>
        <v>0</v>
      </c>
      <c r="K461" s="521">
        <f>'Revenue Jrnl'!$G467</f>
        <v>0</v>
      </c>
      <c r="L461" s="522"/>
      <c r="M461" s="523"/>
      <c r="N461" s="524">
        <f>'Revenue Jrnl'!$H257</f>
        <v>0</v>
      </c>
    </row>
    <row r="462" spans="2:14" s="1" customFormat="1" ht="30" hidden="1" customHeight="1" x14ac:dyDescent="0.2">
      <c r="B462" s="517">
        <f>IF(AND('Revenue Jrnl'!G468&lt;&gt;"",'Revenue Jrnl'!C468&lt;&gt;""),1,0)</f>
        <v>0</v>
      </c>
      <c r="C462" s="517">
        <f>'Revenue Jrnl'!$C468</f>
        <v>0</v>
      </c>
      <c r="D462" s="518">
        <f>'Revenue Jrnl'!$D468</f>
        <v>0</v>
      </c>
      <c r="E462" s="1523">
        <f>'Revenue Jrnl'!$F468</f>
        <v>0</v>
      </c>
      <c r="F462" s="1523"/>
      <c r="G462" s="519" t="str">
        <f>IF('Revenue Jrnl'!$E468="","",'Revenue Jrnl'!$E468)</f>
        <v/>
      </c>
      <c r="H462" s="518">
        <f>'Revenue Jrnl'!H468</f>
        <v>0</v>
      </c>
      <c r="I462" s="518" t="str">
        <f t="shared" si="14"/>
        <v>0</v>
      </c>
      <c r="J462" s="520" t="b">
        <f t="shared" si="15"/>
        <v>0</v>
      </c>
      <c r="K462" s="521">
        <f>'Revenue Jrnl'!$G468</f>
        <v>0</v>
      </c>
      <c r="L462" s="522"/>
      <c r="M462" s="523"/>
      <c r="N462" s="524">
        <f>'Revenue Jrnl'!$H258</f>
        <v>0</v>
      </c>
    </row>
    <row r="463" spans="2:14" s="1" customFormat="1" ht="30" hidden="1" customHeight="1" x14ac:dyDescent="0.2">
      <c r="B463" s="517">
        <f>IF(AND('Revenue Jrnl'!G469&lt;&gt;"",'Revenue Jrnl'!C469&lt;&gt;""),1,0)</f>
        <v>0</v>
      </c>
      <c r="C463" s="517">
        <f>'Revenue Jrnl'!$C469</f>
        <v>0</v>
      </c>
      <c r="D463" s="518">
        <f>'Revenue Jrnl'!$D469</f>
        <v>0</v>
      </c>
      <c r="E463" s="1523">
        <f>'Revenue Jrnl'!$F469</f>
        <v>0</v>
      </c>
      <c r="F463" s="1523"/>
      <c r="G463" s="519" t="str">
        <f>IF('Revenue Jrnl'!$E469="","",'Revenue Jrnl'!$E469)</f>
        <v/>
      </c>
      <c r="H463" s="518">
        <f>'Revenue Jrnl'!H469</f>
        <v>0</v>
      </c>
      <c r="I463" s="518" t="str">
        <f t="shared" si="14"/>
        <v>0</v>
      </c>
      <c r="J463" s="520" t="b">
        <f t="shared" si="15"/>
        <v>0</v>
      </c>
      <c r="K463" s="521">
        <f>'Revenue Jrnl'!$G469</f>
        <v>0</v>
      </c>
      <c r="L463" s="522"/>
      <c r="M463" s="523"/>
      <c r="N463" s="524">
        <f>'Revenue Jrnl'!$H259</f>
        <v>0</v>
      </c>
    </row>
    <row r="464" spans="2:14" s="1" customFormat="1" ht="30" hidden="1" customHeight="1" x14ac:dyDescent="0.2">
      <c r="B464" s="517">
        <f>IF(AND('Revenue Jrnl'!G470&lt;&gt;"",'Revenue Jrnl'!C470&lt;&gt;""),1,0)</f>
        <v>0</v>
      </c>
      <c r="C464" s="517">
        <f>'Revenue Jrnl'!$C470</f>
        <v>0</v>
      </c>
      <c r="D464" s="518">
        <f>'Revenue Jrnl'!$D470</f>
        <v>0</v>
      </c>
      <c r="E464" s="1523">
        <f>'Revenue Jrnl'!$F470</f>
        <v>0</v>
      </c>
      <c r="F464" s="1523"/>
      <c r="G464" s="519" t="str">
        <f>IF('Revenue Jrnl'!$E470="","",'Revenue Jrnl'!$E470)</f>
        <v/>
      </c>
      <c r="H464" s="518">
        <f>'Revenue Jrnl'!H470</f>
        <v>0</v>
      </c>
      <c r="I464" s="518" t="str">
        <f t="shared" si="14"/>
        <v>0</v>
      </c>
      <c r="J464" s="520" t="b">
        <f t="shared" si="15"/>
        <v>0</v>
      </c>
      <c r="K464" s="521">
        <f>'Revenue Jrnl'!$G470</f>
        <v>0</v>
      </c>
      <c r="L464" s="522"/>
      <c r="M464" s="523"/>
      <c r="N464" s="524">
        <f>'Revenue Jrnl'!$H260</f>
        <v>0</v>
      </c>
    </row>
    <row r="465" spans="2:14" s="1" customFormat="1" ht="30" hidden="1" customHeight="1" x14ac:dyDescent="0.2">
      <c r="B465" s="517">
        <f>IF(AND('Revenue Jrnl'!G471&lt;&gt;"",'Revenue Jrnl'!C471&lt;&gt;""),1,0)</f>
        <v>0</v>
      </c>
      <c r="C465" s="517">
        <f>'Revenue Jrnl'!$C471</f>
        <v>0</v>
      </c>
      <c r="D465" s="518">
        <f>'Revenue Jrnl'!$D471</f>
        <v>0</v>
      </c>
      <c r="E465" s="1523">
        <f>'Revenue Jrnl'!$F471</f>
        <v>0</v>
      </c>
      <c r="F465" s="1523"/>
      <c r="G465" s="519" t="str">
        <f>IF('Revenue Jrnl'!$E471="","",'Revenue Jrnl'!$E471)</f>
        <v/>
      </c>
      <c r="H465" s="518">
        <f>'Revenue Jrnl'!H471</f>
        <v>0</v>
      </c>
      <c r="I465" s="518" t="str">
        <f t="shared" si="14"/>
        <v>0</v>
      </c>
      <c r="J465" s="520" t="b">
        <f t="shared" si="15"/>
        <v>0</v>
      </c>
      <c r="K465" s="521">
        <f>'Revenue Jrnl'!$G471</f>
        <v>0</v>
      </c>
      <c r="L465" s="522"/>
      <c r="M465" s="523"/>
      <c r="N465" s="524">
        <f>'Revenue Jrnl'!$H261</f>
        <v>0</v>
      </c>
    </row>
    <row r="466" spans="2:14" s="1" customFormat="1" ht="30" hidden="1" customHeight="1" x14ac:dyDescent="0.2">
      <c r="B466" s="517">
        <f>IF(AND('Revenue Jrnl'!G472&lt;&gt;"",'Revenue Jrnl'!C472&lt;&gt;""),1,0)</f>
        <v>0</v>
      </c>
      <c r="C466" s="517">
        <f>'Revenue Jrnl'!$C472</f>
        <v>0</v>
      </c>
      <c r="D466" s="518">
        <f>'Revenue Jrnl'!$D472</f>
        <v>0</v>
      </c>
      <c r="E466" s="1523">
        <f>'Revenue Jrnl'!$F472</f>
        <v>0</v>
      </c>
      <c r="F466" s="1523"/>
      <c r="G466" s="519" t="str">
        <f>IF('Revenue Jrnl'!$E472="","",'Revenue Jrnl'!$E472)</f>
        <v/>
      </c>
      <c r="H466" s="518">
        <f>'Revenue Jrnl'!H472</f>
        <v>0</v>
      </c>
      <c r="I466" s="518" t="str">
        <f t="shared" si="14"/>
        <v>0</v>
      </c>
      <c r="J466" s="520" t="b">
        <f t="shared" si="15"/>
        <v>0</v>
      </c>
      <c r="K466" s="521">
        <f>'Revenue Jrnl'!$G472</f>
        <v>0</v>
      </c>
      <c r="L466" s="522"/>
      <c r="M466" s="523"/>
      <c r="N466" s="524">
        <f>'Revenue Jrnl'!$H262</f>
        <v>0</v>
      </c>
    </row>
    <row r="467" spans="2:14" s="1" customFormat="1" ht="30" hidden="1" customHeight="1" x14ac:dyDescent="0.2">
      <c r="B467" s="517">
        <f>IF(AND('Revenue Jrnl'!G473&lt;&gt;"",'Revenue Jrnl'!C473&lt;&gt;""),1,0)</f>
        <v>0</v>
      </c>
      <c r="C467" s="517">
        <f>'Revenue Jrnl'!$C473</f>
        <v>0</v>
      </c>
      <c r="D467" s="518">
        <f>'Revenue Jrnl'!$D473</f>
        <v>0</v>
      </c>
      <c r="E467" s="1523">
        <f>'Revenue Jrnl'!$F473</f>
        <v>0</v>
      </c>
      <c r="F467" s="1523"/>
      <c r="G467" s="519" t="str">
        <f>IF('Revenue Jrnl'!$E473="","",'Revenue Jrnl'!$E473)</f>
        <v/>
      </c>
      <c r="H467" s="518">
        <f>'Revenue Jrnl'!H473</f>
        <v>0</v>
      </c>
      <c r="I467" s="518" t="str">
        <f t="shared" si="14"/>
        <v>0</v>
      </c>
      <c r="J467" s="520" t="b">
        <f t="shared" si="15"/>
        <v>0</v>
      </c>
      <c r="K467" s="521">
        <f>'Revenue Jrnl'!$G473</f>
        <v>0</v>
      </c>
      <c r="L467" s="522"/>
      <c r="M467" s="523"/>
      <c r="N467" s="524">
        <f>'Revenue Jrnl'!$H263</f>
        <v>0</v>
      </c>
    </row>
    <row r="468" spans="2:14" s="1" customFormat="1" ht="30" hidden="1" customHeight="1" x14ac:dyDescent="0.2">
      <c r="B468" s="517">
        <f>IF(AND('Revenue Jrnl'!G474&lt;&gt;"",'Revenue Jrnl'!C474&lt;&gt;""),1,0)</f>
        <v>0</v>
      </c>
      <c r="C468" s="517">
        <f>'Revenue Jrnl'!$C474</f>
        <v>0</v>
      </c>
      <c r="D468" s="518">
        <f>'Revenue Jrnl'!$D474</f>
        <v>0</v>
      </c>
      <c r="E468" s="1523">
        <f>'Revenue Jrnl'!$F474</f>
        <v>0</v>
      </c>
      <c r="F468" s="1523"/>
      <c r="G468" s="519" t="str">
        <f>IF('Revenue Jrnl'!$E474="","",'Revenue Jrnl'!$E474)</f>
        <v/>
      </c>
      <c r="H468" s="518">
        <f>'Revenue Jrnl'!H474</f>
        <v>0</v>
      </c>
      <c r="I468" s="518" t="str">
        <f t="shared" si="14"/>
        <v>0</v>
      </c>
      <c r="J468" s="520" t="b">
        <f t="shared" si="15"/>
        <v>0</v>
      </c>
      <c r="K468" s="521">
        <f>'Revenue Jrnl'!$G474</f>
        <v>0</v>
      </c>
      <c r="L468" s="522"/>
      <c r="M468" s="523"/>
      <c r="N468" s="524">
        <f>'Revenue Jrnl'!$H264</f>
        <v>0</v>
      </c>
    </row>
    <row r="469" spans="2:14" s="1" customFormat="1" ht="30" hidden="1" customHeight="1" x14ac:dyDescent="0.2">
      <c r="B469" s="517">
        <f>IF(AND('Revenue Jrnl'!G475&lt;&gt;"",'Revenue Jrnl'!C475&lt;&gt;""),1,0)</f>
        <v>0</v>
      </c>
      <c r="C469" s="517">
        <f>'Revenue Jrnl'!$C475</f>
        <v>0</v>
      </c>
      <c r="D469" s="518">
        <f>'Revenue Jrnl'!$D475</f>
        <v>0</v>
      </c>
      <c r="E469" s="1523">
        <f>'Revenue Jrnl'!$F475</f>
        <v>0</v>
      </c>
      <c r="F469" s="1523"/>
      <c r="G469" s="519" t="str">
        <f>IF('Revenue Jrnl'!$E475="","",'Revenue Jrnl'!$E475)</f>
        <v/>
      </c>
      <c r="H469" s="518">
        <f>'Revenue Jrnl'!H475</f>
        <v>0</v>
      </c>
      <c r="I469" s="518" t="str">
        <f t="shared" si="14"/>
        <v>0</v>
      </c>
      <c r="J469" s="520" t="b">
        <f t="shared" si="15"/>
        <v>0</v>
      </c>
      <c r="K469" s="521">
        <f>'Revenue Jrnl'!$G475</f>
        <v>0</v>
      </c>
      <c r="L469" s="522"/>
      <c r="M469" s="523"/>
      <c r="N469" s="524">
        <f>'Revenue Jrnl'!$H265</f>
        <v>0</v>
      </c>
    </row>
    <row r="470" spans="2:14" s="1" customFormat="1" ht="30" hidden="1" customHeight="1" x14ac:dyDescent="0.2">
      <c r="B470" s="517">
        <f>IF(AND('Revenue Jrnl'!G476&lt;&gt;"",'Revenue Jrnl'!C476&lt;&gt;""),1,0)</f>
        <v>0</v>
      </c>
      <c r="C470" s="517">
        <f>'Revenue Jrnl'!$C476</f>
        <v>0</v>
      </c>
      <c r="D470" s="518">
        <f>'Revenue Jrnl'!$D476</f>
        <v>0</v>
      </c>
      <c r="E470" s="1523">
        <f>'Revenue Jrnl'!$F476</f>
        <v>0</v>
      </c>
      <c r="F470" s="1523"/>
      <c r="G470" s="519" t="str">
        <f>IF('Revenue Jrnl'!$E476="","",'Revenue Jrnl'!$E476)</f>
        <v/>
      </c>
      <c r="H470" s="518">
        <f>'Revenue Jrnl'!H476</f>
        <v>0</v>
      </c>
      <c r="I470" s="518" t="str">
        <f t="shared" si="14"/>
        <v>0</v>
      </c>
      <c r="J470" s="520" t="b">
        <f t="shared" si="15"/>
        <v>0</v>
      </c>
      <c r="K470" s="521">
        <f>'Revenue Jrnl'!$G476</f>
        <v>0</v>
      </c>
      <c r="L470" s="522"/>
      <c r="M470" s="523"/>
      <c r="N470" s="524">
        <f>'Revenue Jrnl'!$H266</f>
        <v>0</v>
      </c>
    </row>
    <row r="471" spans="2:14" s="1" customFormat="1" ht="30" hidden="1" customHeight="1" x14ac:dyDescent="0.2">
      <c r="B471" s="517">
        <f>IF(AND('Revenue Jrnl'!G477&lt;&gt;"",'Revenue Jrnl'!C477&lt;&gt;""),1,0)</f>
        <v>0</v>
      </c>
      <c r="C471" s="517">
        <f>'Revenue Jrnl'!$C477</f>
        <v>0</v>
      </c>
      <c r="D471" s="518">
        <f>'Revenue Jrnl'!$D477</f>
        <v>0</v>
      </c>
      <c r="E471" s="1523">
        <f>'Revenue Jrnl'!$F477</f>
        <v>0</v>
      </c>
      <c r="F471" s="1523"/>
      <c r="G471" s="519" t="str">
        <f>IF('Revenue Jrnl'!$E477="","",'Revenue Jrnl'!$E477)</f>
        <v/>
      </c>
      <c r="H471" s="518">
        <f>'Revenue Jrnl'!H477</f>
        <v>0</v>
      </c>
      <c r="I471" s="518" t="str">
        <f t="shared" si="14"/>
        <v>0</v>
      </c>
      <c r="J471" s="520" t="b">
        <f t="shared" si="15"/>
        <v>0</v>
      </c>
      <c r="K471" s="521">
        <f>'Revenue Jrnl'!$G477</f>
        <v>0</v>
      </c>
      <c r="L471" s="522"/>
      <c r="M471" s="523"/>
      <c r="N471" s="524">
        <f>'Revenue Jrnl'!$H267</f>
        <v>0</v>
      </c>
    </row>
    <row r="472" spans="2:14" s="1" customFormat="1" ht="30" hidden="1" customHeight="1" x14ac:dyDescent="0.2">
      <c r="B472" s="517">
        <f>IF(AND('Revenue Jrnl'!G478&lt;&gt;"",'Revenue Jrnl'!C478&lt;&gt;""),1,0)</f>
        <v>0</v>
      </c>
      <c r="C472" s="517">
        <f>'Revenue Jrnl'!$C478</f>
        <v>0</v>
      </c>
      <c r="D472" s="518">
        <f>'Revenue Jrnl'!$D478</f>
        <v>0</v>
      </c>
      <c r="E472" s="1523">
        <f>'Revenue Jrnl'!$F478</f>
        <v>0</v>
      </c>
      <c r="F472" s="1523"/>
      <c r="G472" s="519" t="str">
        <f>IF('Revenue Jrnl'!$E478="","",'Revenue Jrnl'!$E478)</f>
        <v/>
      </c>
      <c r="H472" s="518">
        <f>'Revenue Jrnl'!H478</f>
        <v>0</v>
      </c>
      <c r="I472" s="518" t="str">
        <f t="shared" si="14"/>
        <v>0</v>
      </c>
      <c r="J472" s="520" t="b">
        <f t="shared" si="15"/>
        <v>0</v>
      </c>
      <c r="K472" s="521">
        <f>'Revenue Jrnl'!$G478</f>
        <v>0</v>
      </c>
      <c r="L472" s="522"/>
      <c r="M472" s="523"/>
      <c r="N472" s="524">
        <f>'Revenue Jrnl'!$H268</f>
        <v>0</v>
      </c>
    </row>
    <row r="473" spans="2:14" s="1" customFormat="1" ht="30" hidden="1" customHeight="1" x14ac:dyDescent="0.2">
      <c r="B473" s="517">
        <f>IF(AND('Revenue Jrnl'!G479&lt;&gt;"",'Revenue Jrnl'!C479&lt;&gt;""),1,0)</f>
        <v>0</v>
      </c>
      <c r="C473" s="517">
        <f>'Revenue Jrnl'!$C479</f>
        <v>0</v>
      </c>
      <c r="D473" s="518">
        <f>'Revenue Jrnl'!$D479</f>
        <v>0</v>
      </c>
      <c r="E473" s="1523">
        <f>'Revenue Jrnl'!$F479</f>
        <v>0</v>
      </c>
      <c r="F473" s="1523"/>
      <c r="G473" s="519" t="str">
        <f>IF('Revenue Jrnl'!$E479="","",'Revenue Jrnl'!$E479)</f>
        <v/>
      </c>
      <c r="H473" s="518">
        <f>'Revenue Jrnl'!H479</f>
        <v>0</v>
      </c>
      <c r="I473" s="518" t="str">
        <f t="shared" si="14"/>
        <v>0</v>
      </c>
      <c r="J473" s="520" t="b">
        <f t="shared" si="15"/>
        <v>0</v>
      </c>
      <c r="K473" s="521">
        <f>'Revenue Jrnl'!$G479</f>
        <v>0</v>
      </c>
      <c r="L473" s="522"/>
      <c r="M473" s="523"/>
      <c r="N473" s="524">
        <f>'Revenue Jrnl'!$H269</f>
        <v>0</v>
      </c>
    </row>
    <row r="474" spans="2:14" s="1" customFormat="1" ht="30" hidden="1" customHeight="1" x14ac:dyDescent="0.2">
      <c r="B474" s="517">
        <f>IF(AND('Revenue Jrnl'!G480&lt;&gt;"",'Revenue Jrnl'!C480&lt;&gt;""),1,0)</f>
        <v>0</v>
      </c>
      <c r="C474" s="517">
        <f>'Revenue Jrnl'!$C480</f>
        <v>0</v>
      </c>
      <c r="D474" s="518">
        <f>'Revenue Jrnl'!$D480</f>
        <v>0</v>
      </c>
      <c r="E474" s="1523">
        <f>'Revenue Jrnl'!$F480</f>
        <v>0</v>
      </c>
      <c r="F474" s="1523"/>
      <c r="G474" s="519" t="str">
        <f>IF('Revenue Jrnl'!$E480="","",'Revenue Jrnl'!$E480)</f>
        <v/>
      </c>
      <c r="H474" s="518">
        <f>'Revenue Jrnl'!H480</f>
        <v>0</v>
      </c>
      <c r="I474" s="518" t="str">
        <f t="shared" si="14"/>
        <v>0</v>
      </c>
      <c r="J474" s="520" t="b">
        <f t="shared" si="15"/>
        <v>0</v>
      </c>
      <c r="K474" s="521">
        <f>'Revenue Jrnl'!$G480</f>
        <v>0</v>
      </c>
      <c r="L474" s="522"/>
      <c r="M474" s="523"/>
      <c r="N474" s="524">
        <f>'Revenue Jrnl'!$H270</f>
        <v>0</v>
      </c>
    </row>
    <row r="475" spans="2:14" s="1" customFormat="1" ht="30" hidden="1" customHeight="1" x14ac:dyDescent="0.2">
      <c r="B475" s="517">
        <f>IF(AND('Revenue Jrnl'!G481&lt;&gt;"",'Revenue Jrnl'!C481&lt;&gt;""),1,0)</f>
        <v>0</v>
      </c>
      <c r="C475" s="517">
        <f>'Revenue Jrnl'!$C481</f>
        <v>0</v>
      </c>
      <c r="D475" s="518">
        <f>'Revenue Jrnl'!$D481</f>
        <v>0</v>
      </c>
      <c r="E475" s="1523">
        <f>'Revenue Jrnl'!$F481</f>
        <v>0</v>
      </c>
      <c r="F475" s="1523"/>
      <c r="G475" s="519" t="str">
        <f>IF('Revenue Jrnl'!$E481="","",'Revenue Jrnl'!$E481)</f>
        <v/>
      </c>
      <c r="H475" s="518">
        <f>'Revenue Jrnl'!H481</f>
        <v>0</v>
      </c>
      <c r="I475" s="518" t="str">
        <f t="shared" si="14"/>
        <v>0</v>
      </c>
      <c r="J475" s="520" t="b">
        <f t="shared" si="15"/>
        <v>0</v>
      </c>
      <c r="K475" s="521">
        <f>'Revenue Jrnl'!$G481</f>
        <v>0</v>
      </c>
      <c r="L475" s="522"/>
      <c r="M475" s="523"/>
      <c r="N475" s="524">
        <f>'Revenue Jrnl'!$H271</f>
        <v>0</v>
      </c>
    </row>
    <row r="476" spans="2:14" s="1" customFormat="1" ht="30" hidden="1" customHeight="1" x14ac:dyDescent="0.2">
      <c r="B476" s="517">
        <f>IF(AND('Revenue Jrnl'!G482&lt;&gt;"",'Revenue Jrnl'!C482&lt;&gt;""),1,0)</f>
        <v>0</v>
      </c>
      <c r="C476" s="517">
        <f>'Revenue Jrnl'!$C482</f>
        <v>0</v>
      </c>
      <c r="D476" s="518">
        <f>'Revenue Jrnl'!$D482</f>
        <v>0</v>
      </c>
      <c r="E476" s="1523">
        <f>'Revenue Jrnl'!$F482</f>
        <v>0</v>
      </c>
      <c r="F476" s="1523"/>
      <c r="G476" s="519" t="str">
        <f>IF('Revenue Jrnl'!$E482="","",'Revenue Jrnl'!$E482)</f>
        <v/>
      </c>
      <c r="H476" s="518">
        <f>'Revenue Jrnl'!H482</f>
        <v>0</v>
      </c>
      <c r="I476" s="518" t="str">
        <f t="shared" si="14"/>
        <v>0</v>
      </c>
      <c r="J476" s="520" t="b">
        <f t="shared" si="15"/>
        <v>0</v>
      </c>
      <c r="K476" s="521">
        <f>'Revenue Jrnl'!$G482</f>
        <v>0</v>
      </c>
      <c r="L476" s="522"/>
      <c r="M476" s="523"/>
      <c r="N476" s="524">
        <f>'Revenue Jrnl'!$H272</f>
        <v>0</v>
      </c>
    </row>
    <row r="477" spans="2:14" s="1" customFormat="1" ht="30" hidden="1" customHeight="1" x14ac:dyDescent="0.2">
      <c r="B477" s="517">
        <f>IF(AND('Revenue Jrnl'!G483&lt;&gt;"",'Revenue Jrnl'!C483&lt;&gt;""),1,0)</f>
        <v>0</v>
      </c>
      <c r="C477" s="517">
        <f>'Revenue Jrnl'!$C483</f>
        <v>0</v>
      </c>
      <c r="D477" s="518">
        <f>'Revenue Jrnl'!$D483</f>
        <v>0</v>
      </c>
      <c r="E477" s="1523">
        <f>'Revenue Jrnl'!$F483</f>
        <v>0</v>
      </c>
      <c r="F477" s="1523"/>
      <c r="G477" s="519" t="str">
        <f>IF('Revenue Jrnl'!$E483="","",'Revenue Jrnl'!$E483)</f>
        <v/>
      </c>
      <c r="H477" s="518">
        <f>'Revenue Jrnl'!H483</f>
        <v>0</v>
      </c>
      <c r="I477" s="518" t="str">
        <f t="shared" si="14"/>
        <v>0</v>
      </c>
      <c r="J477" s="520" t="b">
        <f t="shared" si="15"/>
        <v>0</v>
      </c>
      <c r="K477" s="521">
        <f>'Revenue Jrnl'!$G483</f>
        <v>0</v>
      </c>
      <c r="L477" s="522"/>
      <c r="M477" s="523"/>
      <c r="N477" s="524">
        <f>'Revenue Jrnl'!$H273</f>
        <v>0</v>
      </c>
    </row>
    <row r="478" spans="2:14" s="1" customFormat="1" ht="30" hidden="1" customHeight="1" x14ac:dyDescent="0.2">
      <c r="B478" s="517">
        <f>IF(AND('Revenue Jrnl'!G484&lt;&gt;"",'Revenue Jrnl'!C484&lt;&gt;""),1,0)</f>
        <v>0</v>
      </c>
      <c r="C478" s="517">
        <f>'Revenue Jrnl'!$C484</f>
        <v>0</v>
      </c>
      <c r="D478" s="518">
        <f>'Revenue Jrnl'!$D484</f>
        <v>0</v>
      </c>
      <c r="E478" s="1523">
        <f>'Revenue Jrnl'!$F484</f>
        <v>0</v>
      </c>
      <c r="F478" s="1523"/>
      <c r="G478" s="519" t="str">
        <f>IF('Revenue Jrnl'!$E484="","",'Revenue Jrnl'!$E484)</f>
        <v/>
      </c>
      <c r="H478" s="518">
        <f>'Revenue Jrnl'!H484</f>
        <v>0</v>
      </c>
      <c r="I478" s="518" t="str">
        <f t="shared" si="14"/>
        <v>0</v>
      </c>
      <c r="J478" s="520" t="b">
        <f t="shared" si="15"/>
        <v>0</v>
      </c>
      <c r="K478" s="521">
        <f>'Revenue Jrnl'!$G484</f>
        <v>0</v>
      </c>
      <c r="L478" s="522"/>
      <c r="M478" s="523"/>
      <c r="N478" s="524">
        <f>'Revenue Jrnl'!$H274</f>
        <v>0</v>
      </c>
    </row>
    <row r="479" spans="2:14" s="1" customFormat="1" ht="30" hidden="1" customHeight="1" x14ac:dyDescent="0.2">
      <c r="B479" s="517">
        <f>IF(AND('Revenue Jrnl'!G485&lt;&gt;"",'Revenue Jrnl'!C485&lt;&gt;""),1,0)</f>
        <v>0</v>
      </c>
      <c r="C479" s="517">
        <f>'Revenue Jrnl'!$C485</f>
        <v>0</v>
      </c>
      <c r="D479" s="518">
        <f>'Revenue Jrnl'!$D485</f>
        <v>0</v>
      </c>
      <c r="E479" s="1523">
        <f>'Revenue Jrnl'!$F485</f>
        <v>0</v>
      </c>
      <c r="F479" s="1523"/>
      <c r="G479" s="519" t="str">
        <f>IF('Revenue Jrnl'!$E485="","",'Revenue Jrnl'!$E485)</f>
        <v/>
      </c>
      <c r="H479" s="518">
        <f>'Revenue Jrnl'!H485</f>
        <v>0</v>
      </c>
      <c r="I479" s="518" t="str">
        <f t="shared" si="14"/>
        <v>0</v>
      </c>
      <c r="J479" s="520" t="b">
        <f t="shared" si="15"/>
        <v>0</v>
      </c>
      <c r="K479" s="521">
        <f>'Revenue Jrnl'!$G485</f>
        <v>0</v>
      </c>
      <c r="L479" s="522"/>
      <c r="M479" s="523"/>
      <c r="N479" s="524">
        <f>'Revenue Jrnl'!$H275</f>
        <v>0</v>
      </c>
    </row>
    <row r="480" spans="2:14" s="1" customFormat="1" ht="30" hidden="1" customHeight="1" x14ac:dyDescent="0.2">
      <c r="B480" s="517">
        <f>IF(AND('Revenue Jrnl'!G486&lt;&gt;"",'Revenue Jrnl'!C486&lt;&gt;""),1,0)</f>
        <v>0</v>
      </c>
      <c r="C480" s="517">
        <f>'Revenue Jrnl'!$C486</f>
        <v>0</v>
      </c>
      <c r="D480" s="518">
        <f>'Revenue Jrnl'!$D486</f>
        <v>0</v>
      </c>
      <c r="E480" s="1523">
        <f>'Revenue Jrnl'!$F486</f>
        <v>0</v>
      </c>
      <c r="F480" s="1523"/>
      <c r="G480" s="519" t="str">
        <f>IF('Revenue Jrnl'!$E486="","",'Revenue Jrnl'!$E486)</f>
        <v/>
      </c>
      <c r="H480" s="518">
        <f>'Revenue Jrnl'!H486</f>
        <v>0</v>
      </c>
      <c r="I480" s="518" t="str">
        <f t="shared" si="14"/>
        <v>0</v>
      </c>
      <c r="J480" s="520" t="b">
        <f t="shared" si="15"/>
        <v>0</v>
      </c>
      <c r="K480" s="521">
        <f>'Revenue Jrnl'!$G486</f>
        <v>0</v>
      </c>
      <c r="L480" s="522"/>
      <c r="M480" s="523"/>
      <c r="N480" s="524">
        <f>'Revenue Jrnl'!$H276</f>
        <v>0</v>
      </c>
    </row>
    <row r="481" spans="2:14" s="1" customFormat="1" ht="30" hidden="1" customHeight="1" x14ac:dyDescent="0.2">
      <c r="B481" s="517">
        <f>IF(AND('Revenue Jrnl'!G487&lt;&gt;"",'Revenue Jrnl'!C487&lt;&gt;""),1,0)</f>
        <v>0</v>
      </c>
      <c r="C481" s="517">
        <f>'Revenue Jrnl'!$C487</f>
        <v>0</v>
      </c>
      <c r="D481" s="518">
        <f>'Revenue Jrnl'!$D487</f>
        <v>0</v>
      </c>
      <c r="E481" s="1523">
        <f>'Revenue Jrnl'!$F487</f>
        <v>0</v>
      </c>
      <c r="F481" s="1523"/>
      <c r="G481" s="519" t="str">
        <f>IF('Revenue Jrnl'!$E487="","",'Revenue Jrnl'!$E487)</f>
        <v/>
      </c>
      <c r="H481" s="518">
        <f>'Revenue Jrnl'!H487</f>
        <v>0</v>
      </c>
      <c r="I481" s="518" t="str">
        <f t="shared" si="14"/>
        <v>0</v>
      </c>
      <c r="J481" s="520" t="b">
        <f t="shared" si="15"/>
        <v>0</v>
      </c>
      <c r="K481" s="521">
        <f>'Revenue Jrnl'!$G487</f>
        <v>0</v>
      </c>
      <c r="L481" s="522"/>
      <c r="M481" s="523"/>
      <c r="N481" s="524">
        <f>'Revenue Jrnl'!$H277</f>
        <v>0</v>
      </c>
    </row>
    <row r="482" spans="2:14" s="1" customFormat="1" ht="30" hidden="1" customHeight="1" x14ac:dyDescent="0.2">
      <c r="B482" s="517">
        <f>IF(AND('Revenue Jrnl'!G488&lt;&gt;"",'Revenue Jrnl'!C488&lt;&gt;""),1,0)</f>
        <v>0</v>
      </c>
      <c r="C482" s="517">
        <f>'Revenue Jrnl'!$C488</f>
        <v>0</v>
      </c>
      <c r="D482" s="518">
        <f>'Revenue Jrnl'!$D488</f>
        <v>0</v>
      </c>
      <c r="E482" s="1523">
        <f>'Revenue Jrnl'!$F488</f>
        <v>0</v>
      </c>
      <c r="F482" s="1523"/>
      <c r="G482" s="519" t="str">
        <f>IF('Revenue Jrnl'!$E488="","",'Revenue Jrnl'!$E488)</f>
        <v/>
      </c>
      <c r="H482" s="518">
        <f>'Revenue Jrnl'!H488</f>
        <v>0</v>
      </c>
      <c r="I482" s="518" t="str">
        <f t="shared" si="14"/>
        <v>0</v>
      </c>
      <c r="J482" s="520" t="b">
        <f t="shared" si="15"/>
        <v>0</v>
      </c>
      <c r="K482" s="521">
        <f>'Revenue Jrnl'!$G488</f>
        <v>0</v>
      </c>
      <c r="L482" s="522"/>
      <c r="M482" s="523"/>
      <c r="N482" s="524">
        <f>'Revenue Jrnl'!$H278</f>
        <v>0</v>
      </c>
    </row>
    <row r="483" spans="2:14" s="1" customFormat="1" ht="30" hidden="1" customHeight="1" x14ac:dyDescent="0.2">
      <c r="B483" s="517">
        <f>IF(AND('Revenue Jrnl'!G489&lt;&gt;"",'Revenue Jrnl'!C489&lt;&gt;""),1,0)</f>
        <v>0</v>
      </c>
      <c r="C483" s="517">
        <f>'Revenue Jrnl'!$C489</f>
        <v>0</v>
      </c>
      <c r="D483" s="518">
        <f>'Revenue Jrnl'!$D489</f>
        <v>0</v>
      </c>
      <c r="E483" s="1523">
        <f>'Revenue Jrnl'!$F489</f>
        <v>0</v>
      </c>
      <c r="F483" s="1523"/>
      <c r="G483" s="519" t="str">
        <f>IF('Revenue Jrnl'!$E489="","",'Revenue Jrnl'!$E489)</f>
        <v/>
      </c>
      <c r="H483" s="518">
        <f>'Revenue Jrnl'!H489</f>
        <v>0</v>
      </c>
      <c r="I483" s="518" t="str">
        <f t="shared" si="14"/>
        <v>0</v>
      </c>
      <c r="J483" s="520" t="b">
        <f t="shared" si="15"/>
        <v>0</v>
      </c>
      <c r="K483" s="521">
        <f>'Revenue Jrnl'!$G489</f>
        <v>0</v>
      </c>
      <c r="L483" s="522"/>
      <c r="M483" s="523"/>
      <c r="N483" s="524">
        <f>'Revenue Jrnl'!$H279</f>
        <v>0</v>
      </c>
    </row>
    <row r="484" spans="2:14" s="1" customFormat="1" ht="30" hidden="1" customHeight="1" x14ac:dyDescent="0.2">
      <c r="B484" s="517">
        <f>IF(AND('Revenue Jrnl'!G490&lt;&gt;"",'Revenue Jrnl'!C490&lt;&gt;""),1,0)</f>
        <v>0</v>
      </c>
      <c r="C484" s="517">
        <f>'Revenue Jrnl'!$C490</f>
        <v>0</v>
      </c>
      <c r="D484" s="518">
        <f>'Revenue Jrnl'!$D490</f>
        <v>0</v>
      </c>
      <c r="E484" s="1523">
        <f>'Revenue Jrnl'!$F490</f>
        <v>0</v>
      </c>
      <c r="F484" s="1523"/>
      <c r="G484" s="519" t="str">
        <f>IF('Revenue Jrnl'!$E490="","",'Revenue Jrnl'!$E490)</f>
        <v/>
      </c>
      <c r="H484" s="518">
        <f>'Revenue Jrnl'!H490</f>
        <v>0</v>
      </c>
      <c r="I484" s="518" t="str">
        <f t="shared" si="14"/>
        <v>0</v>
      </c>
      <c r="J484" s="520" t="b">
        <f t="shared" si="15"/>
        <v>0</v>
      </c>
      <c r="K484" s="521">
        <f>'Revenue Jrnl'!$G490</f>
        <v>0</v>
      </c>
      <c r="L484" s="522"/>
      <c r="M484" s="523"/>
      <c r="N484" s="524">
        <f>'Revenue Jrnl'!$H280</f>
        <v>0</v>
      </c>
    </row>
    <row r="485" spans="2:14" s="1" customFormat="1" ht="30" hidden="1" customHeight="1" x14ac:dyDescent="0.2">
      <c r="B485" s="517">
        <f>IF(AND('Revenue Jrnl'!G491&lt;&gt;"",'Revenue Jrnl'!C491&lt;&gt;""),1,0)</f>
        <v>0</v>
      </c>
      <c r="C485" s="517">
        <f>'Revenue Jrnl'!$C491</f>
        <v>0</v>
      </c>
      <c r="D485" s="518">
        <f>'Revenue Jrnl'!$D491</f>
        <v>0</v>
      </c>
      <c r="E485" s="1523">
        <f>'Revenue Jrnl'!$F491</f>
        <v>0</v>
      </c>
      <c r="F485" s="1523"/>
      <c r="G485" s="519" t="str">
        <f>IF('Revenue Jrnl'!$E491="","",'Revenue Jrnl'!$E491)</f>
        <v/>
      </c>
      <c r="H485" s="518">
        <f>'Revenue Jrnl'!H491</f>
        <v>0</v>
      </c>
      <c r="I485" s="518" t="str">
        <f t="shared" si="14"/>
        <v>0</v>
      </c>
      <c r="J485" s="520" t="b">
        <f t="shared" si="15"/>
        <v>0</v>
      </c>
      <c r="K485" s="521">
        <f>'Revenue Jrnl'!$G491</f>
        <v>0</v>
      </c>
      <c r="L485" s="522"/>
      <c r="M485" s="523"/>
      <c r="N485" s="524">
        <f>'Revenue Jrnl'!$H281</f>
        <v>0</v>
      </c>
    </row>
    <row r="486" spans="2:14" s="1" customFormat="1" ht="30" hidden="1" customHeight="1" x14ac:dyDescent="0.2">
      <c r="B486" s="517">
        <f>IF(AND('Revenue Jrnl'!G492&lt;&gt;"",'Revenue Jrnl'!C492&lt;&gt;""),1,0)</f>
        <v>0</v>
      </c>
      <c r="C486" s="517">
        <f>'Revenue Jrnl'!$C492</f>
        <v>0</v>
      </c>
      <c r="D486" s="518">
        <f>'Revenue Jrnl'!$D492</f>
        <v>0</v>
      </c>
      <c r="E486" s="1523">
        <f>'Revenue Jrnl'!$F492</f>
        <v>0</v>
      </c>
      <c r="F486" s="1523"/>
      <c r="G486" s="519" t="str">
        <f>IF('Revenue Jrnl'!$E492="","",'Revenue Jrnl'!$E492)</f>
        <v/>
      </c>
      <c r="H486" s="518">
        <f>'Revenue Jrnl'!H492</f>
        <v>0</v>
      </c>
      <c r="I486" s="518" t="str">
        <f t="shared" si="14"/>
        <v>0</v>
      </c>
      <c r="J486" s="520" t="b">
        <f t="shared" si="15"/>
        <v>0</v>
      </c>
      <c r="K486" s="521">
        <f>'Revenue Jrnl'!$G492</f>
        <v>0</v>
      </c>
      <c r="L486" s="522"/>
      <c r="M486" s="523"/>
      <c r="N486" s="524">
        <f>'Revenue Jrnl'!$H282</f>
        <v>0</v>
      </c>
    </row>
    <row r="487" spans="2:14" s="1" customFormat="1" ht="30" hidden="1" customHeight="1" x14ac:dyDescent="0.2">
      <c r="B487" s="517">
        <f>IF(AND('Revenue Jrnl'!G493&lt;&gt;"",'Revenue Jrnl'!C493&lt;&gt;""),1,0)</f>
        <v>0</v>
      </c>
      <c r="C487" s="517">
        <f>'Revenue Jrnl'!$C493</f>
        <v>0</v>
      </c>
      <c r="D487" s="518">
        <f>'Revenue Jrnl'!$D493</f>
        <v>0</v>
      </c>
      <c r="E487" s="1523">
        <f>'Revenue Jrnl'!$F493</f>
        <v>0</v>
      </c>
      <c r="F487" s="1523"/>
      <c r="G487" s="519" t="str">
        <f>IF('Revenue Jrnl'!$E493="","",'Revenue Jrnl'!$E493)</f>
        <v/>
      </c>
      <c r="H487" s="518">
        <f>'Revenue Jrnl'!H493</f>
        <v>0</v>
      </c>
      <c r="I487" s="518" t="str">
        <f t="shared" si="14"/>
        <v>0</v>
      </c>
      <c r="J487" s="520" t="b">
        <f t="shared" si="15"/>
        <v>0</v>
      </c>
      <c r="K487" s="521">
        <f>'Revenue Jrnl'!$G493</f>
        <v>0</v>
      </c>
      <c r="L487" s="522"/>
      <c r="M487" s="523"/>
      <c r="N487" s="524">
        <f>'Revenue Jrnl'!$H283</f>
        <v>0</v>
      </c>
    </row>
    <row r="488" spans="2:14" s="1" customFormat="1" ht="30" hidden="1" customHeight="1" x14ac:dyDescent="0.2">
      <c r="B488" s="517">
        <f>IF(AND('Revenue Jrnl'!G494&lt;&gt;"",'Revenue Jrnl'!C494&lt;&gt;""),1,0)</f>
        <v>0</v>
      </c>
      <c r="C488" s="517">
        <f>'Revenue Jrnl'!$C494</f>
        <v>0</v>
      </c>
      <c r="D488" s="518">
        <f>'Revenue Jrnl'!$D494</f>
        <v>0</v>
      </c>
      <c r="E488" s="1523">
        <f>'Revenue Jrnl'!$F494</f>
        <v>0</v>
      </c>
      <c r="F488" s="1523"/>
      <c r="G488" s="519" t="str">
        <f>IF('Revenue Jrnl'!$E494="","",'Revenue Jrnl'!$E494)</f>
        <v/>
      </c>
      <c r="H488" s="518">
        <f>'Revenue Jrnl'!H494</f>
        <v>0</v>
      </c>
      <c r="I488" s="518" t="str">
        <f t="shared" si="14"/>
        <v>0</v>
      </c>
      <c r="J488" s="520" t="b">
        <f t="shared" si="15"/>
        <v>0</v>
      </c>
      <c r="K488" s="521">
        <f>'Revenue Jrnl'!$G494</f>
        <v>0</v>
      </c>
      <c r="L488" s="522"/>
      <c r="M488" s="523"/>
      <c r="N488" s="524">
        <f>'Revenue Jrnl'!$H284</f>
        <v>0</v>
      </c>
    </row>
    <row r="489" spans="2:14" s="1" customFormat="1" ht="30" hidden="1" customHeight="1" x14ac:dyDescent="0.2">
      <c r="B489" s="517">
        <f>IF(AND('Revenue Jrnl'!G495&lt;&gt;"",'Revenue Jrnl'!C495&lt;&gt;""),1,0)</f>
        <v>0</v>
      </c>
      <c r="C489" s="517">
        <f>'Revenue Jrnl'!$C495</f>
        <v>0</v>
      </c>
      <c r="D489" s="518">
        <f>'Revenue Jrnl'!$D495</f>
        <v>0</v>
      </c>
      <c r="E489" s="1523">
        <f>'Revenue Jrnl'!$F495</f>
        <v>0</v>
      </c>
      <c r="F489" s="1523"/>
      <c r="G489" s="519" t="str">
        <f>IF('Revenue Jrnl'!$E495="","",'Revenue Jrnl'!$E495)</f>
        <v/>
      </c>
      <c r="H489" s="518">
        <f>'Revenue Jrnl'!H495</f>
        <v>0</v>
      </c>
      <c r="I489" s="518" t="str">
        <f t="shared" si="14"/>
        <v>0</v>
      </c>
      <c r="J489" s="520" t="b">
        <f t="shared" si="15"/>
        <v>0</v>
      </c>
      <c r="K489" s="521">
        <f>'Revenue Jrnl'!$G495</f>
        <v>0</v>
      </c>
      <c r="L489" s="522"/>
      <c r="M489" s="523"/>
      <c r="N489" s="524">
        <f>'Revenue Jrnl'!$H285</f>
        <v>0</v>
      </c>
    </row>
    <row r="490" spans="2:14" s="1" customFormat="1" ht="30" hidden="1" customHeight="1" x14ac:dyDescent="0.2">
      <c r="B490" s="517">
        <f>IF(AND('Revenue Jrnl'!G496&lt;&gt;"",'Revenue Jrnl'!C496&lt;&gt;""),1,0)</f>
        <v>0</v>
      </c>
      <c r="C490" s="517">
        <f>'Revenue Jrnl'!$C496</f>
        <v>0</v>
      </c>
      <c r="D490" s="518">
        <f>'Revenue Jrnl'!$D496</f>
        <v>0</v>
      </c>
      <c r="E490" s="1523">
        <f>'Revenue Jrnl'!$F496</f>
        <v>0</v>
      </c>
      <c r="F490" s="1523"/>
      <c r="G490" s="519" t="str">
        <f>IF('Revenue Jrnl'!$E496="","",'Revenue Jrnl'!$E496)</f>
        <v/>
      </c>
      <c r="H490" s="518">
        <f>'Revenue Jrnl'!H496</f>
        <v>0</v>
      </c>
      <c r="I490" s="518" t="str">
        <f t="shared" si="14"/>
        <v>0</v>
      </c>
      <c r="J490" s="520" t="b">
        <f t="shared" si="15"/>
        <v>0</v>
      </c>
      <c r="K490" s="521">
        <f>'Revenue Jrnl'!$G496</f>
        <v>0</v>
      </c>
      <c r="L490" s="522"/>
      <c r="M490" s="523"/>
      <c r="N490" s="524">
        <f>'Revenue Jrnl'!$H286</f>
        <v>0</v>
      </c>
    </row>
    <row r="491" spans="2:14" s="1" customFormat="1" ht="30" hidden="1" customHeight="1" x14ac:dyDescent="0.2">
      <c r="B491" s="517">
        <f>IF(AND('Revenue Jrnl'!G497&lt;&gt;"",'Revenue Jrnl'!C497&lt;&gt;""),1,0)</f>
        <v>0</v>
      </c>
      <c r="C491" s="517">
        <f>'Revenue Jrnl'!$C497</f>
        <v>0</v>
      </c>
      <c r="D491" s="518">
        <f>'Revenue Jrnl'!$D497</f>
        <v>0</v>
      </c>
      <c r="E491" s="1523">
        <f>'Revenue Jrnl'!$F497</f>
        <v>0</v>
      </c>
      <c r="F491" s="1523"/>
      <c r="G491" s="519" t="str">
        <f>IF('Revenue Jrnl'!$E497="","",'Revenue Jrnl'!$E497)</f>
        <v/>
      </c>
      <c r="H491" s="518">
        <f>'Revenue Jrnl'!H497</f>
        <v>0</v>
      </c>
      <c r="I491" s="518" t="str">
        <f t="shared" si="14"/>
        <v>0</v>
      </c>
      <c r="J491" s="520" t="b">
        <f t="shared" si="15"/>
        <v>0</v>
      </c>
      <c r="K491" s="521">
        <f>'Revenue Jrnl'!$G497</f>
        <v>0</v>
      </c>
      <c r="L491" s="522"/>
      <c r="M491" s="523"/>
      <c r="N491" s="524">
        <f>'Revenue Jrnl'!$H287</f>
        <v>0</v>
      </c>
    </row>
    <row r="492" spans="2:14" s="1" customFormat="1" ht="30" hidden="1" customHeight="1" x14ac:dyDescent="0.2">
      <c r="B492" s="517">
        <f>IF(AND('Revenue Jrnl'!G498&lt;&gt;"",'Revenue Jrnl'!C498&lt;&gt;""),1,0)</f>
        <v>0</v>
      </c>
      <c r="C492" s="517">
        <f>'Revenue Jrnl'!$C498</f>
        <v>0</v>
      </c>
      <c r="D492" s="518">
        <f>'Revenue Jrnl'!$D498</f>
        <v>0</v>
      </c>
      <c r="E492" s="1523">
        <f>'Revenue Jrnl'!$F498</f>
        <v>0</v>
      </c>
      <c r="F492" s="1523"/>
      <c r="G492" s="519" t="str">
        <f>IF('Revenue Jrnl'!$E498="","",'Revenue Jrnl'!$E498)</f>
        <v/>
      </c>
      <c r="H492" s="518">
        <f>'Revenue Jrnl'!H498</f>
        <v>0</v>
      </c>
      <c r="I492" s="518" t="str">
        <f t="shared" si="14"/>
        <v>0</v>
      </c>
      <c r="J492" s="520" t="b">
        <f t="shared" si="15"/>
        <v>0</v>
      </c>
      <c r="K492" s="521">
        <f>'Revenue Jrnl'!$G498</f>
        <v>0</v>
      </c>
      <c r="L492" s="522"/>
      <c r="M492" s="523"/>
      <c r="N492" s="524">
        <f>'Revenue Jrnl'!$H288</f>
        <v>0</v>
      </c>
    </row>
    <row r="493" spans="2:14" s="1" customFormat="1" ht="30" hidden="1" customHeight="1" x14ac:dyDescent="0.2">
      <c r="B493" s="517">
        <f>IF(AND('Revenue Jrnl'!G499&lt;&gt;"",'Revenue Jrnl'!C499&lt;&gt;""),1,0)</f>
        <v>0</v>
      </c>
      <c r="C493" s="517">
        <f>'Revenue Jrnl'!$C499</f>
        <v>0</v>
      </c>
      <c r="D493" s="518">
        <f>'Revenue Jrnl'!$D499</f>
        <v>0</v>
      </c>
      <c r="E493" s="1523">
        <f>'Revenue Jrnl'!$F499</f>
        <v>0</v>
      </c>
      <c r="F493" s="1523"/>
      <c r="G493" s="519" t="str">
        <f>IF('Revenue Jrnl'!$E499="","",'Revenue Jrnl'!$E499)</f>
        <v/>
      </c>
      <c r="H493" s="518">
        <f>'Revenue Jrnl'!H499</f>
        <v>0</v>
      </c>
      <c r="I493" s="518" t="str">
        <f t="shared" si="14"/>
        <v>0</v>
      </c>
      <c r="J493" s="520" t="b">
        <f t="shared" si="15"/>
        <v>0</v>
      </c>
      <c r="K493" s="521">
        <f>'Revenue Jrnl'!$G499</f>
        <v>0</v>
      </c>
      <c r="L493" s="522"/>
      <c r="M493" s="523"/>
      <c r="N493" s="524">
        <f>'Revenue Jrnl'!$H289</f>
        <v>0</v>
      </c>
    </row>
    <row r="494" spans="2:14" s="1" customFormat="1" ht="30" hidden="1" customHeight="1" x14ac:dyDescent="0.2">
      <c r="B494" s="517">
        <f>IF(AND('Revenue Jrnl'!G500&lt;&gt;"",'Revenue Jrnl'!C500&lt;&gt;""),1,0)</f>
        <v>0</v>
      </c>
      <c r="C494" s="517">
        <f>'Revenue Jrnl'!$C500</f>
        <v>0</v>
      </c>
      <c r="D494" s="518">
        <f>'Revenue Jrnl'!$D500</f>
        <v>0</v>
      </c>
      <c r="E494" s="1523">
        <f>'Revenue Jrnl'!$F500</f>
        <v>0</v>
      </c>
      <c r="F494" s="1523"/>
      <c r="G494" s="519" t="str">
        <f>IF('Revenue Jrnl'!$E500="","",'Revenue Jrnl'!$E500)</f>
        <v/>
      </c>
      <c r="H494" s="518">
        <f>'Revenue Jrnl'!H500</f>
        <v>0</v>
      </c>
      <c r="I494" s="518" t="str">
        <f t="shared" si="14"/>
        <v>0</v>
      </c>
      <c r="J494" s="520" t="b">
        <f t="shared" si="15"/>
        <v>0</v>
      </c>
      <c r="K494" s="521">
        <f>'Revenue Jrnl'!$G500</f>
        <v>0</v>
      </c>
      <c r="L494" s="522"/>
      <c r="M494" s="523"/>
      <c r="N494" s="524">
        <f>'Revenue Jrnl'!$H290</f>
        <v>0</v>
      </c>
    </row>
    <row r="495" spans="2:14" s="1" customFormat="1" ht="30" hidden="1" customHeight="1" x14ac:dyDescent="0.2">
      <c r="B495" s="517">
        <f>IF(AND('Revenue Jrnl'!G501&lt;&gt;"",'Revenue Jrnl'!C501&lt;&gt;""),1,0)</f>
        <v>0</v>
      </c>
      <c r="C495" s="517">
        <f>'Revenue Jrnl'!$C501</f>
        <v>0</v>
      </c>
      <c r="D495" s="518">
        <f>'Revenue Jrnl'!$D501</f>
        <v>0</v>
      </c>
      <c r="E495" s="1523">
        <f>'Revenue Jrnl'!$F501</f>
        <v>0</v>
      </c>
      <c r="F495" s="1523"/>
      <c r="G495" s="519" t="str">
        <f>IF('Revenue Jrnl'!$E501="","",'Revenue Jrnl'!$E501)</f>
        <v/>
      </c>
      <c r="H495" s="518">
        <f>'Revenue Jrnl'!H501</f>
        <v>0</v>
      </c>
      <c r="I495" s="518" t="str">
        <f t="shared" si="14"/>
        <v>0</v>
      </c>
      <c r="J495" s="520" t="b">
        <f t="shared" si="15"/>
        <v>0</v>
      </c>
      <c r="K495" s="521">
        <f>'Revenue Jrnl'!$G501</f>
        <v>0</v>
      </c>
      <c r="L495" s="522"/>
      <c r="M495" s="523"/>
      <c r="N495" s="524">
        <f>'Revenue Jrnl'!$H291</f>
        <v>0</v>
      </c>
    </row>
    <row r="496" spans="2:14" s="1" customFormat="1" ht="30" hidden="1" customHeight="1" x14ac:dyDescent="0.2">
      <c r="B496" s="517">
        <f>IF(AND('Revenue Jrnl'!G502&lt;&gt;"",'Revenue Jrnl'!C502&lt;&gt;""),1,0)</f>
        <v>0</v>
      </c>
      <c r="C496" s="517">
        <f>'Revenue Jrnl'!$C502</f>
        <v>0</v>
      </c>
      <c r="D496" s="518">
        <f>'Revenue Jrnl'!$D502</f>
        <v>0</v>
      </c>
      <c r="E496" s="1523">
        <f>'Revenue Jrnl'!$F502</f>
        <v>0</v>
      </c>
      <c r="F496" s="1523"/>
      <c r="G496" s="519" t="str">
        <f>IF('Revenue Jrnl'!$E502="","",'Revenue Jrnl'!$E502)</f>
        <v/>
      </c>
      <c r="H496" s="518">
        <f>'Revenue Jrnl'!H502</f>
        <v>0</v>
      </c>
      <c r="I496" s="518" t="str">
        <f t="shared" si="14"/>
        <v>0</v>
      </c>
      <c r="J496" s="520" t="b">
        <f t="shared" si="15"/>
        <v>0</v>
      </c>
      <c r="K496" s="521">
        <f>'Revenue Jrnl'!$G502</f>
        <v>0</v>
      </c>
      <c r="L496" s="522"/>
      <c r="M496" s="523"/>
      <c r="N496" s="524">
        <f>'Revenue Jrnl'!$H292</f>
        <v>0</v>
      </c>
    </row>
    <row r="497" spans="2:14" s="1" customFormat="1" ht="30" hidden="1" customHeight="1" x14ac:dyDescent="0.2">
      <c r="B497" s="517">
        <f>IF(AND('Revenue Jrnl'!G503&lt;&gt;"",'Revenue Jrnl'!C503&lt;&gt;""),1,0)</f>
        <v>0</v>
      </c>
      <c r="C497" s="517">
        <f>'Revenue Jrnl'!$C503</f>
        <v>0</v>
      </c>
      <c r="D497" s="518">
        <f>'Revenue Jrnl'!$D503</f>
        <v>0</v>
      </c>
      <c r="E497" s="1523">
        <f>'Revenue Jrnl'!$F503</f>
        <v>0</v>
      </c>
      <c r="F497" s="1523"/>
      <c r="G497" s="519" t="str">
        <f>IF('Revenue Jrnl'!$E503="","",'Revenue Jrnl'!$E503)</f>
        <v/>
      </c>
      <c r="H497" s="518">
        <f>'Revenue Jrnl'!H503</f>
        <v>0</v>
      </c>
      <c r="I497" s="518" t="str">
        <f t="shared" si="14"/>
        <v>0</v>
      </c>
      <c r="J497" s="520" t="b">
        <f t="shared" si="15"/>
        <v>0</v>
      </c>
      <c r="K497" s="521">
        <f>'Revenue Jrnl'!$G503</f>
        <v>0</v>
      </c>
      <c r="L497" s="522"/>
      <c r="M497" s="523"/>
      <c r="N497" s="524">
        <f>'Revenue Jrnl'!$H293</f>
        <v>0</v>
      </c>
    </row>
    <row r="498" spans="2:14" s="1" customFormat="1" ht="30" hidden="1" customHeight="1" x14ac:dyDescent="0.2">
      <c r="B498" s="517">
        <f>IF(AND('Revenue Jrnl'!G504&lt;&gt;"",'Revenue Jrnl'!C504&lt;&gt;""),1,0)</f>
        <v>0</v>
      </c>
      <c r="C498" s="517">
        <f>'Revenue Jrnl'!$C504</f>
        <v>0</v>
      </c>
      <c r="D498" s="518">
        <f>'Revenue Jrnl'!$D504</f>
        <v>0</v>
      </c>
      <c r="E498" s="1523">
        <f>'Revenue Jrnl'!$F504</f>
        <v>0</v>
      </c>
      <c r="F498" s="1523"/>
      <c r="G498" s="519" t="str">
        <f>IF('Revenue Jrnl'!$E504="","",'Revenue Jrnl'!$E504)</f>
        <v/>
      </c>
      <c r="H498" s="518">
        <f>'Revenue Jrnl'!H504</f>
        <v>0</v>
      </c>
      <c r="I498" s="518" t="str">
        <f t="shared" si="14"/>
        <v>0</v>
      </c>
      <c r="J498" s="520" t="b">
        <f t="shared" si="15"/>
        <v>0</v>
      </c>
      <c r="K498" s="521">
        <f>'Revenue Jrnl'!$G504</f>
        <v>0</v>
      </c>
      <c r="L498" s="522"/>
      <c r="M498" s="523"/>
      <c r="N498" s="524">
        <f>'Revenue Jrnl'!$H294</f>
        <v>0</v>
      </c>
    </row>
    <row r="499" spans="2:14" s="1" customFormat="1" ht="30" hidden="1" customHeight="1" x14ac:dyDescent="0.2">
      <c r="B499" s="517">
        <f>IF(AND('Revenue Jrnl'!G505&lt;&gt;"",'Revenue Jrnl'!C505&lt;&gt;""),1,0)</f>
        <v>0</v>
      </c>
      <c r="C499" s="517">
        <f>'Revenue Jrnl'!$C505</f>
        <v>0</v>
      </c>
      <c r="D499" s="518">
        <f>'Revenue Jrnl'!$D505</f>
        <v>0</v>
      </c>
      <c r="E499" s="1523">
        <f>'Revenue Jrnl'!$F505</f>
        <v>0</v>
      </c>
      <c r="F499" s="1523"/>
      <c r="G499" s="519" t="str">
        <f>IF('Revenue Jrnl'!$E505="","",'Revenue Jrnl'!$E505)</f>
        <v/>
      </c>
      <c r="H499" s="518">
        <f>'Revenue Jrnl'!H505</f>
        <v>0</v>
      </c>
      <c r="I499" s="518" t="str">
        <f t="shared" si="14"/>
        <v>0</v>
      </c>
      <c r="J499" s="520" t="b">
        <f t="shared" si="15"/>
        <v>0</v>
      </c>
      <c r="K499" s="521">
        <f>'Revenue Jrnl'!$G505</f>
        <v>0</v>
      </c>
      <c r="L499" s="522"/>
      <c r="M499" s="523"/>
      <c r="N499" s="524">
        <f>'Revenue Jrnl'!$H295</f>
        <v>0</v>
      </c>
    </row>
    <row r="500" spans="2:14" s="1" customFormat="1" ht="30" hidden="1" customHeight="1" x14ac:dyDescent="0.2">
      <c r="B500" s="517">
        <f>IF(AND('Revenue Jrnl'!G506&lt;&gt;"",'Revenue Jrnl'!C506&lt;&gt;""),1,0)</f>
        <v>0</v>
      </c>
      <c r="C500" s="517">
        <f>'Revenue Jrnl'!$C506</f>
        <v>0</v>
      </c>
      <c r="D500" s="518">
        <f>'Revenue Jrnl'!$D506</f>
        <v>0</v>
      </c>
      <c r="E500" s="1523">
        <f>'Revenue Jrnl'!$F506</f>
        <v>0</v>
      </c>
      <c r="F500" s="1523"/>
      <c r="G500" s="519" t="str">
        <f>IF('Revenue Jrnl'!$E506="","",'Revenue Jrnl'!$E506)</f>
        <v/>
      </c>
      <c r="H500" s="518">
        <f>'Revenue Jrnl'!H506</f>
        <v>0</v>
      </c>
      <c r="I500" s="518" t="str">
        <f t="shared" si="14"/>
        <v>0</v>
      </c>
      <c r="J500" s="520" t="b">
        <f t="shared" si="15"/>
        <v>0</v>
      </c>
      <c r="K500" s="521">
        <f>'Revenue Jrnl'!$G506</f>
        <v>0</v>
      </c>
      <c r="L500" s="522"/>
      <c r="M500" s="523"/>
      <c r="N500" s="524">
        <f>'Revenue Jrnl'!$H296</f>
        <v>0</v>
      </c>
    </row>
    <row r="501" spans="2:14" s="1" customFormat="1" ht="30" hidden="1" customHeight="1" x14ac:dyDescent="0.2">
      <c r="B501" s="517">
        <f>IF(AND('Revenue Jrnl'!G507&lt;&gt;"",'Revenue Jrnl'!C507&lt;&gt;""),1,0)</f>
        <v>0</v>
      </c>
      <c r="C501" s="517">
        <f>'Revenue Jrnl'!$C507</f>
        <v>0</v>
      </c>
      <c r="D501" s="518">
        <f>'Revenue Jrnl'!$D507</f>
        <v>0</v>
      </c>
      <c r="E501" s="1523">
        <f>'Revenue Jrnl'!$F507</f>
        <v>0</v>
      </c>
      <c r="F501" s="1523"/>
      <c r="G501" s="519" t="str">
        <f>IF('Revenue Jrnl'!$E507="","",'Revenue Jrnl'!$E507)</f>
        <v/>
      </c>
      <c r="H501" s="518">
        <f>'Revenue Jrnl'!H507</f>
        <v>0</v>
      </c>
      <c r="I501" s="518" t="str">
        <f t="shared" si="14"/>
        <v>0</v>
      </c>
      <c r="J501" s="520" t="b">
        <f t="shared" si="15"/>
        <v>0</v>
      </c>
      <c r="K501" s="521">
        <f>'Revenue Jrnl'!$G507</f>
        <v>0</v>
      </c>
      <c r="L501" s="522"/>
      <c r="M501" s="523"/>
      <c r="N501" s="524">
        <f>'Revenue Jrnl'!$H297</f>
        <v>0</v>
      </c>
    </row>
    <row r="502" spans="2:14" s="1" customFormat="1" ht="30" hidden="1" customHeight="1" x14ac:dyDescent="0.2">
      <c r="B502" s="517">
        <f>IF(AND('Revenue Jrnl'!G508&lt;&gt;"",'Revenue Jrnl'!C508&lt;&gt;""),1,0)</f>
        <v>0</v>
      </c>
      <c r="C502" s="517">
        <f>'Revenue Jrnl'!$C508</f>
        <v>0</v>
      </c>
      <c r="D502" s="518">
        <f>'Revenue Jrnl'!$D508</f>
        <v>0</v>
      </c>
      <c r="E502" s="1523">
        <f>'Revenue Jrnl'!$F508</f>
        <v>0</v>
      </c>
      <c r="F502" s="1523"/>
      <c r="G502" s="519" t="str">
        <f>IF('Revenue Jrnl'!$E508="","",'Revenue Jrnl'!$E508)</f>
        <v/>
      </c>
      <c r="H502" s="518">
        <f>'Revenue Jrnl'!H508</f>
        <v>0</v>
      </c>
      <c r="I502" s="518" t="str">
        <f t="shared" si="14"/>
        <v>0</v>
      </c>
      <c r="J502" s="520" t="b">
        <f t="shared" si="15"/>
        <v>0</v>
      </c>
      <c r="K502" s="521">
        <f>'Revenue Jrnl'!$G508</f>
        <v>0</v>
      </c>
      <c r="L502" s="522"/>
      <c r="M502" s="523"/>
      <c r="N502" s="524">
        <f>'Revenue Jrnl'!$H298</f>
        <v>0</v>
      </c>
    </row>
    <row r="503" spans="2:14" s="1" customFormat="1" ht="30" hidden="1" customHeight="1" x14ac:dyDescent="0.2">
      <c r="B503" s="517">
        <f>IF(AND('Revenue Jrnl'!G509&lt;&gt;"",'Revenue Jrnl'!C509&lt;&gt;""),1,0)</f>
        <v>0</v>
      </c>
      <c r="C503" s="517">
        <f>'Revenue Jrnl'!$C509</f>
        <v>0</v>
      </c>
      <c r="D503" s="518">
        <f>'Revenue Jrnl'!$D509</f>
        <v>0</v>
      </c>
      <c r="E503" s="1523">
        <f>'Revenue Jrnl'!$F509</f>
        <v>0</v>
      </c>
      <c r="F503" s="1523"/>
      <c r="G503" s="519" t="str">
        <f>IF('Revenue Jrnl'!$E509="","",'Revenue Jrnl'!$E509)</f>
        <v/>
      </c>
      <c r="H503" s="518">
        <f>'Revenue Jrnl'!H509</f>
        <v>0</v>
      </c>
      <c r="I503" s="518" t="str">
        <f t="shared" si="14"/>
        <v>0</v>
      </c>
      <c r="J503" s="520" t="b">
        <f t="shared" si="15"/>
        <v>0</v>
      </c>
      <c r="K503" s="521">
        <f>'Revenue Jrnl'!$G509</f>
        <v>0</v>
      </c>
      <c r="L503" s="522"/>
      <c r="M503" s="523"/>
      <c r="N503" s="524">
        <f>'Revenue Jrnl'!$H299</f>
        <v>0</v>
      </c>
    </row>
    <row r="504" spans="2:14" s="1" customFormat="1" ht="30" hidden="1" customHeight="1" x14ac:dyDescent="0.2">
      <c r="B504" s="517">
        <f>IF(AND('Revenue Jrnl'!G510&lt;&gt;"",'Revenue Jrnl'!C510&lt;&gt;""),1,0)</f>
        <v>0</v>
      </c>
      <c r="C504" s="517">
        <f>'Revenue Jrnl'!$C510</f>
        <v>0</v>
      </c>
      <c r="D504" s="518">
        <f>'Revenue Jrnl'!$D510</f>
        <v>0</v>
      </c>
      <c r="E504" s="1523">
        <f>'Revenue Jrnl'!$F510</f>
        <v>0</v>
      </c>
      <c r="F504" s="1523"/>
      <c r="G504" s="519" t="str">
        <f>IF('Revenue Jrnl'!$E510="","",'Revenue Jrnl'!$E510)</f>
        <v/>
      </c>
      <c r="H504" s="518">
        <f>'Revenue Jrnl'!H510</f>
        <v>0</v>
      </c>
      <c r="I504" s="518" t="str">
        <f t="shared" si="14"/>
        <v>0</v>
      </c>
      <c r="J504" s="520" t="b">
        <f t="shared" si="15"/>
        <v>0</v>
      </c>
      <c r="K504" s="521">
        <f>'Revenue Jrnl'!$G510</f>
        <v>0</v>
      </c>
      <c r="L504" s="522"/>
      <c r="M504" s="523"/>
      <c r="N504" s="524">
        <f>'Revenue Jrnl'!$H300</f>
        <v>0</v>
      </c>
    </row>
    <row r="505" spans="2:14" s="1" customFormat="1" ht="30" hidden="1" customHeight="1" x14ac:dyDescent="0.2">
      <c r="B505" s="517">
        <f>IF(AND('Revenue Jrnl'!G511&lt;&gt;"",'Revenue Jrnl'!C511&lt;&gt;""),1,0)</f>
        <v>0</v>
      </c>
      <c r="C505" s="517">
        <f>'Revenue Jrnl'!$C511</f>
        <v>0</v>
      </c>
      <c r="D505" s="518">
        <f>'Revenue Jrnl'!$D511</f>
        <v>0</v>
      </c>
      <c r="E505" s="1523">
        <f>'Revenue Jrnl'!$F511</f>
        <v>0</v>
      </c>
      <c r="F505" s="1523"/>
      <c r="G505" s="519" t="str">
        <f>IF('Revenue Jrnl'!$E511="","",'Revenue Jrnl'!$E511)</f>
        <v/>
      </c>
      <c r="H505" s="518">
        <f>'Revenue Jrnl'!H511</f>
        <v>0</v>
      </c>
      <c r="I505" s="518" t="str">
        <f t="shared" si="14"/>
        <v>0</v>
      </c>
      <c r="J505" s="520" t="b">
        <f t="shared" si="15"/>
        <v>0</v>
      </c>
      <c r="K505" s="521">
        <f>'Revenue Jrnl'!$G511</f>
        <v>0</v>
      </c>
      <c r="L505" s="522"/>
      <c r="M505" s="523"/>
      <c r="N505" s="524">
        <f>'Revenue Jrnl'!$H301</f>
        <v>0</v>
      </c>
    </row>
    <row r="506" spans="2:14" s="1" customFormat="1" ht="30" hidden="1" customHeight="1" x14ac:dyDescent="0.2">
      <c r="B506" s="517">
        <f>IF(AND('Revenue Jrnl'!G512&lt;&gt;"",'Revenue Jrnl'!C512&lt;&gt;""),1,0)</f>
        <v>0</v>
      </c>
      <c r="C506" s="517">
        <f>'Revenue Jrnl'!$C512</f>
        <v>0</v>
      </c>
      <c r="D506" s="518">
        <f>'Revenue Jrnl'!$D512</f>
        <v>0</v>
      </c>
      <c r="E506" s="1523">
        <f>'Revenue Jrnl'!$F512</f>
        <v>0</v>
      </c>
      <c r="F506" s="1523"/>
      <c r="G506" s="519" t="str">
        <f>IF('Revenue Jrnl'!$E512="","",'Revenue Jrnl'!$E512)</f>
        <v/>
      </c>
      <c r="H506" s="518">
        <f>'Revenue Jrnl'!H512</f>
        <v>0</v>
      </c>
      <c r="I506" s="518" t="str">
        <f t="shared" si="14"/>
        <v>0</v>
      </c>
      <c r="J506" s="520" t="b">
        <f t="shared" si="15"/>
        <v>0</v>
      </c>
      <c r="K506" s="521">
        <f>'Revenue Jrnl'!$G512</f>
        <v>0</v>
      </c>
      <c r="L506" s="522"/>
      <c r="M506" s="523"/>
      <c r="N506" s="524">
        <f>'Revenue Jrnl'!$H302</f>
        <v>0</v>
      </c>
    </row>
    <row r="507" spans="2:14" s="1" customFormat="1" ht="30" hidden="1" customHeight="1" x14ac:dyDescent="0.2">
      <c r="B507" s="517">
        <f>IF(AND('Revenue Jrnl'!G513&lt;&gt;"",'Revenue Jrnl'!C513&lt;&gt;""),1,0)</f>
        <v>0</v>
      </c>
      <c r="C507" s="517">
        <f>'Revenue Jrnl'!$C513</f>
        <v>0</v>
      </c>
      <c r="D507" s="518">
        <f>'Revenue Jrnl'!$D513</f>
        <v>0</v>
      </c>
      <c r="E507" s="1523">
        <f>'Revenue Jrnl'!$F513</f>
        <v>0</v>
      </c>
      <c r="F507" s="1523"/>
      <c r="G507" s="519" t="str">
        <f>IF('Revenue Jrnl'!$E513="","",'Revenue Jrnl'!$E513)</f>
        <v/>
      </c>
      <c r="H507" s="518">
        <f>'Revenue Jrnl'!H513</f>
        <v>0</v>
      </c>
      <c r="I507" s="518" t="str">
        <f t="shared" si="14"/>
        <v>0</v>
      </c>
      <c r="J507" s="520" t="b">
        <f t="shared" si="15"/>
        <v>0</v>
      </c>
      <c r="K507" s="521">
        <f>'Revenue Jrnl'!$G513</f>
        <v>0</v>
      </c>
      <c r="L507" s="522"/>
      <c r="M507" s="523"/>
      <c r="N507" s="524">
        <f>'Revenue Jrnl'!$H303</f>
        <v>0</v>
      </c>
    </row>
    <row r="508" spans="2:14" s="1" customFormat="1" ht="30" hidden="1" customHeight="1" x14ac:dyDescent="0.2">
      <c r="B508" s="517">
        <f>IF(AND('Revenue Jrnl'!G514&lt;&gt;"",'Revenue Jrnl'!C514&lt;&gt;""),1,0)</f>
        <v>0</v>
      </c>
      <c r="C508" s="517">
        <f>'Revenue Jrnl'!$C514</f>
        <v>0</v>
      </c>
      <c r="D508" s="518">
        <f>'Revenue Jrnl'!$D514</f>
        <v>0</v>
      </c>
      <c r="E508" s="1523">
        <f>'Revenue Jrnl'!$F514</f>
        <v>0</v>
      </c>
      <c r="F508" s="1523"/>
      <c r="G508" s="519" t="str">
        <f>IF('Revenue Jrnl'!$E514="","",'Revenue Jrnl'!$E514)</f>
        <v/>
      </c>
      <c r="H508" s="518">
        <f>'Revenue Jrnl'!H514</f>
        <v>0</v>
      </c>
      <c r="I508" s="518" t="str">
        <f t="shared" si="14"/>
        <v>0</v>
      </c>
      <c r="J508" s="520" t="b">
        <f t="shared" si="15"/>
        <v>0</v>
      </c>
      <c r="K508" s="521">
        <f>'Revenue Jrnl'!$G514</f>
        <v>0</v>
      </c>
      <c r="L508" s="522"/>
      <c r="M508" s="523"/>
      <c r="N508" s="524">
        <f>'Revenue Jrnl'!$H304</f>
        <v>0</v>
      </c>
    </row>
    <row r="509" spans="2:14" s="1" customFormat="1" ht="30" hidden="1" customHeight="1" x14ac:dyDescent="0.2">
      <c r="B509" s="517">
        <f>IF(AND('Revenue Jrnl'!G515&lt;&gt;"",'Revenue Jrnl'!C515&lt;&gt;""),1,0)</f>
        <v>0</v>
      </c>
      <c r="C509" s="517">
        <f>'Revenue Jrnl'!$C515</f>
        <v>0</v>
      </c>
      <c r="D509" s="518">
        <f>'Revenue Jrnl'!$D515</f>
        <v>0</v>
      </c>
      <c r="E509" s="1523">
        <f>'Revenue Jrnl'!$F515</f>
        <v>0</v>
      </c>
      <c r="F509" s="1523"/>
      <c r="G509" s="519" t="str">
        <f>IF('Revenue Jrnl'!$E515="","",'Revenue Jrnl'!$E515)</f>
        <v/>
      </c>
      <c r="H509" s="518">
        <f>'Revenue Jrnl'!H515</f>
        <v>0</v>
      </c>
      <c r="I509" s="518" t="str">
        <f t="shared" si="14"/>
        <v>0</v>
      </c>
      <c r="J509" s="520" t="b">
        <f t="shared" si="15"/>
        <v>0</v>
      </c>
      <c r="K509" s="521">
        <f>'Revenue Jrnl'!$G515</f>
        <v>0</v>
      </c>
      <c r="L509" s="522"/>
      <c r="M509" s="523"/>
      <c r="N509" s="524">
        <f>'Revenue Jrnl'!$H305</f>
        <v>0</v>
      </c>
    </row>
    <row r="510" spans="2:14" s="1" customFormat="1" ht="10.5" customHeight="1" x14ac:dyDescent="0.2">
      <c r="B510" s="528">
        <v>1</v>
      </c>
      <c r="C510" s="529" t="s">
        <v>268</v>
      </c>
      <c r="D510" s="530"/>
      <c r="E510" s="531"/>
      <c r="F510" s="531"/>
      <c r="G510" s="532"/>
      <c r="H510" s="530"/>
      <c r="I510" s="530"/>
      <c r="J510" s="530"/>
      <c r="K510" s="533"/>
      <c r="L510" s="534"/>
      <c r="M510" s="535"/>
      <c r="N510" s="524"/>
    </row>
    <row r="511" spans="2:14" s="1" customFormat="1" ht="30" customHeight="1" x14ac:dyDescent="0.2">
      <c r="B511" s="517">
        <v>1</v>
      </c>
      <c r="C511" s="536" t="s">
        <v>268</v>
      </c>
      <c r="D511" s="512" t="str">
        <f>IF(A3=2,"DÉPENSES","EXPENSES")</f>
        <v>EXPENSES</v>
      </c>
      <c r="E511" s="512"/>
      <c r="F511" s="513"/>
      <c r="G511" s="537"/>
      <c r="H511" s="537"/>
      <c r="I511" s="537"/>
      <c r="J511" s="537"/>
      <c r="K511" s="512"/>
      <c r="L511" s="538"/>
      <c r="M511" s="523"/>
      <c r="N511" s="539"/>
    </row>
    <row r="512" spans="2:14" s="1" customFormat="1" ht="30" hidden="1" customHeight="1" x14ac:dyDescent="0.2">
      <c r="B512" s="517">
        <f>IF(AND('Expense Jrnl'!$G16&lt;&gt;"",'Expense Jrnl'!$C16&lt;&gt;""),1,0)</f>
        <v>0</v>
      </c>
      <c r="C512" s="517">
        <f>'Expense Jrnl'!$C16</f>
        <v>0</v>
      </c>
      <c r="D512" s="540">
        <f>'Expense Jrnl'!$D16</f>
        <v>0</v>
      </c>
      <c r="E512" s="1523">
        <f>'Expense Jrnl'!$F16</f>
        <v>0</v>
      </c>
      <c r="F512" s="1523"/>
      <c r="G512" s="519" t="str">
        <f>IF('Expense Jrnl'!$E16="","",'Expense Jrnl'!$E16)</f>
        <v/>
      </c>
      <c r="H512" s="518">
        <f>'Expense Jrnl'!H16</f>
        <v>0</v>
      </c>
      <c r="I512" s="518" t="str">
        <f t="shared" ref="I512:I575" si="16">LEFT(H512,4)</f>
        <v>0</v>
      </c>
      <c r="J512" s="520" t="b">
        <f t="shared" ref="J512:J575" si="17">IF(I512="1020",IF(G512&gt;=$E$3,IF(G512&lt;=$G$3,L512,0)))</f>
        <v>0</v>
      </c>
      <c r="K512" s="541"/>
      <c r="L512" s="541">
        <f>'Expense Jrnl'!$G16</f>
        <v>0</v>
      </c>
      <c r="M512" s="523">
        <f>'Expense Jrnl'!E16</f>
        <v>0</v>
      </c>
      <c r="N512" s="539">
        <f>'Expense Jrnl'!$H16</f>
        <v>0</v>
      </c>
    </row>
    <row r="513" spans="2:14" s="1" customFormat="1" ht="30" hidden="1" customHeight="1" x14ac:dyDescent="0.2">
      <c r="B513" s="517">
        <f>IF(AND('Expense Jrnl'!$G17&lt;&gt;"",'Expense Jrnl'!$C17&lt;&gt;""),1,0)</f>
        <v>0</v>
      </c>
      <c r="C513" s="517">
        <f>'Expense Jrnl'!$C17</f>
        <v>0</v>
      </c>
      <c r="D513" s="540">
        <f>'Expense Jrnl'!$D17</f>
        <v>0</v>
      </c>
      <c r="E513" s="1523">
        <f>'Expense Jrnl'!$F17</f>
        <v>0</v>
      </c>
      <c r="F513" s="1523"/>
      <c r="G513" s="519" t="str">
        <f>IF('Expense Jrnl'!$E17="","",'Expense Jrnl'!$E17)</f>
        <v/>
      </c>
      <c r="H513" s="518">
        <f>'Expense Jrnl'!H17</f>
        <v>0</v>
      </c>
      <c r="I513" s="518" t="str">
        <f t="shared" si="16"/>
        <v>0</v>
      </c>
      <c r="J513" s="520" t="b">
        <f t="shared" si="17"/>
        <v>0</v>
      </c>
      <c r="K513" s="541"/>
      <c r="L513" s="541">
        <f>'Expense Jrnl'!$G17</f>
        <v>0</v>
      </c>
      <c r="M513" s="523"/>
      <c r="N513" s="539"/>
    </row>
    <row r="514" spans="2:14" s="1" customFormat="1" ht="30" hidden="1" customHeight="1" x14ac:dyDescent="0.2">
      <c r="B514" s="517">
        <f>IF(AND('Expense Jrnl'!$G18&lt;&gt;"",'Expense Jrnl'!$C18&lt;&gt;""),1,0)</f>
        <v>0</v>
      </c>
      <c r="C514" s="517">
        <f>'Expense Jrnl'!$C18</f>
        <v>0</v>
      </c>
      <c r="D514" s="540">
        <f>'Expense Jrnl'!$D18</f>
        <v>0</v>
      </c>
      <c r="E514" s="1523">
        <f>'Expense Jrnl'!$F18</f>
        <v>0</v>
      </c>
      <c r="F514" s="1523"/>
      <c r="G514" s="519" t="str">
        <f>IF('Expense Jrnl'!$E18="","",'Expense Jrnl'!$E18)</f>
        <v/>
      </c>
      <c r="H514" s="518">
        <f>'Expense Jrnl'!H18</f>
        <v>0</v>
      </c>
      <c r="I514" s="518" t="str">
        <f t="shared" si="16"/>
        <v>0</v>
      </c>
      <c r="J514" s="520" t="b">
        <f t="shared" si="17"/>
        <v>0</v>
      </c>
      <c r="K514" s="541"/>
      <c r="L514" s="541">
        <f>'Expense Jrnl'!$G18</f>
        <v>0</v>
      </c>
      <c r="M514" s="523"/>
      <c r="N514" s="539"/>
    </row>
    <row r="515" spans="2:14" s="1" customFormat="1" ht="30" hidden="1" customHeight="1" x14ac:dyDescent="0.2">
      <c r="B515" s="517">
        <f>IF(AND('Expense Jrnl'!$G19&lt;&gt;"",'Expense Jrnl'!$C19&lt;&gt;""),1,0)</f>
        <v>0</v>
      </c>
      <c r="C515" s="517">
        <f>'Expense Jrnl'!$C19</f>
        <v>0</v>
      </c>
      <c r="D515" s="540">
        <f>'Expense Jrnl'!$D19</f>
        <v>0</v>
      </c>
      <c r="E515" s="1523">
        <f>'Expense Jrnl'!$F19</f>
        <v>0</v>
      </c>
      <c r="F515" s="1523"/>
      <c r="G515" s="519" t="str">
        <f>IF('Expense Jrnl'!$E19="","",'Expense Jrnl'!$E19)</f>
        <v/>
      </c>
      <c r="H515" s="518">
        <f>'Expense Jrnl'!H19</f>
        <v>0</v>
      </c>
      <c r="I515" s="518" t="str">
        <f t="shared" si="16"/>
        <v>0</v>
      </c>
      <c r="J515" s="520" t="b">
        <f t="shared" si="17"/>
        <v>0</v>
      </c>
      <c r="K515" s="541"/>
      <c r="L515" s="541">
        <f>'Expense Jrnl'!$G19</f>
        <v>0</v>
      </c>
      <c r="M515" s="523"/>
      <c r="N515" s="539"/>
    </row>
    <row r="516" spans="2:14" s="1" customFormat="1" ht="30" hidden="1" customHeight="1" x14ac:dyDescent="0.2">
      <c r="B516" s="517">
        <f>IF(AND('Expense Jrnl'!$G20&lt;&gt;"",'Expense Jrnl'!$C20&lt;&gt;""),1,0)</f>
        <v>0</v>
      </c>
      <c r="C516" s="517">
        <f>'Expense Jrnl'!$C20</f>
        <v>0</v>
      </c>
      <c r="D516" s="540">
        <f>'Expense Jrnl'!$D20</f>
        <v>0</v>
      </c>
      <c r="E516" s="1523">
        <f>'Expense Jrnl'!$F20</f>
        <v>0</v>
      </c>
      <c r="F516" s="1523"/>
      <c r="G516" s="519" t="str">
        <f>IF('Expense Jrnl'!$E20="","",'Expense Jrnl'!$E20)</f>
        <v/>
      </c>
      <c r="H516" s="518">
        <f>'Expense Jrnl'!H20</f>
        <v>0</v>
      </c>
      <c r="I516" s="518" t="str">
        <f t="shared" si="16"/>
        <v>0</v>
      </c>
      <c r="J516" s="520" t="b">
        <f t="shared" si="17"/>
        <v>0</v>
      </c>
      <c r="K516" s="541"/>
      <c r="L516" s="541">
        <f>'Expense Jrnl'!$G20</f>
        <v>0</v>
      </c>
      <c r="M516" s="523"/>
      <c r="N516" s="539"/>
    </row>
    <row r="517" spans="2:14" s="1" customFormat="1" ht="30" hidden="1" customHeight="1" x14ac:dyDescent="0.2">
      <c r="B517" s="517">
        <f>IF(AND('Expense Jrnl'!$G21&lt;&gt;"",'Expense Jrnl'!$C21&lt;&gt;""),1,0)</f>
        <v>0</v>
      </c>
      <c r="C517" s="517">
        <f>'Expense Jrnl'!$C21</f>
        <v>0</v>
      </c>
      <c r="D517" s="540">
        <f>'Expense Jrnl'!$D21</f>
        <v>0</v>
      </c>
      <c r="E517" s="1523">
        <f>'Expense Jrnl'!$F21</f>
        <v>0</v>
      </c>
      <c r="F517" s="1523"/>
      <c r="G517" s="519" t="str">
        <f>IF('Expense Jrnl'!$E21="","",'Expense Jrnl'!$E21)</f>
        <v/>
      </c>
      <c r="H517" s="518">
        <f>'Expense Jrnl'!H21</f>
        <v>0</v>
      </c>
      <c r="I517" s="518" t="str">
        <f t="shared" si="16"/>
        <v>0</v>
      </c>
      <c r="J517" s="520" t="b">
        <f t="shared" si="17"/>
        <v>0</v>
      </c>
      <c r="K517" s="541"/>
      <c r="L517" s="541">
        <f>'Expense Jrnl'!$G21</f>
        <v>0</v>
      </c>
      <c r="M517" s="523"/>
      <c r="N517" s="539"/>
    </row>
    <row r="518" spans="2:14" s="1" customFormat="1" ht="30" hidden="1" customHeight="1" x14ac:dyDescent="0.2">
      <c r="B518" s="517">
        <f>IF(AND('Expense Jrnl'!$G22&lt;&gt;"",'Expense Jrnl'!$C22&lt;&gt;""),1,0)</f>
        <v>0</v>
      </c>
      <c r="C518" s="517">
        <f>'Expense Jrnl'!$C22</f>
        <v>0</v>
      </c>
      <c r="D518" s="540">
        <f>'Expense Jrnl'!$D22</f>
        <v>0</v>
      </c>
      <c r="E518" s="1523">
        <f>'Expense Jrnl'!$F22</f>
        <v>0</v>
      </c>
      <c r="F518" s="1523"/>
      <c r="G518" s="519" t="str">
        <f>IF('Expense Jrnl'!$E22="","",'Expense Jrnl'!$E22)</f>
        <v/>
      </c>
      <c r="H518" s="518">
        <f>'Expense Jrnl'!H22</f>
        <v>0</v>
      </c>
      <c r="I518" s="518" t="str">
        <f t="shared" si="16"/>
        <v>0</v>
      </c>
      <c r="J518" s="520" t="b">
        <f t="shared" si="17"/>
        <v>0</v>
      </c>
      <c r="K518" s="541"/>
      <c r="L518" s="541">
        <f>'Expense Jrnl'!$G22</f>
        <v>0</v>
      </c>
      <c r="M518" s="523"/>
      <c r="N518" s="539"/>
    </row>
    <row r="519" spans="2:14" s="1" customFormat="1" ht="30" hidden="1" customHeight="1" x14ac:dyDescent="0.2">
      <c r="B519" s="517">
        <f>IF(AND('Expense Jrnl'!$G23&lt;&gt;"",'Expense Jrnl'!$C23&lt;&gt;""),1,0)</f>
        <v>0</v>
      </c>
      <c r="C519" s="517">
        <f>'Expense Jrnl'!$C23</f>
        <v>0</v>
      </c>
      <c r="D519" s="540">
        <f>'Expense Jrnl'!$D23</f>
        <v>0</v>
      </c>
      <c r="E519" s="1523">
        <f>'Expense Jrnl'!$F23</f>
        <v>0</v>
      </c>
      <c r="F519" s="1523"/>
      <c r="G519" s="519" t="str">
        <f>IF('Expense Jrnl'!$E23="","",'Expense Jrnl'!$E23)</f>
        <v/>
      </c>
      <c r="H519" s="518">
        <f>'Expense Jrnl'!H23</f>
        <v>0</v>
      </c>
      <c r="I519" s="518" t="str">
        <f t="shared" si="16"/>
        <v>0</v>
      </c>
      <c r="J519" s="520" t="b">
        <f t="shared" si="17"/>
        <v>0</v>
      </c>
      <c r="K519" s="541"/>
      <c r="L519" s="541">
        <f>'Expense Jrnl'!$G23</f>
        <v>0</v>
      </c>
      <c r="M519" s="523"/>
      <c r="N519" s="539"/>
    </row>
    <row r="520" spans="2:14" s="1" customFormat="1" ht="30" hidden="1" customHeight="1" x14ac:dyDescent="0.2">
      <c r="B520" s="517">
        <f>IF(AND('Expense Jrnl'!$G24&lt;&gt;"",'Expense Jrnl'!$C24&lt;&gt;""),1,0)</f>
        <v>0</v>
      </c>
      <c r="C520" s="517">
        <f>'Expense Jrnl'!$C24</f>
        <v>0</v>
      </c>
      <c r="D520" s="540">
        <f>'Expense Jrnl'!$D24</f>
        <v>0</v>
      </c>
      <c r="E520" s="1523">
        <f>'Expense Jrnl'!$F24</f>
        <v>0</v>
      </c>
      <c r="F520" s="1523"/>
      <c r="G520" s="519" t="str">
        <f>IF('Expense Jrnl'!$E24="","",'Expense Jrnl'!$E24)</f>
        <v/>
      </c>
      <c r="H520" s="518">
        <f>'Expense Jrnl'!H24</f>
        <v>0</v>
      </c>
      <c r="I520" s="518" t="str">
        <f t="shared" si="16"/>
        <v>0</v>
      </c>
      <c r="J520" s="520" t="b">
        <f t="shared" si="17"/>
        <v>0</v>
      </c>
      <c r="K520" s="541"/>
      <c r="L520" s="541">
        <f>'Expense Jrnl'!$G24</f>
        <v>0</v>
      </c>
      <c r="M520" s="523"/>
      <c r="N520" s="539"/>
    </row>
    <row r="521" spans="2:14" s="1" customFormat="1" ht="30" hidden="1" customHeight="1" x14ac:dyDescent="0.2">
      <c r="B521" s="517">
        <f>IF(AND('Expense Jrnl'!$G25&lt;&gt;"",'Expense Jrnl'!$C25&lt;&gt;""),1,0)</f>
        <v>0</v>
      </c>
      <c r="C521" s="517">
        <f>'Expense Jrnl'!$C25</f>
        <v>0</v>
      </c>
      <c r="D521" s="540">
        <f>'Expense Jrnl'!$D25</f>
        <v>0</v>
      </c>
      <c r="E521" s="1523">
        <f>'Expense Jrnl'!$F25</f>
        <v>0</v>
      </c>
      <c r="F521" s="1523"/>
      <c r="G521" s="519" t="str">
        <f>IF('Expense Jrnl'!$E25="","",'Expense Jrnl'!$E25)</f>
        <v/>
      </c>
      <c r="H521" s="518">
        <f>'Expense Jrnl'!H25</f>
        <v>0</v>
      </c>
      <c r="I521" s="518" t="str">
        <f t="shared" si="16"/>
        <v>0</v>
      </c>
      <c r="J521" s="520" t="b">
        <f t="shared" si="17"/>
        <v>0</v>
      </c>
      <c r="K521" s="541"/>
      <c r="L521" s="541">
        <f>'Expense Jrnl'!$G25</f>
        <v>0</v>
      </c>
      <c r="M521" s="523"/>
      <c r="N521" s="539"/>
    </row>
    <row r="522" spans="2:14" s="1" customFormat="1" ht="30" hidden="1" customHeight="1" x14ac:dyDescent="0.2">
      <c r="B522" s="517">
        <f>IF(AND('Expense Jrnl'!$G26&lt;&gt;"",'Expense Jrnl'!$C26&lt;&gt;""),1,0)</f>
        <v>0</v>
      </c>
      <c r="C522" s="517">
        <f>'Expense Jrnl'!$C26</f>
        <v>0</v>
      </c>
      <c r="D522" s="540">
        <f>'Expense Jrnl'!$D26</f>
        <v>0</v>
      </c>
      <c r="E522" s="1523">
        <f>'Expense Jrnl'!$F26</f>
        <v>0</v>
      </c>
      <c r="F522" s="1523"/>
      <c r="G522" s="519" t="str">
        <f>IF('Expense Jrnl'!$E26="","",'Expense Jrnl'!$E26)</f>
        <v/>
      </c>
      <c r="H522" s="518">
        <f>'Expense Jrnl'!H26</f>
        <v>0</v>
      </c>
      <c r="I522" s="518" t="str">
        <f t="shared" si="16"/>
        <v>0</v>
      </c>
      <c r="J522" s="520" t="b">
        <f t="shared" si="17"/>
        <v>0</v>
      </c>
      <c r="K522" s="541"/>
      <c r="L522" s="541">
        <f>'Expense Jrnl'!$G26</f>
        <v>0</v>
      </c>
      <c r="M522" s="523"/>
      <c r="N522" s="539"/>
    </row>
    <row r="523" spans="2:14" s="1" customFormat="1" ht="30" hidden="1" customHeight="1" x14ac:dyDescent="0.2">
      <c r="B523" s="517">
        <f>IF(AND('Expense Jrnl'!$G27&lt;&gt;"",'Expense Jrnl'!$C27&lt;&gt;""),1,0)</f>
        <v>0</v>
      </c>
      <c r="C523" s="517">
        <f>'Expense Jrnl'!$C27</f>
        <v>0</v>
      </c>
      <c r="D523" s="540">
        <f>'Expense Jrnl'!$D27</f>
        <v>0</v>
      </c>
      <c r="E523" s="1523">
        <f>'Expense Jrnl'!$F27</f>
        <v>0</v>
      </c>
      <c r="F523" s="1523"/>
      <c r="G523" s="519" t="str">
        <f>IF('Expense Jrnl'!$E27="","",'Expense Jrnl'!$E27)</f>
        <v/>
      </c>
      <c r="H523" s="518">
        <f>'Expense Jrnl'!H27</f>
        <v>0</v>
      </c>
      <c r="I523" s="518" t="str">
        <f t="shared" si="16"/>
        <v>0</v>
      </c>
      <c r="J523" s="520" t="b">
        <f t="shared" si="17"/>
        <v>0</v>
      </c>
      <c r="K523" s="541"/>
      <c r="L523" s="541">
        <f>'Expense Jrnl'!$G27</f>
        <v>0</v>
      </c>
      <c r="M523" s="523"/>
      <c r="N523" s="539"/>
    </row>
    <row r="524" spans="2:14" s="1" customFormat="1" ht="30" hidden="1" customHeight="1" x14ac:dyDescent="0.2">
      <c r="B524" s="517">
        <f>IF(AND('Expense Jrnl'!$G28&lt;&gt;"",'Expense Jrnl'!$C28&lt;&gt;""),1,0)</f>
        <v>0</v>
      </c>
      <c r="C524" s="517">
        <f>'Expense Jrnl'!$C28</f>
        <v>0</v>
      </c>
      <c r="D524" s="540">
        <f>'Expense Jrnl'!$D28</f>
        <v>0</v>
      </c>
      <c r="E524" s="1523">
        <f>'Expense Jrnl'!$F28</f>
        <v>0</v>
      </c>
      <c r="F524" s="1523"/>
      <c r="G524" s="519" t="str">
        <f>IF('Expense Jrnl'!$E28="","",'Expense Jrnl'!$E28)</f>
        <v/>
      </c>
      <c r="H524" s="518">
        <f>'Expense Jrnl'!H28</f>
        <v>0</v>
      </c>
      <c r="I524" s="518" t="str">
        <f t="shared" si="16"/>
        <v>0</v>
      </c>
      <c r="J524" s="520" t="b">
        <f t="shared" si="17"/>
        <v>0</v>
      </c>
      <c r="K524" s="541"/>
      <c r="L524" s="541">
        <f>'Expense Jrnl'!$G28</f>
        <v>0</v>
      </c>
      <c r="M524" s="523"/>
      <c r="N524" s="539"/>
    </row>
    <row r="525" spans="2:14" s="1" customFormat="1" ht="30" hidden="1" customHeight="1" x14ac:dyDescent="0.2">
      <c r="B525" s="517">
        <f>IF(AND('Expense Jrnl'!$G29&lt;&gt;"",'Expense Jrnl'!$C29&lt;&gt;""),1,0)</f>
        <v>0</v>
      </c>
      <c r="C525" s="517">
        <f>'Expense Jrnl'!$C29</f>
        <v>0</v>
      </c>
      <c r="D525" s="540">
        <f>'Expense Jrnl'!$D29</f>
        <v>0</v>
      </c>
      <c r="E525" s="1523">
        <f>'Expense Jrnl'!$F29</f>
        <v>0</v>
      </c>
      <c r="F525" s="1523"/>
      <c r="G525" s="519" t="str">
        <f>IF('Expense Jrnl'!$E29="","",'Expense Jrnl'!$E29)</f>
        <v/>
      </c>
      <c r="H525" s="518">
        <f>'Expense Jrnl'!H29</f>
        <v>0</v>
      </c>
      <c r="I525" s="518" t="str">
        <f t="shared" si="16"/>
        <v>0</v>
      </c>
      <c r="J525" s="520" t="b">
        <f t="shared" si="17"/>
        <v>0</v>
      </c>
      <c r="K525" s="541"/>
      <c r="L525" s="541">
        <f>'Expense Jrnl'!$G29</f>
        <v>0</v>
      </c>
      <c r="M525" s="523"/>
      <c r="N525" s="539"/>
    </row>
    <row r="526" spans="2:14" s="1" customFormat="1" ht="30" hidden="1" customHeight="1" x14ac:dyDescent="0.2">
      <c r="B526" s="517">
        <f>IF(AND('Expense Jrnl'!$G30&lt;&gt;"",'Expense Jrnl'!$C30&lt;&gt;""),1,0)</f>
        <v>0</v>
      </c>
      <c r="C526" s="517">
        <f>'Expense Jrnl'!$C30</f>
        <v>0</v>
      </c>
      <c r="D526" s="540">
        <f>'Expense Jrnl'!$D30</f>
        <v>0</v>
      </c>
      <c r="E526" s="1523">
        <f>'Expense Jrnl'!$F30</f>
        <v>0</v>
      </c>
      <c r="F526" s="1523"/>
      <c r="G526" s="519" t="str">
        <f>IF('Expense Jrnl'!$E30="","",'Expense Jrnl'!$E30)</f>
        <v/>
      </c>
      <c r="H526" s="518">
        <f>'Expense Jrnl'!H30</f>
        <v>0</v>
      </c>
      <c r="I526" s="518" t="str">
        <f t="shared" si="16"/>
        <v>0</v>
      </c>
      <c r="J526" s="520" t="b">
        <f t="shared" si="17"/>
        <v>0</v>
      </c>
      <c r="K526" s="541"/>
      <c r="L526" s="541">
        <f>'Expense Jrnl'!$G30</f>
        <v>0</v>
      </c>
      <c r="M526" s="523"/>
      <c r="N526" s="539"/>
    </row>
    <row r="527" spans="2:14" s="1" customFormat="1" ht="30" hidden="1" customHeight="1" x14ac:dyDescent="0.2">
      <c r="B527" s="517">
        <f>IF(AND('Expense Jrnl'!$G31&lt;&gt;"",'Expense Jrnl'!$C31&lt;&gt;""),1,0)</f>
        <v>0</v>
      </c>
      <c r="C527" s="517">
        <f>'Expense Jrnl'!$C31</f>
        <v>0</v>
      </c>
      <c r="D527" s="540">
        <f>'Expense Jrnl'!$D31</f>
        <v>0</v>
      </c>
      <c r="E527" s="1523">
        <f>'Expense Jrnl'!$F31</f>
        <v>0</v>
      </c>
      <c r="F527" s="1523"/>
      <c r="G527" s="519" t="str">
        <f>IF('Expense Jrnl'!$E31="","",'Expense Jrnl'!$E31)</f>
        <v/>
      </c>
      <c r="H527" s="518">
        <f>'Expense Jrnl'!H31</f>
        <v>0</v>
      </c>
      <c r="I527" s="518" t="str">
        <f t="shared" si="16"/>
        <v>0</v>
      </c>
      <c r="J527" s="520" t="b">
        <f t="shared" si="17"/>
        <v>0</v>
      </c>
      <c r="K527" s="541"/>
      <c r="L527" s="541">
        <f>'Expense Jrnl'!$G31</f>
        <v>0</v>
      </c>
      <c r="M527" s="523"/>
      <c r="N527" s="539"/>
    </row>
    <row r="528" spans="2:14" s="1" customFormat="1" ht="30" hidden="1" customHeight="1" x14ac:dyDescent="0.2">
      <c r="B528" s="517">
        <f>IF(AND('Expense Jrnl'!$G32&lt;&gt;"",'Expense Jrnl'!$C32&lt;&gt;""),1,0)</f>
        <v>0</v>
      </c>
      <c r="C528" s="517">
        <f>'Expense Jrnl'!$C32</f>
        <v>0</v>
      </c>
      <c r="D528" s="540">
        <f>'Expense Jrnl'!$D32</f>
        <v>0</v>
      </c>
      <c r="E528" s="1523">
        <f>'Expense Jrnl'!$F32</f>
        <v>0</v>
      </c>
      <c r="F528" s="1523"/>
      <c r="G528" s="519" t="str">
        <f>IF('Expense Jrnl'!$E32="","",'Expense Jrnl'!$E32)</f>
        <v/>
      </c>
      <c r="H528" s="518">
        <f>'Expense Jrnl'!H32</f>
        <v>0</v>
      </c>
      <c r="I528" s="518" t="str">
        <f t="shared" si="16"/>
        <v>0</v>
      </c>
      <c r="J528" s="520" t="b">
        <f t="shared" si="17"/>
        <v>0</v>
      </c>
      <c r="K528" s="541"/>
      <c r="L528" s="541">
        <f>'Expense Jrnl'!$G32</f>
        <v>0</v>
      </c>
      <c r="M528" s="523"/>
      <c r="N528" s="539"/>
    </row>
    <row r="529" spans="2:14" s="1" customFormat="1" ht="30" hidden="1" customHeight="1" x14ac:dyDescent="0.2">
      <c r="B529" s="517">
        <f>IF(AND('Expense Jrnl'!$G33&lt;&gt;"",'Expense Jrnl'!$C33&lt;&gt;""),1,0)</f>
        <v>0</v>
      </c>
      <c r="C529" s="517">
        <f>'Expense Jrnl'!$C33</f>
        <v>0</v>
      </c>
      <c r="D529" s="540">
        <f>'Expense Jrnl'!$D33</f>
        <v>0</v>
      </c>
      <c r="E529" s="1523">
        <f>'Expense Jrnl'!$F33</f>
        <v>0</v>
      </c>
      <c r="F529" s="1523"/>
      <c r="G529" s="519" t="str">
        <f>IF('Expense Jrnl'!$E33="","",'Expense Jrnl'!$E33)</f>
        <v/>
      </c>
      <c r="H529" s="518">
        <f>'Expense Jrnl'!H33</f>
        <v>0</v>
      </c>
      <c r="I529" s="518" t="str">
        <f t="shared" si="16"/>
        <v>0</v>
      </c>
      <c r="J529" s="520" t="b">
        <f t="shared" si="17"/>
        <v>0</v>
      </c>
      <c r="K529" s="541"/>
      <c r="L529" s="541">
        <f>'Expense Jrnl'!$G33</f>
        <v>0</v>
      </c>
      <c r="M529" s="523"/>
      <c r="N529" s="539"/>
    </row>
    <row r="530" spans="2:14" s="1" customFormat="1" ht="30" hidden="1" customHeight="1" x14ac:dyDescent="0.2">
      <c r="B530" s="517">
        <f>IF(AND('Expense Jrnl'!$G34&lt;&gt;"",'Expense Jrnl'!$C34&lt;&gt;""),1,0)</f>
        <v>0</v>
      </c>
      <c r="C530" s="517">
        <f>'Expense Jrnl'!$C34</f>
        <v>0</v>
      </c>
      <c r="D530" s="540">
        <f>'Expense Jrnl'!$D34</f>
        <v>0</v>
      </c>
      <c r="E530" s="1523">
        <f>'Expense Jrnl'!$F34</f>
        <v>0</v>
      </c>
      <c r="F530" s="1523"/>
      <c r="G530" s="519" t="str">
        <f>IF('Expense Jrnl'!$E34="","",'Expense Jrnl'!$E34)</f>
        <v/>
      </c>
      <c r="H530" s="518">
        <f>'Expense Jrnl'!H34</f>
        <v>0</v>
      </c>
      <c r="I530" s="518" t="str">
        <f t="shared" si="16"/>
        <v>0</v>
      </c>
      <c r="J530" s="520" t="b">
        <f t="shared" si="17"/>
        <v>0</v>
      </c>
      <c r="K530" s="541"/>
      <c r="L530" s="541">
        <f>'Expense Jrnl'!$G34</f>
        <v>0</v>
      </c>
      <c r="M530" s="523"/>
      <c r="N530" s="539"/>
    </row>
    <row r="531" spans="2:14" s="1" customFormat="1" ht="30" hidden="1" customHeight="1" x14ac:dyDescent="0.2">
      <c r="B531" s="517">
        <f>IF(AND('Expense Jrnl'!$G35&lt;&gt;"",'Expense Jrnl'!$C35&lt;&gt;""),1,0)</f>
        <v>0</v>
      </c>
      <c r="C531" s="517">
        <f>'Expense Jrnl'!$C35</f>
        <v>0</v>
      </c>
      <c r="D531" s="540">
        <f>'Expense Jrnl'!$D35</f>
        <v>0</v>
      </c>
      <c r="E531" s="1523">
        <f>'Expense Jrnl'!$F35</f>
        <v>0</v>
      </c>
      <c r="F531" s="1523"/>
      <c r="G531" s="519" t="str">
        <f>IF('Expense Jrnl'!$E35="","",'Expense Jrnl'!$E35)</f>
        <v/>
      </c>
      <c r="H531" s="518">
        <f>'Expense Jrnl'!H35</f>
        <v>0</v>
      </c>
      <c r="I531" s="518" t="str">
        <f t="shared" si="16"/>
        <v>0</v>
      </c>
      <c r="J531" s="520" t="b">
        <f t="shared" si="17"/>
        <v>0</v>
      </c>
      <c r="K531" s="541"/>
      <c r="L531" s="541">
        <f>'Expense Jrnl'!$G35</f>
        <v>0</v>
      </c>
      <c r="M531" s="523"/>
      <c r="N531" s="539"/>
    </row>
    <row r="532" spans="2:14" s="1" customFormat="1" ht="30" hidden="1" customHeight="1" x14ac:dyDescent="0.2">
      <c r="B532" s="517">
        <f>IF(AND('Expense Jrnl'!$G36&lt;&gt;"",'Expense Jrnl'!$C36&lt;&gt;""),1,0)</f>
        <v>0</v>
      </c>
      <c r="C532" s="517">
        <f>'Expense Jrnl'!$C36</f>
        <v>0</v>
      </c>
      <c r="D532" s="540">
        <f>'Expense Jrnl'!$D36</f>
        <v>0</v>
      </c>
      <c r="E532" s="1523">
        <f>'Expense Jrnl'!$F36</f>
        <v>0</v>
      </c>
      <c r="F532" s="1523"/>
      <c r="G532" s="519" t="str">
        <f>IF('Expense Jrnl'!$E36="","",'Expense Jrnl'!$E36)</f>
        <v/>
      </c>
      <c r="H532" s="518">
        <f>'Expense Jrnl'!H36</f>
        <v>0</v>
      </c>
      <c r="I532" s="518" t="str">
        <f t="shared" si="16"/>
        <v>0</v>
      </c>
      <c r="J532" s="520" t="b">
        <f t="shared" si="17"/>
        <v>0</v>
      </c>
      <c r="K532" s="541"/>
      <c r="L532" s="541">
        <f>'Expense Jrnl'!$G36</f>
        <v>0</v>
      </c>
      <c r="M532" s="523"/>
      <c r="N532" s="539"/>
    </row>
    <row r="533" spans="2:14" s="1" customFormat="1" ht="30" hidden="1" customHeight="1" x14ac:dyDescent="0.2">
      <c r="B533" s="517">
        <f>IF(AND('Expense Jrnl'!$G37&lt;&gt;"",'Expense Jrnl'!$C37&lt;&gt;""),1,0)</f>
        <v>0</v>
      </c>
      <c r="C533" s="517">
        <f>'Expense Jrnl'!$C37</f>
        <v>0</v>
      </c>
      <c r="D533" s="540">
        <f>'Expense Jrnl'!$D37</f>
        <v>0</v>
      </c>
      <c r="E533" s="1523">
        <f>'Expense Jrnl'!$F37</f>
        <v>0</v>
      </c>
      <c r="F533" s="1523"/>
      <c r="G533" s="519" t="str">
        <f>IF('Expense Jrnl'!$E37="","",'Expense Jrnl'!$E37)</f>
        <v/>
      </c>
      <c r="H533" s="518">
        <f>'Expense Jrnl'!H37</f>
        <v>0</v>
      </c>
      <c r="I533" s="518" t="str">
        <f t="shared" si="16"/>
        <v>0</v>
      </c>
      <c r="J533" s="520" t="b">
        <f t="shared" si="17"/>
        <v>0</v>
      </c>
      <c r="K533" s="541"/>
      <c r="L533" s="541">
        <f>'Expense Jrnl'!$G37</f>
        <v>0</v>
      </c>
      <c r="M533" s="523"/>
      <c r="N533" s="539"/>
    </row>
    <row r="534" spans="2:14" s="1" customFormat="1" ht="30" hidden="1" customHeight="1" x14ac:dyDescent="0.2">
      <c r="B534" s="517">
        <f>IF(AND('Expense Jrnl'!$G38&lt;&gt;"",'Expense Jrnl'!$C38&lt;&gt;""),1,0)</f>
        <v>0</v>
      </c>
      <c r="C534" s="517">
        <f>'Expense Jrnl'!$C38</f>
        <v>0</v>
      </c>
      <c r="D534" s="540">
        <f>'Expense Jrnl'!$D38</f>
        <v>0</v>
      </c>
      <c r="E534" s="1523">
        <f>'Expense Jrnl'!$F38</f>
        <v>0</v>
      </c>
      <c r="F534" s="1523"/>
      <c r="G534" s="519" t="str">
        <f>IF('Expense Jrnl'!$E38="","",'Expense Jrnl'!$E38)</f>
        <v/>
      </c>
      <c r="H534" s="518">
        <f>'Expense Jrnl'!H38</f>
        <v>0</v>
      </c>
      <c r="I534" s="518" t="str">
        <f t="shared" si="16"/>
        <v>0</v>
      </c>
      <c r="J534" s="520" t="b">
        <f t="shared" si="17"/>
        <v>0</v>
      </c>
      <c r="K534" s="541"/>
      <c r="L534" s="541">
        <f>'Expense Jrnl'!$G38</f>
        <v>0</v>
      </c>
      <c r="M534" s="523"/>
      <c r="N534" s="539"/>
    </row>
    <row r="535" spans="2:14" s="1" customFormat="1" ht="30" hidden="1" customHeight="1" x14ac:dyDescent="0.2">
      <c r="B535" s="517">
        <f>IF(AND('Expense Jrnl'!$G39&lt;&gt;"",'Expense Jrnl'!$C39&lt;&gt;""),1,0)</f>
        <v>0</v>
      </c>
      <c r="C535" s="517">
        <f>'Expense Jrnl'!$C39</f>
        <v>0</v>
      </c>
      <c r="D535" s="540">
        <f>'Expense Jrnl'!$D39</f>
        <v>0</v>
      </c>
      <c r="E535" s="1523">
        <f>'Expense Jrnl'!$F39</f>
        <v>0</v>
      </c>
      <c r="F535" s="1523"/>
      <c r="G535" s="519" t="str">
        <f>IF('Expense Jrnl'!$E39="","",'Expense Jrnl'!$E39)</f>
        <v/>
      </c>
      <c r="H535" s="518">
        <f>'Expense Jrnl'!H39</f>
        <v>0</v>
      </c>
      <c r="I535" s="518" t="str">
        <f t="shared" si="16"/>
        <v>0</v>
      </c>
      <c r="J535" s="520" t="b">
        <f t="shared" si="17"/>
        <v>0</v>
      </c>
      <c r="K535" s="541"/>
      <c r="L535" s="541">
        <f>'Expense Jrnl'!$G39</f>
        <v>0</v>
      </c>
      <c r="M535" s="523"/>
      <c r="N535" s="539"/>
    </row>
    <row r="536" spans="2:14" s="1" customFormat="1" ht="30" hidden="1" customHeight="1" x14ac:dyDescent="0.2">
      <c r="B536" s="517">
        <f>IF(AND('Expense Jrnl'!$G40&lt;&gt;"",'Expense Jrnl'!$C40&lt;&gt;""),1,0)</f>
        <v>0</v>
      </c>
      <c r="C536" s="517">
        <f>'Expense Jrnl'!$C40</f>
        <v>0</v>
      </c>
      <c r="D536" s="540">
        <f>'Expense Jrnl'!$D40</f>
        <v>0</v>
      </c>
      <c r="E536" s="1523">
        <f>'Expense Jrnl'!$F40</f>
        <v>0</v>
      </c>
      <c r="F536" s="1523"/>
      <c r="G536" s="519" t="str">
        <f>IF('Expense Jrnl'!$E40="","",'Expense Jrnl'!$E40)</f>
        <v/>
      </c>
      <c r="H536" s="518">
        <f>'Expense Jrnl'!H40</f>
        <v>0</v>
      </c>
      <c r="I536" s="518" t="str">
        <f t="shared" si="16"/>
        <v>0</v>
      </c>
      <c r="J536" s="520" t="b">
        <f t="shared" si="17"/>
        <v>0</v>
      </c>
      <c r="K536" s="541"/>
      <c r="L536" s="541">
        <f>'Expense Jrnl'!$G40</f>
        <v>0</v>
      </c>
      <c r="M536" s="523"/>
      <c r="N536" s="539"/>
    </row>
    <row r="537" spans="2:14" s="1" customFormat="1" ht="30" hidden="1" customHeight="1" x14ac:dyDescent="0.2">
      <c r="B537" s="517">
        <f>IF(AND('Expense Jrnl'!$G41&lt;&gt;"",'Expense Jrnl'!$C41&lt;&gt;""),1,0)</f>
        <v>0</v>
      </c>
      <c r="C537" s="517">
        <f>'Expense Jrnl'!$C41</f>
        <v>0</v>
      </c>
      <c r="D537" s="540">
        <f>'Expense Jrnl'!$D41</f>
        <v>0</v>
      </c>
      <c r="E537" s="1523">
        <f>'Expense Jrnl'!$F41</f>
        <v>0</v>
      </c>
      <c r="F537" s="1523"/>
      <c r="G537" s="519" t="str">
        <f>IF('Expense Jrnl'!$E41="","",'Expense Jrnl'!$E41)</f>
        <v/>
      </c>
      <c r="H537" s="518">
        <f>'Expense Jrnl'!H41</f>
        <v>0</v>
      </c>
      <c r="I537" s="518" t="str">
        <f t="shared" si="16"/>
        <v>0</v>
      </c>
      <c r="J537" s="520" t="b">
        <f t="shared" si="17"/>
        <v>0</v>
      </c>
      <c r="K537" s="541"/>
      <c r="L537" s="541">
        <f>'Expense Jrnl'!$G41</f>
        <v>0</v>
      </c>
      <c r="M537" s="523"/>
      <c r="N537" s="539"/>
    </row>
    <row r="538" spans="2:14" s="1" customFormat="1" ht="30" hidden="1" customHeight="1" x14ac:dyDescent="0.2">
      <c r="B538" s="517">
        <f>IF(AND('Expense Jrnl'!$G42&lt;&gt;"",'Expense Jrnl'!$C42&lt;&gt;""),1,0)</f>
        <v>0</v>
      </c>
      <c r="C538" s="517">
        <f>'Expense Jrnl'!$C42</f>
        <v>0</v>
      </c>
      <c r="D538" s="540">
        <f>'Expense Jrnl'!$D42</f>
        <v>0</v>
      </c>
      <c r="E538" s="1523">
        <f>'Expense Jrnl'!$F42</f>
        <v>0</v>
      </c>
      <c r="F538" s="1523"/>
      <c r="G538" s="519" t="str">
        <f>IF('Expense Jrnl'!$E42="","",'Expense Jrnl'!$E42)</f>
        <v/>
      </c>
      <c r="H538" s="518">
        <f>'Expense Jrnl'!H42</f>
        <v>0</v>
      </c>
      <c r="I538" s="518" t="str">
        <f t="shared" si="16"/>
        <v>0</v>
      </c>
      <c r="J538" s="520" t="b">
        <f t="shared" si="17"/>
        <v>0</v>
      </c>
      <c r="K538" s="541"/>
      <c r="L538" s="541">
        <f>'Expense Jrnl'!$G42</f>
        <v>0</v>
      </c>
      <c r="M538" s="523"/>
      <c r="N538" s="539"/>
    </row>
    <row r="539" spans="2:14" s="1" customFormat="1" ht="30" hidden="1" customHeight="1" x14ac:dyDescent="0.2">
      <c r="B539" s="517">
        <f>IF(AND('Expense Jrnl'!$G43&lt;&gt;"",'Expense Jrnl'!$C43&lt;&gt;""),1,0)</f>
        <v>0</v>
      </c>
      <c r="C539" s="517">
        <f>'Expense Jrnl'!$C43</f>
        <v>0</v>
      </c>
      <c r="D539" s="540">
        <f>'Expense Jrnl'!$D43</f>
        <v>0</v>
      </c>
      <c r="E539" s="1523">
        <f>'Expense Jrnl'!$F43</f>
        <v>0</v>
      </c>
      <c r="F539" s="1523"/>
      <c r="G539" s="519" t="str">
        <f>IF('Expense Jrnl'!$E43="","",'Expense Jrnl'!$E43)</f>
        <v/>
      </c>
      <c r="H539" s="518">
        <f>'Expense Jrnl'!H43</f>
        <v>0</v>
      </c>
      <c r="I539" s="518" t="str">
        <f t="shared" si="16"/>
        <v>0</v>
      </c>
      <c r="J539" s="520" t="b">
        <f t="shared" si="17"/>
        <v>0</v>
      </c>
      <c r="K539" s="541"/>
      <c r="L539" s="541">
        <f>'Expense Jrnl'!$G43</f>
        <v>0</v>
      </c>
      <c r="M539" s="523"/>
      <c r="N539" s="539"/>
    </row>
    <row r="540" spans="2:14" s="1" customFormat="1" ht="30" hidden="1" customHeight="1" x14ac:dyDescent="0.2">
      <c r="B540" s="517">
        <f>IF(AND('Expense Jrnl'!$G44&lt;&gt;"",'Expense Jrnl'!$C44&lt;&gt;""),1,0)</f>
        <v>0</v>
      </c>
      <c r="C540" s="517">
        <f>'Expense Jrnl'!$C44</f>
        <v>0</v>
      </c>
      <c r="D540" s="540">
        <f>'Expense Jrnl'!$D44</f>
        <v>0</v>
      </c>
      <c r="E540" s="1523">
        <f>'Expense Jrnl'!$F44</f>
        <v>0</v>
      </c>
      <c r="F540" s="1523"/>
      <c r="G540" s="519" t="str">
        <f>IF('Expense Jrnl'!$E44="","",'Expense Jrnl'!$E44)</f>
        <v/>
      </c>
      <c r="H540" s="518">
        <f>'Expense Jrnl'!H44</f>
        <v>0</v>
      </c>
      <c r="I540" s="518" t="str">
        <f t="shared" si="16"/>
        <v>0</v>
      </c>
      <c r="J540" s="520" t="b">
        <f t="shared" si="17"/>
        <v>0</v>
      </c>
      <c r="K540" s="541"/>
      <c r="L540" s="541">
        <f>'Expense Jrnl'!$G44</f>
        <v>0</v>
      </c>
      <c r="M540" s="523"/>
      <c r="N540" s="539"/>
    </row>
    <row r="541" spans="2:14" s="1" customFormat="1" ht="30" hidden="1" customHeight="1" x14ac:dyDescent="0.2">
      <c r="B541" s="517">
        <f>IF(AND('Expense Jrnl'!$G45&lt;&gt;"",'Expense Jrnl'!$C45&lt;&gt;""),1,0)</f>
        <v>0</v>
      </c>
      <c r="C541" s="517">
        <f>'Expense Jrnl'!$C45</f>
        <v>0</v>
      </c>
      <c r="D541" s="540">
        <f>'Expense Jrnl'!$D45</f>
        <v>0</v>
      </c>
      <c r="E541" s="1523">
        <f>'Expense Jrnl'!$F45</f>
        <v>0</v>
      </c>
      <c r="F541" s="1523"/>
      <c r="G541" s="519" t="str">
        <f>IF('Expense Jrnl'!$E45="","",'Expense Jrnl'!$E45)</f>
        <v/>
      </c>
      <c r="H541" s="518">
        <f>'Expense Jrnl'!H45</f>
        <v>0</v>
      </c>
      <c r="I541" s="518" t="str">
        <f t="shared" si="16"/>
        <v>0</v>
      </c>
      <c r="J541" s="520" t="b">
        <f t="shared" si="17"/>
        <v>0</v>
      </c>
      <c r="K541" s="541"/>
      <c r="L541" s="541">
        <f>'Expense Jrnl'!$G45</f>
        <v>0</v>
      </c>
      <c r="M541" s="523"/>
      <c r="N541" s="539"/>
    </row>
    <row r="542" spans="2:14" s="1" customFormat="1" ht="30" hidden="1" customHeight="1" x14ac:dyDescent="0.2">
      <c r="B542" s="517">
        <f>IF(AND('Expense Jrnl'!$G46&lt;&gt;"",'Expense Jrnl'!$C46&lt;&gt;""),1,0)</f>
        <v>0</v>
      </c>
      <c r="C542" s="517">
        <f>'Expense Jrnl'!$C46</f>
        <v>0</v>
      </c>
      <c r="D542" s="540">
        <f>'Expense Jrnl'!$D46</f>
        <v>0</v>
      </c>
      <c r="E542" s="1523">
        <f>'Expense Jrnl'!$F46</f>
        <v>0</v>
      </c>
      <c r="F542" s="1523"/>
      <c r="G542" s="519" t="str">
        <f>IF('Expense Jrnl'!$E46="","",'Expense Jrnl'!$E46)</f>
        <v/>
      </c>
      <c r="H542" s="518">
        <f>'Expense Jrnl'!H46</f>
        <v>0</v>
      </c>
      <c r="I542" s="518" t="str">
        <f t="shared" si="16"/>
        <v>0</v>
      </c>
      <c r="J542" s="520" t="b">
        <f t="shared" si="17"/>
        <v>0</v>
      </c>
      <c r="K542" s="541"/>
      <c r="L542" s="541">
        <f>'Expense Jrnl'!$G46</f>
        <v>0</v>
      </c>
      <c r="M542" s="523"/>
      <c r="N542" s="539"/>
    </row>
    <row r="543" spans="2:14" s="1" customFormat="1" ht="30" hidden="1" customHeight="1" x14ac:dyDescent="0.2">
      <c r="B543" s="517">
        <f>IF(AND('Expense Jrnl'!$G47&lt;&gt;"",'Expense Jrnl'!$C47&lt;&gt;""),1,0)</f>
        <v>0</v>
      </c>
      <c r="C543" s="517">
        <f>'Expense Jrnl'!$C47</f>
        <v>0</v>
      </c>
      <c r="D543" s="540">
        <f>'Expense Jrnl'!$D47</f>
        <v>0</v>
      </c>
      <c r="E543" s="1523">
        <f>'Expense Jrnl'!$F47</f>
        <v>0</v>
      </c>
      <c r="F543" s="1523"/>
      <c r="G543" s="519" t="str">
        <f>IF('Expense Jrnl'!$E47="","",'Expense Jrnl'!$E47)</f>
        <v/>
      </c>
      <c r="H543" s="518">
        <f>'Expense Jrnl'!H47</f>
        <v>0</v>
      </c>
      <c r="I543" s="518" t="str">
        <f t="shared" si="16"/>
        <v>0</v>
      </c>
      <c r="J543" s="520" t="b">
        <f t="shared" si="17"/>
        <v>0</v>
      </c>
      <c r="K543" s="541"/>
      <c r="L543" s="541">
        <f>'Expense Jrnl'!$G47</f>
        <v>0</v>
      </c>
      <c r="M543" s="523"/>
      <c r="N543" s="539"/>
    </row>
    <row r="544" spans="2:14" s="1" customFormat="1" ht="30" hidden="1" customHeight="1" x14ac:dyDescent="0.2">
      <c r="B544" s="517">
        <f>IF(AND('Expense Jrnl'!$G48&lt;&gt;"",'Expense Jrnl'!$C48&lt;&gt;""),1,0)</f>
        <v>0</v>
      </c>
      <c r="C544" s="517">
        <f>'Expense Jrnl'!$C48</f>
        <v>0</v>
      </c>
      <c r="D544" s="540">
        <f>'Expense Jrnl'!$D48</f>
        <v>0</v>
      </c>
      <c r="E544" s="1523">
        <f>'Expense Jrnl'!$F48</f>
        <v>0</v>
      </c>
      <c r="F544" s="1523"/>
      <c r="G544" s="519" t="str">
        <f>IF('Expense Jrnl'!$E48="","",'Expense Jrnl'!$E48)</f>
        <v/>
      </c>
      <c r="H544" s="518">
        <f>'Expense Jrnl'!H48</f>
        <v>0</v>
      </c>
      <c r="I544" s="518" t="str">
        <f t="shared" si="16"/>
        <v>0</v>
      </c>
      <c r="J544" s="520" t="b">
        <f t="shared" si="17"/>
        <v>0</v>
      </c>
      <c r="K544" s="541"/>
      <c r="L544" s="541">
        <f>'Expense Jrnl'!$G48</f>
        <v>0</v>
      </c>
      <c r="M544" s="523"/>
      <c r="N544" s="539"/>
    </row>
    <row r="545" spans="2:14" s="1" customFormat="1" ht="30" hidden="1" customHeight="1" x14ac:dyDescent="0.2">
      <c r="B545" s="517">
        <f>IF(AND('Expense Jrnl'!$G49&lt;&gt;"",'Expense Jrnl'!$C49&lt;&gt;""),1,0)</f>
        <v>0</v>
      </c>
      <c r="C545" s="517">
        <f>'Expense Jrnl'!$C49</f>
        <v>0</v>
      </c>
      <c r="D545" s="540">
        <f>'Expense Jrnl'!$D49</f>
        <v>0</v>
      </c>
      <c r="E545" s="1523">
        <f>'Expense Jrnl'!$F49</f>
        <v>0</v>
      </c>
      <c r="F545" s="1523"/>
      <c r="G545" s="519" t="str">
        <f>IF('Expense Jrnl'!$E49="","",'Expense Jrnl'!$E49)</f>
        <v/>
      </c>
      <c r="H545" s="518">
        <f>'Expense Jrnl'!H49</f>
        <v>0</v>
      </c>
      <c r="I545" s="518" t="str">
        <f t="shared" si="16"/>
        <v>0</v>
      </c>
      <c r="J545" s="520" t="b">
        <f t="shared" si="17"/>
        <v>0</v>
      </c>
      <c r="K545" s="541"/>
      <c r="L545" s="541">
        <f>'Expense Jrnl'!$G49</f>
        <v>0</v>
      </c>
      <c r="M545" s="523"/>
      <c r="N545" s="539"/>
    </row>
    <row r="546" spans="2:14" s="1" customFormat="1" ht="30" hidden="1" customHeight="1" x14ac:dyDescent="0.2">
      <c r="B546" s="517">
        <f>IF(AND('Expense Jrnl'!$G50&lt;&gt;"",'Expense Jrnl'!$C50&lt;&gt;""),1,0)</f>
        <v>0</v>
      </c>
      <c r="C546" s="517">
        <f>'Expense Jrnl'!$C50</f>
        <v>0</v>
      </c>
      <c r="D546" s="540">
        <f>'Expense Jrnl'!$D50</f>
        <v>0</v>
      </c>
      <c r="E546" s="1523">
        <f>'Expense Jrnl'!$F50</f>
        <v>0</v>
      </c>
      <c r="F546" s="1523"/>
      <c r="G546" s="519" t="str">
        <f>IF('Expense Jrnl'!$E50="","",'Expense Jrnl'!$E50)</f>
        <v/>
      </c>
      <c r="H546" s="518">
        <f>'Expense Jrnl'!H50</f>
        <v>0</v>
      </c>
      <c r="I546" s="518" t="str">
        <f t="shared" si="16"/>
        <v>0</v>
      </c>
      <c r="J546" s="520" t="b">
        <f t="shared" si="17"/>
        <v>0</v>
      </c>
      <c r="K546" s="541"/>
      <c r="L546" s="541">
        <f>'Expense Jrnl'!$G50</f>
        <v>0</v>
      </c>
      <c r="M546" s="523"/>
      <c r="N546" s="539"/>
    </row>
    <row r="547" spans="2:14" s="1" customFormat="1" ht="30" hidden="1" customHeight="1" x14ac:dyDescent="0.2">
      <c r="B547" s="517">
        <f>IF(AND('Expense Jrnl'!$G51&lt;&gt;"",'Expense Jrnl'!$C51&lt;&gt;""),1,0)</f>
        <v>0</v>
      </c>
      <c r="C547" s="517">
        <f>'Expense Jrnl'!$C51</f>
        <v>0</v>
      </c>
      <c r="D547" s="540">
        <f>'Expense Jrnl'!$D51</f>
        <v>0</v>
      </c>
      <c r="E547" s="1523">
        <f>'Expense Jrnl'!$F51</f>
        <v>0</v>
      </c>
      <c r="F547" s="1523"/>
      <c r="G547" s="519" t="str">
        <f>IF('Expense Jrnl'!$E51="","",'Expense Jrnl'!$E51)</f>
        <v/>
      </c>
      <c r="H547" s="518">
        <f>'Expense Jrnl'!H51</f>
        <v>0</v>
      </c>
      <c r="I547" s="518" t="str">
        <f t="shared" si="16"/>
        <v>0</v>
      </c>
      <c r="J547" s="520" t="b">
        <f t="shared" si="17"/>
        <v>0</v>
      </c>
      <c r="K547" s="541"/>
      <c r="L547" s="541">
        <f>'Expense Jrnl'!$G51</f>
        <v>0</v>
      </c>
      <c r="M547" s="523"/>
      <c r="N547" s="539"/>
    </row>
    <row r="548" spans="2:14" s="1" customFormat="1" ht="30" hidden="1" customHeight="1" x14ac:dyDescent="0.2">
      <c r="B548" s="517">
        <f>IF(AND('Expense Jrnl'!$G52&lt;&gt;"",'Expense Jrnl'!$C52&lt;&gt;""),1,0)</f>
        <v>0</v>
      </c>
      <c r="C548" s="517">
        <f>'Expense Jrnl'!$C52</f>
        <v>0</v>
      </c>
      <c r="D548" s="540">
        <f>'Expense Jrnl'!$D52</f>
        <v>0</v>
      </c>
      <c r="E548" s="1523">
        <f>'Expense Jrnl'!$F52</f>
        <v>0</v>
      </c>
      <c r="F548" s="1523"/>
      <c r="G548" s="519" t="str">
        <f>IF('Expense Jrnl'!$E52="","",'Expense Jrnl'!$E52)</f>
        <v/>
      </c>
      <c r="H548" s="518">
        <f>'Expense Jrnl'!H52</f>
        <v>0</v>
      </c>
      <c r="I548" s="518" t="str">
        <f t="shared" si="16"/>
        <v>0</v>
      </c>
      <c r="J548" s="520" t="b">
        <f t="shared" si="17"/>
        <v>0</v>
      </c>
      <c r="K548" s="541"/>
      <c r="L548" s="541">
        <f>'Expense Jrnl'!$G52</f>
        <v>0</v>
      </c>
      <c r="M548" s="523"/>
      <c r="N548" s="539"/>
    </row>
    <row r="549" spans="2:14" s="1" customFormat="1" ht="30" hidden="1" customHeight="1" x14ac:dyDescent="0.2">
      <c r="B549" s="517">
        <f>IF(AND('Expense Jrnl'!$G53&lt;&gt;"",'Expense Jrnl'!$C53&lt;&gt;""),1,0)</f>
        <v>0</v>
      </c>
      <c r="C549" s="517">
        <f>'Expense Jrnl'!$C53</f>
        <v>0</v>
      </c>
      <c r="D549" s="540">
        <f>'Expense Jrnl'!$D53</f>
        <v>0</v>
      </c>
      <c r="E549" s="1523">
        <f>'Expense Jrnl'!$F53</f>
        <v>0</v>
      </c>
      <c r="F549" s="1523"/>
      <c r="G549" s="519" t="str">
        <f>IF('Expense Jrnl'!$E53="","",'Expense Jrnl'!$E53)</f>
        <v/>
      </c>
      <c r="H549" s="518">
        <f>'Expense Jrnl'!H53</f>
        <v>0</v>
      </c>
      <c r="I549" s="518" t="str">
        <f t="shared" si="16"/>
        <v>0</v>
      </c>
      <c r="J549" s="520" t="b">
        <f t="shared" si="17"/>
        <v>0</v>
      </c>
      <c r="K549" s="541"/>
      <c r="L549" s="541">
        <f>'Expense Jrnl'!$G53</f>
        <v>0</v>
      </c>
      <c r="M549" s="523"/>
      <c r="N549" s="539"/>
    </row>
    <row r="550" spans="2:14" s="1" customFormat="1" ht="30" hidden="1" customHeight="1" x14ac:dyDescent="0.2">
      <c r="B550" s="517">
        <f>IF(AND('Expense Jrnl'!$G54&lt;&gt;"",'Expense Jrnl'!$C54&lt;&gt;""),1,0)</f>
        <v>0</v>
      </c>
      <c r="C550" s="517">
        <f>'Expense Jrnl'!$C54</f>
        <v>0</v>
      </c>
      <c r="D550" s="540">
        <f>'Expense Jrnl'!$D54</f>
        <v>0</v>
      </c>
      <c r="E550" s="1523">
        <f>'Expense Jrnl'!$F54</f>
        <v>0</v>
      </c>
      <c r="F550" s="1523"/>
      <c r="G550" s="519" t="str">
        <f>IF('Expense Jrnl'!$E54="","",'Expense Jrnl'!$E54)</f>
        <v/>
      </c>
      <c r="H550" s="518">
        <f>'Expense Jrnl'!H54</f>
        <v>0</v>
      </c>
      <c r="I550" s="518" t="str">
        <f t="shared" si="16"/>
        <v>0</v>
      </c>
      <c r="J550" s="520" t="b">
        <f t="shared" si="17"/>
        <v>0</v>
      </c>
      <c r="K550" s="541"/>
      <c r="L550" s="541">
        <f>'Expense Jrnl'!$G54</f>
        <v>0</v>
      </c>
      <c r="M550" s="523"/>
      <c r="N550" s="539"/>
    </row>
    <row r="551" spans="2:14" s="1" customFormat="1" ht="30" hidden="1" customHeight="1" x14ac:dyDescent="0.2">
      <c r="B551" s="517">
        <f>IF(AND('Expense Jrnl'!$G55&lt;&gt;"",'Expense Jrnl'!$C55&lt;&gt;""),1,0)</f>
        <v>0</v>
      </c>
      <c r="C551" s="517">
        <f>'Expense Jrnl'!$C55</f>
        <v>0</v>
      </c>
      <c r="D551" s="540">
        <f>'Expense Jrnl'!$D55</f>
        <v>0</v>
      </c>
      <c r="E551" s="1523">
        <f>'Expense Jrnl'!$F55</f>
        <v>0</v>
      </c>
      <c r="F551" s="1523"/>
      <c r="G551" s="519" t="str">
        <f>IF('Expense Jrnl'!$E55="","",'Expense Jrnl'!$E55)</f>
        <v/>
      </c>
      <c r="H551" s="518">
        <f>'Expense Jrnl'!H55</f>
        <v>0</v>
      </c>
      <c r="I551" s="518" t="str">
        <f t="shared" si="16"/>
        <v>0</v>
      </c>
      <c r="J551" s="520" t="b">
        <f t="shared" si="17"/>
        <v>0</v>
      </c>
      <c r="K551" s="541"/>
      <c r="L551" s="541">
        <f>'Expense Jrnl'!$G55</f>
        <v>0</v>
      </c>
      <c r="M551" s="523"/>
      <c r="N551" s="539"/>
    </row>
    <row r="552" spans="2:14" s="1" customFormat="1" ht="30" hidden="1" customHeight="1" x14ac:dyDescent="0.2">
      <c r="B552" s="517">
        <f>IF(AND('Expense Jrnl'!$G56&lt;&gt;"",'Expense Jrnl'!$C56&lt;&gt;""),1,0)</f>
        <v>0</v>
      </c>
      <c r="C552" s="517">
        <f>'Expense Jrnl'!$C56</f>
        <v>0</v>
      </c>
      <c r="D552" s="540">
        <f>'Expense Jrnl'!$D56</f>
        <v>0</v>
      </c>
      <c r="E552" s="1523">
        <f>'Expense Jrnl'!$F56</f>
        <v>0</v>
      </c>
      <c r="F552" s="1523"/>
      <c r="G552" s="519" t="str">
        <f>IF('Expense Jrnl'!$E56="","",'Expense Jrnl'!$E56)</f>
        <v/>
      </c>
      <c r="H552" s="518">
        <f>'Expense Jrnl'!H56</f>
        <v>0</v>
      </c>
      <c r="I552" s="518" t="str">
        <f t="shared" si="16"/>
        <v>0</v>
      </c>
      <c r="J552" s="520" t="b">
        <f t="shared" si="17"/>
        <v>0</v>
      </c>
      <c r="K552" s="541"/>
      <c r="L552" s="541">
        <f>'Expense Jrnl'!$G56</f>
        <v>0</v>
      </c>
      <c r="M552" s="523"/>
      <c r="N552" s="539"/>
    </row>
    <row r="553" spans="2:14" s="1" customFormat="1" ht="30" hidden="1" customHeight="1" x14ac:dyDescent="0.2">
      <c r="B553" s="517">
        <f>IF(AND('Expense Jrnl'!$G57&lt;&gt;"",'Expense Jrnl'!$C57&lt;&gt;""),1,0)</f>
        <v>0</v>
      </c>
      <c r="C553" s="517">
        <f>'Expense Jrnl'!$C57</f>
        <v>0</v>
      </c>
      <c r="D553" s="540">
        <f>'Expense Jrnl'!$D57</f>
        <v>0</v>
      </c>
      <c r="E553" s="1523">
        <f>'Expense Jrnl'!$F57</f>
        <v>0</v>
      </c>
      <c r="F553" s="1523"/>
      <c r="G553" s="519" t="str">
        <f>IF('Expense Jrnl'!$E57="","",'Expense Jrnl'!$E57)</f>
        <v/>
      </c>
      <c r="H553" s="518">
        <f>'Expense Jrnl'!H57</f>
        <v>0</v>
      </c>
      <c r="I553" s="518" t="str">
        <f t="shared" si="16"/>
        <v>0</v>
      </c>
      <c r="J553" s="520" t="b">
        <f t="shared" si="17"/>
        <v>0</v>
      </c>
      <c r="K553" s="541"/>
      <c r="L553" s="541">
        <f>'Expense Jrnl'!$G57</f>
        <v>0</v>
      </c>
      <c r="M553" s="523"/>
      <c r="N553" s="539"/>
    </row>
    <row r="554" spans="2:14" s="1" customFormat="1" ht="30" hidden="1" customHeight="1" x14ac:dyDescent="0.2">
      <c r="B554" s="517">
        <f>IF(AND('Expense Jrnl'!$G58&lt;&gt;"",'Expense Jrnl'!$C58&lt;&gt;""),1,0)</f>
        <v>0</v>
      </c>
      <c r="C554" s="517">
        <f>'Expense Jrnl'!$C58</f>
        <v>0</v>
      </c>
      <c r="D554" s="540">
        <f>'Expense Jrnl'!$D58</f>
        <v>0</v>
      </c>
      <c r="E554" s="1523">
        <f>'Expense Jrnl'!$F58</f>
        <v>0</v>
      </c>
      <c r="F554" s="1523"/>
      <c r="G554" s="519" t="str">
        <f>IF('Expense Jrnl'!$E58="","",'Expense Jrnl'!$E58)</f>
        <v/>
      </c>
      <c r="H554" s="518">
        <f>'Expense Jrnl'!H58</f>
        <v>0</v>
      </c>
      <c r="I554" s="518" t="str">
        <f t="shared" si="16"/>
        <v>0</v>
      </c>
      <c r="J554" s="520" t="b">
        <f t="shared" si="17"/>
        <v>0</v>
      </c>
      <c r="K554" s="541"/>
      <c r="L554" s="541">
        <f>'Expense Jrnl'!$G58</f>
        <v>0</v>
      </c>
      <c r="M554" s="523"/>
      <c r="N554" s="539"/>
    </row>
    <row r="555" spans="2:14" s="1" customFormat="1" ht="30" hidden="1" customHeight="1" x14ac:dyDescent="0.2">
      <c r="B555" s="517">
        <f>IF(AND('Expense Jrnl'!$G59&lt;&gt;"",'Expense Jrnl'!$C59&lt;&gt;""),1,0)</f>
        <v>0</v>
      </c>
      <c r="C555" s="517">
        <f>'Expense Jrnl'!$C59</f>
        <v>0</v>
      </c>
      <c r="D555" s="540">
        <f>'Expense Jrnl'!$D59</f>
        <v>0</v>
      </c>
      <c r="E555" s="1523">
        <f>'Expense Jrnl'!$F59</f>
        <v>0</v>
      </c>
      <c r="F555" s="1523"/>
      <c r="G555" s="519" t="str">
        <f>IF('Expense Jrnl'!$E59="","",'Expense Jrnl'!$E59)</f>
        <v/>
      </c>
      <c r="H555" s="518">
        <f>'Expense Jrnl'!H59</f>
        <v>0</v>
      </c>
      <c r="I555" s="518" t="str">
        <f t="shared" si="16"/>
        <v>0</v>
      </c>
      <c r="J555" s="520" t="b">
        <f t="shared" si="17"/>
        <v>0</v>
      </c>
      <c r="K555" s="541"/>
      <c r="L555" s="541">
        <f>'Expense Jrnl'!$G59</f>
        <v>0</v>
      </c>
      <c r="M555" s="523"/>
      <c r="N555" s="539"/>
    </row>
    <row r="556" spans="2:14" s="1" customFormat="1" ht="30" hidden="1" customHeight="1" x14ac:dyDescent="0.2">
      <c r="B556" s="517">
        <f>IF(AND('Expense Jrnl'!$G60&lt;&gt;"",'Expense Jrnl'!$C60&lt;&gt;""),1,0)</f>
        <v>0</v>
      </c>
      <c r="C556" s="517">
        <f>'Expense Jrnl'!$C60</f>
        <v>0</v>
      </c>
      <c r="D556" s="540">
        <f>'Expense Jrnl'!$D60</f>
        <v>0</v>
      </c>
      <c r="E556" s="1523">
        <f>'Expense Jrnl'!$F60</f>
        <v>0</v>
      </c>
      <c r="F556" s="1523"/>
      <c r="G556" s="519" t="str">
        <f>IF('Expense Jrnl'!$E60="","",'Expense Jrnl'!$E60)</f>
        <v/>
      </c>
      <c r="H556" s="518">
        <f>'Expense Jrnl'!H60</f>
        <v>0</v>
      </c>
      <c r="I556" s="518" t="str">
        <f t="shared" si="16"/>
        <v>0</v>
      </c>
      <c r="J556" s="520" t="b">
        <f t="shared" si="17"/>
        <v>0</v>
      </c>
      <c r="K556" s="541"/>
      <c r="L556" s="541">
        <f>'Expense Jrnl'!$G60</f>
        <v>0</v>
      </c>
      <c r="M556" s="523"/>
      <c r="N556" s="539"/>
    </row>
    <row r="557" spans="2:14" s="1" customFormat="1" ht="30" hidden="1" customHeight="1" x14ac:dyDescent="0.2">
      <c r="B557" s="517">
        <f>IF(AND('Expense Jrnl'!$G61&lt;&gt;"",'Expense Jrnl'!$C61&lt;&gt;""),1,0)</f>
        <v>0</v>
      </c>
      <c r="C557" s="517">
        <f>'Expense Jrnl'!$C61</f>
        <v>0</v>
      </c>
      <c r="D557" s="540">
        <f>'Expense Jrnl'!$D61</f>
        <v>0</v>
      </c>
      <c r="E557" s="1523">
        <f>'Expense Jrnl'!$F61</f>
        <v>0</v>
      </c>
      <c r="F557" s="1523"/>
      <c r="G557" s="519" t="str">
        <f>IF('Expense Jrnl'!$E61="","",'Expense Jrnl'!$E61)</f>
        <v/>
      </c>
      <c r="H557" s="518">
        <f>'Expense Jrnl'!H61</f>
        <v>0</v>
      </c>
      <c r="I557" s="518" t="str">
        <f t="shared" si="16"/>
        <v>0</v>
      </c>
      <c r="J557" s="520" t="b">
        <f t="shared" si="17"/>
        <v>0</v>
      </c>
      <c r="K557" s="541"/>
      <c r="L557" s="541">
        <f>'Expense Jrnl'!$G61</f>
        <v>0</v>
      </c>
      <c r="M557" s="523"/>
      <c r="N557" s="539"/>
    </row>
    <row r="558" spans="2:14" s="1" customFormat="1" ht="30" hidden="1" customHeight="1" x14ac:dyDescent="0.2">
      <c r="B558" s="517">
        <f>IF(AND('Expense Jrnl'!$G62&lt;&gt;"",'Expense Jrnl'!$C62&lt;&gt;""),1,0)</f>
        <v>0</v>
      </c>
      <c r="C558" s="517">
        <f>'Expense Jrnl'!$C62</f>
        <v>0</v>
      </c>
      <c r="D558" s="540">
        <f>'Expense Jrnl'!$D62</f>
        <v>0</v>
      </c>
      <c r="E558" s="1523">
        <f>'Expense Jrnl'!$F62</f>
        <v>0</v>
      </c>
      <c r="F558" s="1523"/>
      <c r="G558" s="519" t="str">
        <f>IF('Expense Jrnl'!$E62="","",'Expense Jrnl'!$E62)</f>
        <v/>
      </c>
      <c r="H558" s="518">
        <f>'Expense Jrnl'!H62</f>
        <v>0</v>
      </c>
      <c r="I558" s="518" t="str">
        <f t="shared" si="16"/>
        <v>0</v>
      </c>
      <c r="J558" s="520" t="b">
        <f t="shared" si="17"/>
        <v>0</v>
      </c>
      <c r="K558" s="541"/>
      <c r="L558" s="541">
        <f>'Expense Jrnl'!$G62</f>
        <v>0</v>
      </c>
      <c r="M558" s="523"/>
      <c r="N558" s="539"/>
    </row>
    <row r="559" spans="2:14" s="1" customFormat="1" ht="30" hidden="1" customHeight="1" x14ac:dyDescent="0.2">
      <c r="B559" s="517">
        <f>IF(AND('Expense Jrnl'!$G63&lt;&gt;"",'Expense Jrnl'!$C63&lt;&gt;""),1,0)</f>
        <v>0</v>
      </c>
      <c r="C559" s="517">
        <f>'Expense Jrnl'!$C63</f>
        <v>0</v>
      </c>
      <c r="D559" s="540">
        <f>'Expense Jrnl'!$D63</f>
        <v>0</v>
      </c>
      <c r="E559" s="1523">
        <f>'Expense Jrnl'!$F63</f>
        <v>0</v>
      </c>
      <c r="F559" s="1523"/>
      <c r="G559" s="519" t="str">
        <f>IF('Expense Jrnl'!$E63="","",'Expense Jrnl'!$E63)</f>
        <v/>
      </c>
      <c r="H559" s="518">
        <f>'Expense Jrnl'!H63</f>
        <v>0</v>
      </c>
      <c r="I559" s="518" t="str">
        <f t="shared" si="16"/>
        <v>0</v>
      </c>
      <c r="J559" s="520" t="b">
        <f t="shared" si="17"/>
        <v>0</v>
      </c>
      <c r="K559" s="541"/>
      <c r="L559" s="541">
        <f>'Expense Jrnl'!$G63</f>
        <v>0</v>
      </c>
      <c r="M559" s="523"/>
      <c r="N559" s="539"/>
    </row>
    <row r="560" spans="2:14" s="1" customFormat="1" ht="30" hidden="1" customHeight="1" x14ac:dyDescent="0.2">
      <c r="B560" s="517">
        <f>IF(AND('Expense Jrnl'!$G64&lt;&gt;"",'Expense Jrnl'!$C64&lt;&gt;""),1,0)</f>
        <v>0</v>
      </c>
      <c r="C560" s="517">
        <f>'Expense Jrnl'!$C64</f>
        <v>0</v>
      </c>
      <c r="D560" s="540">
        <f>'Expense Jrnl'!$D64</f>
        <v>0</v>
      </c>
      <c r="E560" s="1523">
        <f>'Expense Jrnl'!$F64</f>
        <v>0</v>
      </c>
      <c r="F560" s="1523"/>
      <c r="G560" s="519" t="str">
        <f>IF('Expense Jrnl'!$E64="","",'Expense Jrnl'!$E64)</f>
        <v/>
      </c>
      <c r="H560" s="518">
        <f>'Expense Jrnl'!H64</f>
        <v>0</v>
      </c>
      <c r="I560" s="518" t="str">
        <f t="shared" si="16"/>
        <v>0</v>
      </c>
      <c r="J560" s="520" t="b">
        <f t="shared" si="17"/>
        <v>0</v>
      </c>
      <c r="K560" s="541"/>
      <c r="L560" s="541">
        <f>'Expense Jrnl'!$G64</f>
        <v>0</v>
      </c>
      <c r="M560" s="523"/>
      <c r="N560" s="539"/>
    </row>
    <row r="561" spans="2:14" s="1" customFormat="1" ht="30" hidden="1" customHeight="1" x14ac:dyDescent="0.2">
      <c r="B561" s="517">
        <f>IF(AND('Expense Jrnl'!$G65&lt;&gt;"",'Expense Jrnl'!$C65&lt;&gt;""),1,0)</f>
        <v>0</v>
      </c>
      <c r="C561" s="517">
        <f>'Expense Jrnl'!$C65</f>
        <v>0</v>
      </c>
      <c r="D561" s="540">
        <f>'Expense Jrnl'!$D65</f>
        <v>0</v>
      </c>
      <c r="E561" s="1523">
        <f>'Expense Jrnl'!$F65</f>
        <v>0</v>
      </c>
      <c r="F561" s="1523"/>
      <c r="G561" s="519" t="str">
        <f>IF('Expense Jrnl'!$E65="","",'Expense Jrnl'!$E65)</f>
        <v/>
      </c>
      <c r="H561" s="518">
        <f>'Expense Jrnl'!H65</f>
        <v>0</v>
      </c>
      <c r="I561" s="518" t="str">
        <f t="shared" si="16"/>
        <v>0</v>
      </c>
      <c r="J561" s="520" t="b">
        <f t="shared" si="17"/>
        <v>0</v>
      </c>
      <c r="K561" s="541"/>
      <c r="L561" s="541">
        <f>'Expense Jrnl'!$G65</f>
        <v>0</v>
      </c>
      <c r="M561" s="523"/>
      <c r="N561" s="539"/>
    </row>
    <row r="562" spans="2:14" s="1" customFormat="1" ht="30" hidden="1" customHeight="1" x14ac:dyDescent="0.2">
      <c r="B562" s="517">
        <f>IF(AND('Expense Jrnl'!$G66&lt;&gt;"",'Expense Jrnl'!$C66&lt;&gt;""),1,0)</f>
        <v>0</v>
      </c>
      <c r="C562" s="517">
        <f>'Expense Jrnl'!$C66</f>
        <v>0</v>
      </c>
      <c r="D562" s="540">
        <f>'Expense Jrnl'!$D66</f>
        <v>0</v>
      </c>
      <c r="E562" s="1523">
        <f>'Expense Jrnl'!$F66</f>
        <v>0</v>
      </c>
      <c r="F562" s="1523"/>
      <c r="G562" s="519" t="str">
        <f>IF('Expense Jrnl'!$E66="","",'Expense Jrnl'!$E66)</f>
        <v/>
      </c>
      <c r="H562" s="518">
        <f>'Expense Jrnl'!H66</f>
        <v>0</v>
      </c>
      <c r="I562" s="518" t="str">
        <f t="shared" si="16"/>
        <v>0</v>
      </c>
      <c r="J562" s="520" t="b">
        <f t="shared" si="17"/>
        <v>0</v>
      </c>
      <c r="K562" s="541"/>
      <c r="L562" s="541">
        <f>'Expense Jrnl'!$G66</f>
        <v>0</v>
      </c>
      <c r="M562" s="523"/>
      <c r="N562" s="539"/>
    </row>
    <row r="563" spans="2:14" s="1" customFormat="1" ht="30" hidden="1" customHeight="1" x14ac:dyDescent="0.2">
      <c r="B563" s="517">
        <f>IF(AND('Expense Jrnl'!$G67&lt;&gt;"",'Expense Jrnl'!$C67&lt;&gt;""),1,0)</f>
        <v>0</v>
      </c>
      <c r="C563" s="517">
        <f>'Expense Jrnl'!$C67</f>
        <v>0</v>
      </c>
      <c r="D563" s="540">
        <f>'Expense Jrnl'!$D67</f>
        <v>0</v>
      </c>
      <c r="E563" s="1523">
        <f>'Expense Jrnl'!$F67</f>
        <v>0</v>
      </c>
      <c r="F563" s="1523"/>
      <c r="G563" s="519" t="str">
        <f>IF('Expense Jrnl'!$E67="","",'Expense Jrnl'!$E67)</f>
        <v/>
      </c>
      <c r="H563" s="518">
        <f>'Expense Jrnl'!H67</f>
        <v>0</v>
      </c>
      <c r="I563" s="518" t="str">
        <f t="shared" si="16"/>
        <v>0</v>
      </c>
      <c r="J563" s="520" t="b">
        <f t="shared" si="17"/>
        <v>0</v>
      </c>
      <c r="K563" s="541"/>
      <c r="L563" s="541">
        <f>'Expense Jrnl'!$G67</f>
        <v>0</v>
      </c>
      <c r="M563" s="523"/>
      <c r="N563" s="539"/>
    </row>
    <row r="564" spans="2:14" s="1" customFormat="1" ht="30" hidden="1" customHeight="1" x14ac:dyDescent="0.2">
      <c r="B564" s="517">
        <f>IF(AND('Expense Jrnl'!$G68&lt;&gt;"",'Expense Jrnl'!$C68&lt;&gt;""),1,0)</f>
        <v>0</v>
      </c>
      <c r="C564" s="517">
        <f>'Expense Jrnl'!$C68</f>
        <v>0</v>
      </c>
      <c r="D564" s="540">
        <f>'Expense Jrnl'!$D68</f>
        <v>0</v>
      </c>
      <c r="E564" s="1523">
        <f>'Expense Jrnl'!$F68</f>
        <v>0</v>
      </c>
      <c r="F564" s="1523"/>
      <c r="G564" s="519" t="str">
        <f>IF('Expense Jrnl'!$E68="","",'Expense Jrnl'!$E68)</f>
        <v/>
      </c>
      <c r="H564" s="518">
        <f>'Expense Jrnl'!H68</f>
        <v>0</v>
      </c>
      <c r="I564" s="518" t="str">
        <f t="shared" si="16"/>
        <v>0</v>
      </c>
      <c r="J564" s="520" t="b">
        <f t="shared" si="17"/>
        <v>0</v>
      </c>
      <c r="K564" s="541"/>
      <c r="L564" s="541">
        <f>'Expense Jrnl'!$G68</f>
        <v>0</v>
      </c>
      <c r="M564" s="523"/>
      <c r="N564" s="539"/>
    </row>
    <row r="565" spans="2:14" s="1" customFormat="1" ht="30" hidden="1" customHeight="1" x14ac:dyDescent="0.2">
      <c r="B565" s="517">
        <f>IF(AND('Expense Jrnl'!$G69&lt;&gt;"",'Expense Jrnl'!$C69&lt;&gt;""),1,0)</f>
        <v>0</v>
      </c>
      <c r="C565" s="517">
        <f>'Expense Jrnl'!$C69</f>
        <v>0</v>
      </c>
      <c r="D565" s="540">
        <f>'Expense Jrnl'!$D69</f>
        <v>0</v>
      </c>
      <c r="E565" s="1523">
        <f>'Expense Jrnl'!$F69</f>
        <v>0</v>
      </c>
      <c r="F565" s="1523"/>
      <c r="G565" s="519" t="str">
        <f>IF('Expense Jrnl'!$E69="","",'Expense Jrnl'!$E69)</f>
        <v/>
      </c>
      <c r="H565" s="518">
        <f>'Expense Jrnl'!H69</f>
        <v>0</v>
      </c>
      <c r="I565" s="518" t="str">
        <f t="shared" si="16"/>
        <v>0</v>
      </c>
      <c r="J565" s="520" t="b">
        <f t="shared" si="17"/>
        <v>0</v>
      </c>
      <c r="K565" s="541"/>
      <c r="L565" s="541">
        <f>'Expense Jrnl'!$G69</f>
        <v>0</v>
      </c>
      <c r="M565" s="523"/>
      <c r="N565" s="539"/>
    </row>
    <row r="566" spans="2:14" s="1" customFormat="1" ht="30" hidden="1" customHeight="1" x14ac:dyDescent="0.2">
      <c r="B566" s="517">
        <f>IF(AND('Expense Jrnl'!$G70&lt;&gt;"",'Expense Jrnl'!$C70&lt;&gt;""),1,0)</f>
        <v>0</v>
      </c>
      <c r="C566" s="517">
        <f>'Expense Jrnl'!$C70</f>
        <v>0</v>
      </c>
      <c r="D566" s="540">
        <f>'Expense Jrnl'!$D70</f>
        <v>0</v>
      </c>
      <c r="E566" s="1523">
        <f>'Expense Jrnl'!$F70</f>
        <v>0</v>
      </c>
      <c r="F566" s="1523"/>
      <c r="G566" s="519" t="str">
        <f>IF('Expense Jrnl'!$E70="","",'Expense Jrnl'!$E70)</f>
        <v/>
      </c>
      <c r="H566" s="518">
        <f>'Expense Jrnl'!H70</f>
        <v>0</v>
      </c>
      <c r="I566" s="518" t="str">
        <f t="shared" si="16"/>
        <v>0</v>
      </c>
      <c r="J566" s="520" t="b">
        <f t="shared" si="17"/>
        <v>0</v>
      </c>
      <c r="K566" s="541"/>
      <c r="L566" s="541">
        <f>'Expense Jrnl'!$G70</f>
        <v>0</v>
      </c>
      <c r="M566" s="523"/>
      <c r="N566" s="539"/>
    </row>
    <row r="567" spans="2:14" s="1" customFormat="1" ht="30" hidden="1" customHeight="1" x14ac:dyDescent="0.2">
      <c r="B567" s="517">
        <f>IF(AND('Expense Jrnl'!$G71&lt;&gt;"",'Expense Jrnl'!$C71&lt;&gt;""),1,0)</f>
        <v>0</v>
      </c>
      <c r="C567" s="517">
        <f>'Expense Jrnl'!$C71</f>
        <v>0</v>
      </c>
      <c r="D567" s="540">
        <f>'Expense Jrnl'!$D71</f>
        <v>0</v>
      </c>
      <c r="E567" s="1523">
        <f>'Expense Jrnl'!$F71</f>
        <v>0</v>
      </c>
      <c r="F567" s="1523"/>
      <c r="G567" s="519" t="str">
        <f>IF('Expense Jrnl'!$E71="","",'Expense Jrnl'!$E71)</f>
        <v/>
      </c>
      <c r="H567" s="518">
        <f>'Expense Jrnl'!H71</f>
        <v>0</v>
      </c>
      <c r="I567" s="518" t="str">
        <f t="shared" si="16"/>
        <v>0</v>
      </c>
      <c r="J567" s="520" t="b">
        <f t="shared" si="17"/>
        <v>0</v>
      </c>
      <c r="K567" s="541"/>
      <c r="L567" s="541">
        <f>'Expense Jrnl'!$G71</f>
        <v>0</v>
      </c>
      <c r="M567" s="523"/>
      <c r="N567" s="539"/>
    </row>
    <row r="568" spans="2:14" s="1" customFormat="1" ht="30" hidden="1" customHeight="1" x14ac:dyDescent="0.2">
      <c r="B568" s="517">
        <f>IF(AND('Expense Jrnl'!$G72&lt;&gt;"",'Expense Jrnl'!$C72&lt;&gt;""),1,0)</f>
        <v>0</v>
      </c>
      <c r="C568" s="517">
        <f>'Expense Jrnl'!$C72</f>
        <v>0</v>
      </c>
      <c r="D568" s="540">
        <f>'Expense Jrnl'!$D72</f>
        <v>0</v>
      </c>
      <c r="E568" s="1523">
        <f>'Expense Jrnl'!$F72</f>
        <v>0</v>
      </c>
      <c r="F568" s="1523"/>
      <c r="G568" s="519" t="str">
        <f>IF('Expense Jrnl'!$E72="","",'Expense Jrnl'!$E72)</f>
        <v/>
      </c>
      <c r="H568" s="518">
        <f>'Expense Jrnl'!H72</f>
        <v>0</v>
      </c>
      <c r="I568" s="518" t="str">
        <f t="shared" si="16"/>
        <v>0</v>
      </c>
      <c r="J568" s="520" t="b">
        <f t="shared" si="17"/>
        <v>0</v>
      </c>
      <c r="K568" s="541"/>
      <c r="L568" s="541">
        <f>'Expense Jrnl'!$G72</f>
        <v>0</v>
      </c>
      <c r="M568" s="523"/>
      <c r="N568" s="539"/>
    </row>
    <row r="569" spans="2:14" s="1" customFormat="1" ht="30" hidden="1" customHeight="1" x14ac:dyDescent="0.2">
      <c r="B569" s="517">
        <f>IF(AND('Expense Jrnl'!$G73&lt;&gt;"",'Expense Jrnl'!$C73&lt;&gt;""),1,0)</f>
        <v>0</v>
      </c>
      <c r="C569" s="517">
        <f>'Expense Jrnl'!$C73</f>
        <v>0</v>
      </c>
      <c r="D569" s="540">
        <f>'Expense Jrnl'!$D73</f>
        <v>0</v>
      </c>
      <c r="E569" s="1523">
        <f>'Expense Jrnl'!$F73</f>
        <v>0</v>
      </c>
      <c r="F569" s="1523"/>
      <c r="G569" s="519" t="str">
        <f>IF('Expense Jrnl'!$E73="","",'Expense Jrnl'!$E73)</f>
        <v/>
      </c>
      <c r="H569" s="518">
        <f>'Expense Jrnl'!H73</f>
        <v>0</v>
      </c>
      <c r="I569" s="518" t="str">
        <f t="shared" si="16"/>
        <v>0</v>
      </c>
      <c r="J569" s="520" t="b">
        <f t="shared" si="17"/>
        <v>0</v>
      </c>
      <c r="K569" s="541"/>
      <c r="L569" s="541">
        <f>'Expense Jrnl'!$G73</f>
        <v>0</v>
      </c>
      <c r="M569" s="523"/>
      <c r="N569" s="539"/>
    </row>
    <row r="570" spans="2:14" s="1" customFormat="1" ht="30" hidden="1" customHeight="1" x14ac:dyDescent="0.2">
      <c r="B570" s="517">
        <f>IF(AND('Expense Jrnl'!$G74&lt;&gt;"",'Expense Jrnl'!$C74&lt;&gt;""),1,0)</f>
        <v>0</v>
      </c>
      <c r="C570" s="517">
        <f>'Expense Jrnl'!$C74</f>
        <v>0</v>
      </c>
      <c r="D570" s="540">
        <f>'Expense Jrnl'!$D74</f>
        <v>0</v>
      </c>
      <c r="E570" s="1523">
        <f>'Expense Jrnl'!$F74</f>
        <v>0</v>
      </c>
      <c r="F570" s="1523"/>
      <c r="G570" s="519" t="str">
        <f>IF('Expense Jrnl'!$E74="","",'Expense Jrnl'!$E74)</f>
        <v/>
      </c>
      <c r="H570" s="518">
        <f>'Expense Jrnl'!H74</f>
        <v>0</v>
      </c>
      <c r="I570" s="518" t="str">
        <f t="shared" si="16"/>
        <v>0</v>
      </c>
      <c r="J570" s="520" t="b">
        <f t="shared" si="17"/>
        <v>0</v>
      </c>
      <c r="K570" s="541"/>
      <c r="L570" s="541">
        <f>'Expense Jrnl'!$G74</f>
        <v>0</v>
      </c>
      <c r="M570" s="523"/>
      <c r="N570" s="539"/>
    </row>
    <row r="571" spans="2:14" s="1" customFormat="1" ht="30" hidden="1" customHeight="1" x14ac:dyDescent="0.2">
      <c r="B571" s="517">
        <f>IF(AND('Expense Jrnl'!$G75&lt;&gt;"",'Expense Jrnl'!$C75&lt;&gt;""),1,0)</f>
        <v>0</v>
      </c>
      <c r="C571" s="517">
        <f>'Expense Jrnl'!$C75</f>
        <v>0</v>
      </c>
      <c r="D571" s="540">
        <f>'Expense Jrnl'!$D75</f>
        <v>0</v>
      </c>
      <c r="E571" s="1523">
        <f>'Expense Jrnl'!$F75</f>
        <v>0</v>
      </c>
      <c r="F571" s="1523"/>
      <c r="G571" s="519" t="str">
        <f>IF('Expense Jrnl'!$E75="","",'Expense Jrnl'!$E75)</f>
        <v/>
      </c>
      <c r="H571" s="518">
        <f>'Expense Jrnl'!H75</f>
        <v>0</v>
      </c>
      <c r="I571" s="518" t="str">
        <f t="shared" si="16"/>
        <v>0</v>
      </c>
      <c r="J571" s="520" t="b">
        <f t="shared" si="17"/>
        <v>0</v>
      </c>
      <c r="K571" s="541"/>
      <c r="L571" s="541">
        <f>'Expense Jrnl'!$G75</f>
        <v>0</v>
      </c>
      <c r="M571" s="523"/>
      <c r="N571" s="539"/>
    </row>
    <row r="572" spans="2:14" s="1" customFormat="1" ht="30" hidden="1" customHeight="1" x14ac:dyDescent="0.2">
      <c r="B572" s="517">
        <f>IF(AND('Expense Jrnl'!$G76&lt;&gt;"",'Expense Jrnl'!$C76&lt;&gt;""),1,0)</f>
        <v>0</v>
      </c>
      <c r="C572" s="517">
        <f>'Expense Jrnl'!$C76</f>
        <v>0</v>
      </c>
      <c r="D572" s="540">
        <f>'Expense Jrnl'!$D76</f>
        <v>0</v>
      </c>
      <c r="E572" s="1523">
        <f>'Expense Jrnl'!$F76</f>
        <v>0</v>
      </c>
      <c r="F572" s="1523"/>
      <c r="G572" s="519" t="str">
        <f>IF('Expense Jrnl'!$E76="","",'Expense Jrnl'!$E76)</f>
        <v/>
      </c>
      <c r="H572" s="518">
        <f>'Expense Jrnl'!H76</f>
        <v>0</v>
      </c>
      <c r="I572" s="518" t="str">
        <f t="shared" si="16"/>
        <v>0</v>
      </c>
      <c r="J572" s="520" t="b">
        <f t="shared" si="17"/>
        <v>0</v>
      </c>
      <c r="K572" s="541"/>
      <c r="L572" s="541">
        <f>'Expense Jrnl'!$G76</f>
        <v>0</v>
      </c>
      <c r="M572" s="523"/>
      <c r="N572" s="539"/>
    </row>
    <row r="573" spans="2:14" s="1" customFormat="1" ht="30" hidden="1" customHeight="1" x14ac:dyDescent="0.2">
      <c r="B573" s="517">
        <f>IF(AND('Expense Jrnl'!$G77&lt;&gt;"",'Expense Jrnl'!$C77&lt;&gt;""),1,0)</f>
        <v>0</v>
      </c>
      <c r="C573" s="517">
        <f>'Expense Jrnl'!$C77</f>
        <v>0</v>
      </c>
      <c r="D573" s="540">
        <f>'Expense Jrnl'!$D77</f>
        <v>0</v>
      </c>
      <c r="E573" s="1523">
        <f>'Expense Jrnl'!$F77</f>
        <v>0</v>
      </c>
      <c r="F573" s="1523"/>
      <c r="G573" s="519" t="str">
        <f>IF('Expense Jrnl'!$E77="","",'Expense Jrnl'!$E77)</f>
        <v/>
      </c>
      <c r="H573" s="518">
        <f>'Expense Jrnl'!H77</f>
        <v>0</v>
      </c>
      <c r="I573" s="518" t="str">
        <f t="shared" si="16"/>
        <v>0</v>
      </c>
      <c r="J573" s="520" t="b">
        <f t="shared" si="17"/>
        <v>0</v>
      </c>
      <c r="K573" s="541"/>
      <c r="L573" s="541">
        <f>'Expense Jrnl'!$G77</f>
        <v>0</v>
      </c>
      <c r="M573" s="523"/>
      <c r="N573" s="539"/>
    </row>
    <row r="574" spans="2:14" s="1" customFormat="1" ht="30" hidden="1" customHeight="1" x14ac:dyDescent="0.2">
      <c r="B574" s="517">
        <f>IF(AND('Expense Jrnl'!$G78&lt;&gt;"",'Expense Jrnl'!$C78&lt;&gt;""),1,0)</f>
        <v>0</v>
      </c>
      <c r="C574" s="517">
        <f>'Expense Jrnl'!$C78</f>
        <v>0</v>
      </c>
      <c r="D574" s="540">
        <f>'Expense Jrnl'!$D78</f>
        <v>0</v>
      </c>
      <c r="E574" s="1523">
        <f>'Expense Jrnl'!$F78</f>
        <v>0</v>
      </c>
      <c r="F574" s="1523"/>
      <c r="G574" s="519" t="str">
        <f>IF('Expense Jrnl'!$E78="","",'Expense Jrnl'!$E78)</f>
        <v/>
      </c>
      <c r="H574" s="518">
        <f>'Expense Jrnl'!H78</f>
        <v>0</v>
      </c>
      <c r="I574" s="518" t="str">
        <f t="shared" si="16"/>
        <v>0</v>
      </c>
      <c r="J574" s="520" t="b">
        <f t="shared" si="17"/>
        <v>0</v>
      </c>
      <c r="K574" s="541"/>
      <c r="L574" s="541">
        <f>'Expense Jrnl'!$G78</f>
        <v>0</v>
      </c>
      <c r="M574" s="523"/>
      <c r="N574" s="539"/>
    </row>
    <row r="575" spans="2:14" s="1" customFormat="1" ht="30" hidden="1" customHeight="1" x14ac:dyDescent="0.2">
      <c r="B575" s="517">
        <f>IF(AND('Expense Jrnl'!$G79&lt;&gt;"",'Expense Jrnl'!$C79&lt;&gt;""),1,0)</f>
        <v>0</v>
      </c>
      <c r="C575" s="517">
        <f>'Expense Jrnl'!$C79</f>
        <v>0</v>
      </c>
      <c r="D575" s="540">
        <f>'Expense Jrnl'!$D79</f>
        <v>0</v>
      </c>
      <c r="E575" s="1523">
        <f>'Expense Jrnl'!$F79</f>
        <v>0</v>
      </c>
      <c r="F575" s="1523"/>
      <c r="G575" s="519" t="str">
        <f>IF('Expense Jrnl'!$E79="","",'Expense Jrnl'!$E79)</f>
        <v/>
      </c>
      <c r="H575" s="518">
        <f>'Expense Jrnl'!H79</f>
        <v>0</v>
      </c>
      <c r="I575" s="518" t="str">
        <f t="shared" si="16"/>
        <v>0</v>
      </c>
      <c r="J575" s="520" t="b">
        <f t="shared" si="17"/>
        <v>0</v>
      </c>
      <c r="K575" s="541"/>
      <c r="L575" s="541">
        <f>'Expense Jrnl'!$G79</f>
        <v>0</v>
      </c>
      <c r="M575" s="523"/>
      <c r="N575" s="539"/>
    </row>
    <row r="576" spans="2:14" s="1" customFormat="1" ht="30" hidden="1" customHeight="1" x14ac:dyDescent="0.2">
      <c r="B576" s="517">
        <f>IF(AND('Expense Jrnl'!$G80&lt;&gt;"",'Expense Jrnl'!$C80&lt;&gt;""),1,0)</f>
        <v>0</v>
      </c>
      <c r="C576" s="517">
        <f>'Expense Jrnl'!$C80</f>
        <v>0</v>
      </c>
      <c r="D576" s="540">
        <f>'Expense Jrnl'!$D80</f>
        <v>0</v>
      </c>
      <c r="E576" s="1523">
        <f>'Expense Jrnl'!$F80</f>
        <v>0</v>
      </c>
      <c r="F576" s="1523"/>
      <c r="G576" s="519" t="str">
        <f>IF('Expense Jrnl'!$E80="","",'Expense Jrnl'!$E80)</f>
        <v/>
      </c>
      <c r="H576" s="518">
        <f>'Expense Jrnl'!H80</f>
        <v>0</v>
      </c>
      <c r="I576" s="518" t="str">
        <f t="shared" ref="I576:I639" si="18">LEFT(H576,4)</f>
        <v>0</v>
      </c>
      <c r="J576" s="520" t="b">
        <f t="shared" ref="J576:J639" si="19">IF(I576="1020",IF(G576&gt;=$E$3,IF(G576&lt;=$G$3,L576,0)))</f>
        <v>0</v>
      </c>
      <c r="K576" s="541"/>
      <c r="L576" s="541">
        <f>'Expense Jrnl'!$G80</f>
        <v>0</v>
      </c>
      <c r="M576" s="523"/>
      <c r="N576" s="539"/>
    </row>
    <row r="577" spans="2:14" s="1" customFormat="1" ht="30" hidden="1" customHeight="1" x14ac:dyDescent="0.2">
      <c r="B577" s="517">
        <f>IF(AND('Expense Jrnl'!$G81&lt;&gt;"",'Expense Jrnl'!$C81&lt;&gt;""),1,0)</f>
        <v>0</v>
      </c>
      <c r="C577" s="517">
        <f>'Expense Jrnl'!$C81</f>
        <v>0</v>
      </c>
      <c r="D577" s="540">
        <f>'Expense Jrnl'!$D81</f>
        <v>0</v>
      </c>
      <c r="E577" s="1523">
        <f>'Expense Jrnl'!$F81</f>
        <v>0</v>
      </c>
      <c r="F577" s="1523"/>
      <c r="G577" s="519" t="str">
        <f>IF('Expense Jrnl'!$E81="","",'Expense Jrnl'!$E81)</f>
        <v/>
      </c>
      <c r="H577" s="518">
        <f>'Expense Jrnl'!H81</f>
        <v>0</v>
      </c>
      <c r="I577" s="518" t="str">
        <f t="shared" si="18"/>
        <v>0</v>
      </c>
      <c r="J577" s="520" t="b">
        <f t="shared" si="19"/>
        <v>0</v>
      </c>
      <c r="K577" s="541"/>
      <c r="L577" s="541">
        <f>'Expense Jrnl'!$G81</f>
        <v>0</v>
      </c>
      <c r="M577" s="523"/>
      <c r="N577" s="539"/>
    </row>
    <row r="578" spans="2:14" s="1" customFormat="1" ht="30" hidden="1" customHeight="1" x14ac:dyDescent="0.2">
      <c r="B578" s="517">
        <f>IF(AND('Expense Jrnl'!$G82&lt;&gt;"",'Expense Jrnl'!$C82&lt;&gt;""),1,0)</f>
        <v>0</v>
      </c>
      <c r="C578" s="517">
        <f>'Expense Jrnl'!$C82</f>
        <v>0</v>
      </c>
      <c r="D578" s="540">
        <f>'Expense Jrnl'!$D82</f>
        <v>0</v>
      </c>
      <c r="E578" s="1523">
        <f>'Expense Jrnl'!$F82</f>
        <v>0</v>
      </c>
      <c r="F578" s="1523"/>
      <c r="G578" s="519" t="str">
        <f>IF('Expense Jrnl'!$E82="","",'Expense Jrnl'!$E82)</f>
        <v/>
      </c>
      <c r="H578" s="518">
        <f>'Expense Jrnl'!H82</f>
        <v>0</v>
      </c>
      <c r="I578" s="518" t="str">
        <f t="shared" si="18"/>
        <v>0</v>
      </c>
      <c r="J578" s="520" t="b">
        <f t="shared" si="19"/>
        <v>0</v>
      </c>
      <c r="K578" s="541"/>
      <c r="L578" s="541">
        <f>'Expense Jrnl'!$G82</f>
        <v>0</v>
      </c>
      <c r="M578" s="523"/>
      <c r="N578" s="539"/>
    </row>
    <row r="579" spans="2:14" s="1" customFormat="1" ht="30" hidden="1" customHeight="1" x14ac:dyDescent="0.2">
      <c r="B579" s="517">
        <f>IF(AND('Expense Jrnl'!$G83&lt;&gt;"",'Expense Jrnl'!$C83&lt;&gt;""),1,0)</f>
        <v>0</v>
      </c>
      <c r="C579" s="517">
        <f>'Expense Jrnl'!$C83</f>
        <v>0</v>
      </c>
      <c r="D579" s="540">
        <f>'Expense Jrnl'!$D83</f>
        <v>0</v>
      </c>
      <c r="E579" s="1523">
        <f>'Expense Jrnl'!$F83</f>
        <v>0</v>
      </c>
      <c r="F579" s="1523"/>
      <c r="G579" s="519" t="str">
        <f>IF('Expense Jrnl'!$E83="","",'Expense Jrnl'!$E83)</f>
        <v/>
      </c>
      <c r="H579" s="518">
        <f>'Expense Jrnl'!H83</f>
        <v>0</v>
      </c>
      <c r="I579" s="518" t="str">
        <f t="shared" si="18"/>
        <v>0</v>
      </c>
      <c r="J579" s="520" t="b">
        <f t="shared" si="19"/>
        <v>0</v>
      </c>
      <c r="K579" s="541"/>
      <c r="L579" s="541">
        <f>'Expense Jrnl'!$G83</f>
        <v>0</v>
      </c>
      <c r="M579" s="523"/>
      <c r="N579" s="539"/>
    </row>
    <row r="580" spans="2:14" s="1" customFormat="1" ht="30" hidden="1" customHeight="1" x14ac:dyDescent="0.2">
      <c r="B580" s="517">
        <f>IF(AND('Expense Jrnl'!$G84&lt;&gt;"",'Expense Jrnl'!$C84&lt;&gt;""),1,0)</f>
        <v>0</v>
      </c>
      <c r="C580" s="517">
        <f>'Expense Jrnl'!$C84</f>
        <v>0</v>
      </c>
      <c r="D580" s="540">
        <f>'Expense Jrnl'!$D84</f>
        <v>0</v>
      </c>
      <c r="E580" s="1523">
        <f>'Expense Jrnl'!$F84</f>
        <v>0</v>
      </c>
      <c r="F580" s="1523"/>
      <c r="G580" s="519" t="str">
        <f>IF('Expense Jrnl'!$E84="","",'Expense Jrnl'!$E84)</f>
        <v/>
      </c>
      <c r="H580" s="518">
        <f>'Expense Jrnl'!H84</f>
        <v>0</v>
      </c>
      <c r="I580" s="518" t="str">
        <f t="shared" si="18"/>
        <v>0</v>
      </c>
      <c r="J580" s="520" t="b">
        <f t="shared" si="19"/>
        <v>0</v>
      </c>
      <c r="K580" s="541"/>
      <c r="L580" s="541">
        <f>'Expense Jrnl'!$G84</f>
        <v>0</v>
      </c>
      <c r="M580" s="523"/>
      <c r="N580" s="539"/>
    </row>
    <row r="581" spans="2:14" s="1" customFormat="1" ht="30" hidden="1" customHeight="1" x14ac:dyDescent="0.2">
      <c r="B581" s="517">
        <f>IF(AND('Expense Jrnl'!$G85&lt;&gt;"",'Expense Jrnl'!$C85&lt;&gt;""),1,0)</f>
        <v>0</v>
      </c>
      <c r="C581" s="517">
        <f>'Expense Jrnl'!$C85</f>
        <v>0</v>
      </c>
      <c r="D581" s="540">
        <f>'Expense Jrnl'!$D85</f>
        <v>0</v>
      </c>
      <c r="E581" s="1523">
        <f>'Expense Jrnl'!$F85</f>
        <v>0</v>
      </c>
      <c r="F581" s="1523"/>
      <c r="G581" s="519" t="str">
        <f>IF('Expense Jrnl'!$E85="","",'Expense Jrnl'!$E85)</f>
        <v/>
      </c>
      <c r="H581" s="518">
        <f>'Expense Jrnl'!H85</f>
        <v>0</v>
      </c>
      <c r="I581" s="518" t="str">
        <f t="shared" si="18"/>
        <v>0</v>
      </c>
      <c r="J581" s="520" t="b">
        <f t="shared" si="19"/>
        <v>0</v>
      </c>
      <c r="K581" s="541"/>
      <c r="L581" s="541">
        <f>'Expense Jrnl'!$G85</f>
        <v>0</v>
      </c>
      <c r="M581" s="523"/>
      <c r="N581" s="539"/>
    </row>
    <row r="582" spans="2:14" s="1" customFormat="1" ht="30" hidden="1" customHeight="1" x14ac:dyDescent="0.2">
      <c r="B582" s="517">
        <f>IF(AND('Expense Jrnl'!$G86&lt;&gt;"",'Expense Jrnl'!$C86&lt;&gt;""),1,0)</f>
        <v>0</v>
      </c>
      <c r="C582" s="517">
        <f>'Expense Jrnl'!$C86</f>
        <v>0</v>
      </c>
      <c r="D582" s="540">
        <f>'Expense Jrnl'!$D86</f>
        <v>0</v>
      </c>
      <c r="E582" s="1523">
        <f>'Expense Jrnl'!$F86</f>
        <v>0</v>
      </c>
      <c r="F582" s="1523"/>
      <c r="G582" s="519" t="str">
        <f>IF('Expense Jrnl'!$E86="","",'Expense Jrnl'!$E86)</f>
        <v/>
      </c>
      <c r="H582" s="518">
        <f>'Expense Jrnl'!H86</f>
        <v>0</v>
      </c>
      <c r="I582" s="518" t="str">
        <f t="shared" si="18"/>
        <v>0</v>
      </c>
      <c r="J582" s="520" t="b">
        <f t="shared" si="19"/>
        <v>0</v>
      </c>
      <c r="K582" s="541"/>
      <c r="L582" s="541">
        <f>'Expense Jrnl'!$G86</f>
        <v>0</v>
      </c>
      <c r="M582" s="523"/>
      <c r="N582" s="539"/>
    </row>
    <row r="583" spans="2:14" s="1" customFormat="1" ht="30" hidden="1" customHeight="1" x14ac:dyDescent="0.2">
      <c r="B583" s="517">
        <f>IF(AND('Expense Jrnl'!$G87&lt;&gt;"",'Expense Jrnl'!$C87&lt;&gt;""),1,0)</f>
        <v>0</v>
      </c>
      <c r="C583" s="517">
        <f>'Expense Jrnl'!$C87</f>
        <v>0</v>
      </c>
      <c r="D583" s="540">
        <f>'Expense Jrnl'!$D87</f>
        <v>0</v>
      </c>
      <c r="E583" s="1523">
        <f>'Expense Jrnl'!$F87</f>
        <v>0</v>
      </c>
      <c r="F583" s="1523"/>
      <c r="G583" s="519" t="str">
        <f>IF('Expense Jrnl'!$E87="","",'Expense Jrnl'!$E87)</f>
        <v/>
      </c>
      <c r="H583" s="518">
        <f>'Expense Jrnl'!H87</f>
        <v>0</v>
      </c>
      <c r="I583" s="518" t="str">
        <f t="shared" si="18"/>
        <v>0</v>
      </c>
      <c r="J583" s="520" t="b">
        <f t="shared" si="19"/>
        <v>0</v>
      </c>
      <c r="K583" s="541"/>
      <c r="L583" s="541">
        <f>'Expense Jrnl'!$G87</f>
        <v>0</v>
      </c>
      <c r="M583" s="523"/>
      <c r="N583" s="539"/>
    </row>
    <row r="584" spans="2:14" s="1" customFormat="1" ht="30" hidden="1" customHeight="1" x14ac:dyDescent="0.2">
      <c r="B584" s="517">
        <f>IF(AND('Expense Jrnl'!$G88&lt;&gt;"",'Expense Jrnl'!$C88&lt;&gt;""),1,0)</f>
        <v>0</v>
      </c>
      <c r="C584" s="517">
        <f>'Expense Jrnl'!$C88</f>
        <v>0</v>
      </c>
      <c r="D584" s="540">
        <f>'Expense Jrnl'!$D88</f>
        <v>0</v>
      </c>
      <c r="E584" s="1523">
        <f>'Expense Jrnl'!$F88</f>
        <v>0</v>
      </c>
      <c r="F584" s="1523"/>
      <c r="G584" s="519" t="str">
        <f>IF('Expense Jrnl'!$E88="","",'Expense Jrnl'!$E88)</f>
        <v/>
      </c>
      <c r="H584" s="518">
        <f>'Expense Jrnl'!H88</f>
        <v>0</v>
      </c>
      <c r="I584" s="518" t="str">
        <f t="shared" si="18"/>
        <v>0</v>
      </c>
      <c r="J584" s="520" t="b">
        <f t="shared" si="19"/>
        <v>0</v>
      </c>
      <c r="K584" s="541"/>
      <c r="L584" s="541">
        <f>'Expense Jrnl'!$G88</f>
        <v>0</v>
      </c>
      <c r="M584" s="523"/>
      <c r="N584" s="539"/>
    </row>
    <row r="585" spans="2:14" s="1" customFormat="1" ht="30" hidden="1" customHeight="1" x14ac:dyDescent="0.2">
      <c r="B585" s="517">
        <f>IF(AND('Expense Jrnl'!$G89&lt;&gt;"",'Expense Jrnl'!$C89&lt;&gt;""),1,0)</f>
        <v>0</v>
      </c>
      <c r="C585" s="517">
        <f>'Expense Jrnl'!$C89</f>
        <v>0</v>
      </c>
      <c r="D585" s="540">
        <f>'Expense Jrnl'!$D89</f>
        <v>0</v>
      </c>
      <c r="E585" s="1523">
        <f>'Expense Jrnl'!$F89</f>
        <v>0</v>
      </c>
      <c r="F585" s="1523"/>
      <c r="G585" s="519" t="str">
        <f>IF('Expense Jrnl'!$E89="","",'Expense Jrnl'!$E89)</f>
        <v/>
      </c>
      <c r="H585" s="518">
        <f>'Expense Jrnl'!H89</f>
        <v>0</v>
      </c>
      <c r="I585" s="518" t="str">
        <f t="shared" si="18"/>
        <v>0</v>
      </c>
      <c r="J585" s="520" t="b">
        <f t="shared" si="19"/>
        <v>0</v>
      </c>
      <c r="K585" s="541"/>
      <c r="L585" s="541">
        <f>'Expense Jrnl'!$G89</f>
        <v>0</v>
      </c>
      <c r="M585" s="523"/>
      <c r="N585" s="539"/>
    </row>
    <row r="586" spans="2:14" s="1" customFormat="1" ht="30" hidden="1" customHeight="1" x14ac:dyDescent="0.2">
      <c r="B586" s="517">
        <f>IF(AND('Expense Jrnl'!$G90&lt;&gt;"",'Expense Jrnl'!$C90&lt;&gt;""),1,0)</f>
        <v>0</v>
      </c>
      <c r="C586" s="517">
        <f>'Expense Jrnl'!$C90</f>
        <v>0</v>
      </c>
      <c r="D586" s="540">
        <f>'Expense Jrnl'!$D90</f>
        <v>0</v>
      </c>
      <c r="E586" s="1523">
        <f>'Expense Jrnl'!$F90</f>
        <v>0</v>
      </c>
      <c r="F586" s="1523"/>
      <c r="G586" s="519" t="str">
        <f>IF('Expense Jrnl'!$E90="","",'Expense Jrnl'!$E90)</f>
        <v/>
      </c>
      <c r="H586" s="518">
        <f>'Expense Jrnl'!H90</f>
        <v>0</v>
      </c>
      <c r="I586" s="518" t="str">
        <f t="shared" si="18"/>
        <v>0</v>
      </c>
      <c r="J586" s="520" t="b">
        <f t="shared" si="19"/>
        <v>0</v>
      </c>
      <c r="K586" s="541"/>
      <c r="L586" s="541">
        <f>'Expense Jrnl'!$G90</f>
        <v>0</v>
      </c>
      <c r="M586" s="523"/>
      <c r="N586" s="539"/>
    </row>
    <row r="587" spans="2:14" s="1" customFormat="1" ht="30" hidden="1" customHeight="1" x14ac:dyDescent="0.2">
      <c r="B587" s="517">
        <f>IF(AND('Expense Jrnl'!$G91&lt;&gt;"",'Expense Jrnl'!$C91&lt;&gt;""),1,0)</f>
        <v>0</v>
      </c>
      <c r="C587" s="517">
        <f>'Expense Jrnl'!$C91</f>
        <v>0</v>
      </c>
      <c r="D587" s="540">
        <f>'Expense Jrnl'!$D91</f>
        <v>0</v>
      </c>
      <c r="E587" s="1523">
        <f>'Expense Jrnl'!$F91</f>
        <v>0</v>
      </c>
      <c r="F587" s="1523"/>
      <c r="G587" s="519" t="str">
        <f>IF('Expense Jrnl'!$E91="","",'Expense Jrnl'!$E91)</f>
        <v/>
      </c>
      <c r="H587" s="518">
        <f>'Expense Jrnl'!H91</f>
        <v>0</v>
      </c>
      <c r="I587" s="518" t="str">
        <f t="shared" si="18"/>
        <v>0</v>
      </c>
      <c r="J587" s="520" t="b">
        <f t="shared" si="19"/>
        <v>0</v>
      </c>
      <c r="K587" s="541"/>
      <c r="L587" s="541">
        <f>'Expense Jrnl'!$G91</f>
        <v>0</v>
      </c>
      <c r="M587" s="523"/>
      <c r="N587" s="539"/>
    </row>
    <row r="588" spans="2:14" s="1" customFormat="1" ht="30" hidden="1" customHeight="1" x14ac:dyDescent="0.2">
      <c r="B588" s="517">
        <f>IF(AND('Expense Jrnl'!$G92&lt;&gt;"",'Expense Jrnl'!$C92&lt;&gt;""),1,0)</f>
        <v>0</v>
      </c>
      <c r="C588" s="517">
        <f>'Expense Jrnl'!$C92</f>
        <v>0</v>
      </c>
      <c r="D588" s="540">
        <f>'Expense Jrnl'!$D92</f>
        <v>0</v>
      </c>
      <c r="E588" s="1523">
        <f>'Expense Jrnl'!$F92</f>
        <v>0</v>
      </c>
      <c r="F588" s="1523"/>
      <c r="G588" s="519" t="str">
        <f>IF('Expense Jrnl'!$E92="","",'Expense Jrnl'!$E92)</f>
        <v/>
      </c>
      <c r="H588" s="518">
        <f>'Expense Jrnl'!H92</f>
        <v>0</v>
      </c>
      <c r="I588" s="518" t="str">
        <f t="shared" si="18"/>
        <v>0</v>
      </c>
      <c r="J588" s="520" t="b">
        <f t="shared" si="19"/>
        <v>0</v>
      </c>
      <c r="K588" s="541"/>
      <c r="L588" s="541">
        <f>'Expense Jrnl'!$G92</f>
        <v>0</v>
      </c>
      <c r="M588" s="523"/>
      <c r="N588" s="539"/>
    </row>
    <row r="589" spans="2:14" s="1" customFormat="1" ht="30" hidden="1" customHeight="1" x14ac:dyDescent="0.2">
      <c r="B589" s="517">
        <f>IF(AND('Expense Jrnl'!$G93&lt;&gt;"",'Expense Jrnl'!$C93&lt;&gt;""),1,0)</f>
        <v>0</v>
      </c>
      <c r="C589" s="517">
        <f>'Expense Jrnl'!$C93</f>
        <v>0</v>
      </c>
      <c r="D589" s="540">
        <f>'Expense Jrnl'!$D93</f>
        <v>0</v>
      </c>
      <c r="E589" s="1523">
        <f>'Expense Jrnl'!$F93</f>
        <v>0</v>
      </c>
      <c r="F589" s="1523"/>
      <c r="G589" s="519" t="str">
        <f>IF('Expense Jrnl'!$E93="","",'Expense Jrnl'!$E93)</f>
        <v/>
      </c>
      <c r="H589" s="518">
        <f>'Expense Jrnl'!H93</f>
        <v>0</v>
      </c>
      <c r="I589" s="518" t="str">
        <f t="shared" si="18"/>
        <v>0</v>
      </c>
      <c r="J589" s="520" t="b">
        <f t="shared" si="19"/>
        <v>0</v>
      </c>
      <c r="K589" s="541"/>
      <c r="L589" s="541">
        <f>'Expense Jrnl'!$G93</f>
        <v>0</v>
      </c>
      <c r="M589" s="523"/>
      <c r="N589" s="539"/>
    </row>
    <row r="590" spans="2:14" s="1" customFormat="1" ht="30" hidden="1" customHeight="1" x14ac:dyDescent="0.2">
      <c r="B590" s="517">
        <f>IF(AND('Expense Jrnl'!$G94&lt;&gt;"",'Expense Jrnl'!$C94&lt;&gt;""),1,0)</f>
        <v>0</v>
      </c>
      <c r="C590" s="517">
        <f>'Expense Jrnl'!$C94</f>
        <v>0</v>
      </c>
      <c r="D590" s="540">
        <f>'Expense Jrnl'!$D94</f>
        <v>0</v>
      </c>
      <c r="E590" s="1523">
        <f>'Expense Jrnl'!$F94</f>
        <v>0</v>
      </c>
      <c r="F590" s="1523"/>
      <c r="G590" s="519" t="str">
        <f>IF('Expense Jrnl'!$E94="","",'Expense Jrnl'!$E94)</f>
        <v/>
      </c>
      <c r="H590" s="518">
        <f>'Expense Jrnl'!H94</f>
        <v>0</v>
      </c>
      <c r="I590" s="518" t="str">
        <f t="shared" si="18"/>
        <v>0</v>
      </c>
      <c r="J590" s="520" t="b">
        <f t="shared" si="19"/>
        <v>0</v>
      </c>
      <c r="K590" s="541"/>
      <c r="L590" s="541">
        <f>'Expense Jrnl'!$G94</f>
        <v>0</v>
      </c>
      <c r="M590" s="523"/>
      <c r="N590" s="539"/>
    </row>
    <row r="591" spans="2:14" s="1" customFormat="1" ht="30" hidden="1" customHeight="1" x14ac:dyDescent="0.2">
      <c r="B591" s="517">
        <f>IF(AND('Expense Jrnl'!$G95&lt;&gt;"",'Expense Jrnl'!$C95&lt;&gt;""),1,0)</f>
        <v>0</v>
      </c>
      <c r="C591" s="517">
        <f>'Expense Jrnl'!$C95</f>
        <v>0</v>
      </c>
      <c r="D591" s="540">
        <f>'Expense Jrnl'!$D95</f>
        <v>0</v>
      </c>
      <c r="E591" s="1523">
        <f>'Expense Jrnl'!$F95</f>
        <v>0</v>
      </c>
      <c r="F591" s="1523"/>
      <c r="G591" s="519" t="str">
        <f>IF('Expense Jrnl'!$E95="","",'Expense Jrnl'!$E95)</f>
        <v/>
      </c>
      <c r="H591" s="518">
        <f>'Expense Jrnl'!H95</f>
        <v>0</v>
      </c>
      <c r="I591" s="518" t="str">
        <f t="shared" si="18"/>
        <v>0</v>
      </c>
      <c r="J591" s="520" t="b">
        <f t="shared" si="19"/>
        <v>0</v>
      </c>
      <c r="K591" s="541"/>
      <c r="L591" s="541">
        <f>'Expense Jrnl'!$G95</f>
        <v>0</v>
      </c>
      <c r="M591" s="523"/>
      <c r="N591" s="539"/>
    </row>
    <row r="592" spans="2:14" s="1" customFormat="1" ht="30" hidden="1" customHeight="1" x14ac:dyDescent="0.2">
      <c r="B592" s="517">
        <f>IF(AND('Expense Jrnl'!$G96&lt;&gt;"",'Expense Jrnl'!$C96&lt;&gt;""),1,0)</f>
        <v>0</v>
      </c>
      <c r="C592" s="517">
        <f>'Expense Jrnl'!$C96</f>
        <v>0</v>
      </c>
      <c r="D592" s="540">
        <f>'Expense Jrnl'!$D96</f>
        <v>0</v>
      </c>
      <c r="E592" s="1523">
        <f>'Expense Jrnl'!$F96</f>
        <v>0</v>
      </c>
      <c r="F592" s="1523"/>
      <c r="G592" s="519" t="str">
        <f>IF('Expense Jrnl'!$E96="","",'Expense Jrnl'!$E96)</f>
        <v/>
      </c>
      <c r="H592" s="518">
        <f>'Expense Jrnl'!H96</f>
        <v>0</v>
      </c>
      <c r="I592" s="518" t="str">
        <f t="shared" si="18"/>
        <v>0</v>
      </c>
      <c r="J592" s="520" t="b">
        <f t="shared" si="19"/>
        <v>0</v>
      </c>
      <c r="K592" s="541"/>
      <c r="L592" s="541">
        <f>'Expense Jrnl'!$G96</f>
        <v>0</v>
      </c>
      <c r="M592" s="523"/>
      <c r="N592" s="539"/>
    </row>
    <row r="593" spans="2:14" s="1" customFormat="1" ht="30" hidden="1" customHeight="1" x14ac:dyDescent="0.2">
      <c r="B593" s="517">
        <f>IF(AND('Expense Jrnl'!$G97&lt;&gt;"",'Expense Jrnl'!$C97&lt;&gt;""),1,0)</f>
        <v>0</v>
      </c>
      <c r="C593" s="517">
        <f>'Expense Jrnl'!$C97</f>
        <v>0</v>
      </c>
      <c r="D593" s="540">
        <f>'Expense Jrnl'!$D97</f>
        <v>0</v>
      </c>
      <c r="E593" s="1523">
        <f>'Expense Jrnl'!$F97</f>
        <v>0</v>
      </c>
      <c r="F593" s="1523"/>
      <c r="G593" s="519" t="str">
        <f>IF('Expense Jrnl'!$E97="","",'Expense Jrnl'!$E97)</f>
        <v/>
      </c>
      <c r="H593" s="518">
        <f>'Expense Jrnl'!H97</f>
        <v>0</v>
      </c>
      <c r="I593" s="518" t="str">
        <f t="shared" si="18"/>
        <v>0</v>
      </c>
      <c r="J593" s="520" t="b">
        <f t="shared" si="19"/>
        <v>0</v>
      </c>
      <c r="K593" s="541"/>
      <c r="L593" s="541">
        <f>'Expense Jrnl'!$G97</f>
        <v>0</v>
      </c>
      <c r="M593" s="523"/>
      <c r="N593" s="539"/>
    </row>
    <row r="594" spans="2:14" s="1" customFormat="1" ht="30" hidden="1" customHeight="1" x14ac:dyDescent="0.2">
      <c r="B594" s="517">
        <f>IF(AND('Expense Jrnl'!$G98&lt;&gt;"",'Expense Jrnl'!$C98&lt;&gt;""),1,0)</f>
        <v>0</v>
      </c>
      <c r="C594" s="517">
        <f>'Expense Jrnl'!$C98</f>
        <v>0</v>
      </c>
      <c r="D594" s="540">
        <f>'Expense Jrnl'!$D98</f>
        <v>0</v>
      </c>
      <c r="E594" s="1523">
        <f>'Expense Jrnl'!$F98</f>
        <v>0</v>
      </c>
      <c r="F594" s="1523"/>
      <c r="G594" s="519" t="str">
        <f>IF('Expense Jrnl'!$E98="","",'Expense Jrnl'!$E98)</f>
        <v/>
      </c>
      <c r="H594" s="518">
        <f>'Expense Jrnl'!H98</f>
        <v>0</v>
      </c>
      <c r="I594" s="518" t="str">
        <f t="shared" si="18"/>
        <v>0</v>
      </c>
      <c r="J594" s="520" t="b">
        <f t="shared" si="19"/>
        <v>0</v>
      </c>
      <c r="K594" s="541"/>
      <c r="L594" s="541">
        <f>'Expense Jrnl'!$G98</f>
        <v>0</v>
      </c>
      <c r="M594" s="523"/>
      <c r="N594" s="539"/>
    </row>
    <row r="595" spans="2:14" s="1" customFormat="1" ht="30" hidden="1" customHeight="1" x14ac:dyDescent="0.2">
      <c r="B595" s="517">
        <f>IF(AND('Expense Jrnl'!$G99&lt;&gt;"",'Expense Jrnl'!$C99&lt;&gt;""),1,0)</f>
        <v>0</v>
      </c>
      <c r="C595" s="517">
        <f>'Expense Jrnl'!$C99</f>
        <v>0</v>
      </c>
      <c r="D595" s="540">
        <f>'Expense Jrnl'!$D99</f>
        <v>0</v>
      </c>
      <c r="E595" s="1523">
        <f>'Expense Jrnl'!$F99</f>
        <v>0</v>
      </c>
      <c r="F595" s="1523"/>
      <c r="G595" s="519" t="str">
        <f>IF('Expense Jrnl'!$E99="","",'Expense Jrnl'!$E99)</f>
        <v/>
      </c>
      <c r="H595" s="518">
        <f>'Expense Jrnl'!H99</f>
        <v>0</v>
      </c>
      <c r="I595" s="518" t="str">
        <f t="shared" si="18"/>
        <v>0</v>
      </c>
      <c r="J595" s="520" t="b">
        <f t="shared" si="19"/>
        <v>0</v>
      </c>
      <c r="K595" s="541"/>
      <c r="L595" s="541">
        <f>'Expense Jrnl'!$G99</f>
        <v>0</v>
      </c>
      <c r="M595" s="523"/>
      <c r="N595" s="539"/>
    </row>
    <row r="596" spans="2:14" s="1" customFormat="1" ht="30" hidden="1" customHeight="1" x14ac:dyDescent="0.2">
      <c r="B596" s="517">
        <f>IF(AND('Expense Jrnl'!$G100&lt;&gt;"",'Expense Jrnl'!$C100&lt;&gt;""),1,0)</f>
        <v>0</v>
      </c>
      <c r="C596" s="517">
        <f>'Expense Jrnl'!$C100</f>
        <v>0</v>
      </c>
      <c r="D596" s="540">
        <f>'Expense Jrnl'!$D100</f>
        <v>0</v>
      </c>
      <c r="E596" s="1523">
        <f>'Expense Jrnl'!$F100</f>
        <v>0</v>
      </c>
      <c r="F596" s="1523"/>
      <c r="G596" s="519" t="str">
        <f>IF('Expense Jrnl'!$E100="","",'Expense Jrnl'!$E100)</f>
        <v/>
      </c>
      <c r="H596" s="518">
        <f>'Expense Jrnl'!H100</f>
        <v>0</v>
      </c>
      <c r="I596" s="518" t="str">
        <f t="shared" si="18"/>
        <v>0</v>
      </c>
      <c r="J596" s="520" t="b">
        <f t="shared" si="19"/>
        <v>0</v>
      </c>
      <c r="K596" s="541"/>
      <c r="L596" s="541">
        <f>'Expense Jrnl'!$G100</f>
        <v>0</v>
      </c>
      <c r="M596" s="523"/>
      <c r="N596" s="539"/>
    </row>
    <row r="597" spans="2:14" s="1" customFormat="1" ht="30" hidden="1" customHeight="1" x14ac:dyDescent="0.2">
      <c r="B597" s="517">
        <f>IF(AND('Expense Jrnl'!$G101&lt;&gt;"",'Expense Jrnl'!$C101&lt;&gt;""),1,0)</f>
        <v>0</v>
      </c>
      <c r="C597" s="517">
        <f>'Expense Jrnl'!$C101</f>
        <v>0</v>
      </c>
      <c r="D597" s="540">
        <f>'Expense Jrnl'!$D101</f>
        <v>0</v>
      </c>
      <c r="E597" s="1523">
        <f>'Expense Jrnl'!$F101</f>
        <v>0</v>
      </c>
      <c r="F597" s="1523"/>
      <c r="G597" s="519" t="str">
        <f>IF('Expense Jrnl'!$E101="","",'Expense Jrnl'!$E101)</f>
        <v/>
      </c>
      <c r="H597" s="518">
        <f>'Expense Jrnl'!H101</f>
        <v>0</v>
      </c>
      <c r="I597" s="518" t="str">
        <f t="shared" si="18"/>
        <v>0</v>
      </c>
      <c r="J597" s="520" t="b">
        <f t="shared" si="19"/>
        <v>0</v>
      </c>
      <c r="K597" s="541"/>
      <c r="L597" s="541">
        <f>'Expense Jrnl'!$G101</f>
        <v>0</v>
      </c>
      <c r="M597" s="523"/>
      <c r="N597" s="539"/>
    </row>
    <row r="598" spans="2:14" s="1" customFormat="1" ht="30" hidden="1" customHeight="1" x14ac:dyDescent="0.2">
      <c r="B598" s="517">
        <f>IF(AND('Expense Jrnl'!$G102&lt;&gt;"",'Expense Jrnl'!$C102&lt;&gt;""),1,0)</f>
        <v>0</v>
      </c>
      <c r="C598" s="517">
        <f>'Expense Jrnl'!$C102</f>
        <v>0</v>
      </c>
      <c r="D598" s="540">
        <f>'Expense Jrnl'!$D102</f>
        <v>0</v>
      </c>
      <c r="E598" s="1523">
        <f>'Expense Jrnl'!$F102</f>
        <v>0</v>
      </c>
      <c r="F598" s="1523"/>
      <c r="G598" s="519" t="str">
        <f>IF('Expense Jrnl'!$E102="","",'Expense Jrnl'!$E102)</f>
        <v/>
      </c>
      <c r="H598" s="518">
        <f>'Expense Jrnl'!H102</f>
        <v>0</v>
      </c>
      <c r="I598" s="518" t="str">
        <f t="shared" si="18"/>
        <v>0</v>
      </c>
      <c r="J598" s="520" t="b">
        <f t="shared" si="19"/>
        <v>0</v>
      </c>
      <c r="K598" s="541"/>
      <c r="L598" s="541">
        <f>'Expense Jrnl'!$G102</f>
        <v>0</v>
      </c>
      <c r="M598" s="523"/>
      <c r="N598" s="539"/>
    </row>
    <row r="599" spans="2:14" s="1" customFormat="1" ht="30" hidden="1" customHeight="1" x14ac:dyDescent="0.2">
      <c r="B599" s="517">
        <f>IF(AND('Expense Jrnl'!$G103&lt;&gt;"",'Expense Jrnl'!$C103&lt;&gt;""),1,0)</f>
        <v>0</v>
      </c>
      <c r="C599" s="517">
        <f>'Expense Jrnl'!$C103</f>
        <v>0</v>
      </c>
      <c r="D599" s="540">
        <f>'Expense Jrnl'!$D103</f>
        <v>0</v>
      </c>
      <c r="E599" s="1523">
        <f>'Expense Jrnl'!$F103</f>
        <v>0</v>
      </c>
      <c r="F599" s="1523"/>
      <c r="G599" s="519" t="str">
        <f>IF('Expense Jrnl'!$E103="","",'Expense Jrnl'!$E103)</f>
        <v/>
      </c>
      <c r="H599" s="518">
        <f>'Expense Jrnl'!H103</f>
        <v>0</v>
      </c>
      <c r="I599" s="518" t="str">
        <f t="shared" si="18"/>
        <v>0</v>
      </c>
      <c r="J599" s="520" t="b">
        <f t="shared" si="19"/>
        <v>0</v>
      </c>
      <c r="K599" s="541"/>
      <c r="L599" s="541">
        <f>'Expense Jrnl'!$G103</f>
        <v>0</v>
      </c>
      <c r="M599" s="523"/>
      <c r="N599" s="539"/>
    </row>
    <row r="600" spans="2:14" s="1" customFormat="1" ht="30" hidden="1" customHeight="1" x14ac:dyDescent="0.2">
      <c r="B600" s="517">
        <f>IF(AND('Expense Jrnl'!$G104&lt;&gt;"",'Expense Jrnl'!$C104&lt;&gt;""),1,0)</f>
        <v>0</v>
      </c>
      <c r="C600" s="517">
        <f>'Expense Jrnl'!$C104</f>
        <v>0</v>
      </c>
      <c r="D600" s="540">
        <f>'Expense Jrnl'!$D104</f>
        <v>0</v>
      </c>
      <c r="E600" s="1523">
        <f>'Expense Jrnl'!$F104</f>
        <v>0</v>
      </c>
      <c r="F600" s="1523"/>
      <c r="G600" s="519" t="str">
        <f>IF('Expense Jrnl'!$E104="","",'Expense Jrnl'!$E104)</f>
        <v/>
      </c>
      <c r="H600" s="518">
        <f>'Expense Jrnl'!H104</f>
        <v>0</v>
      </c>
      <c r="I600" s="518" t="str">
        <f t="shared" si="18"/>
        <v>0</v>
      </c>
      <c r="J600" s="520" t="b">
        <f t="shared" si="19"/>
        <v>0</v>
      </c>
      <c r="K600" s="541"/>
      <c r="L600" s="541">
        <f>'Expense Jrnl'!$G104</f>
        <v>0</v>
      </c>
      <c r="M600" s="523"/>
      <c r="N600" s="539"/>
    </row>
    <row r="601" spans="2:14" s="1" customFormat="1" ht="30" hidden="1" customHeight="1" x14ac:dyDescent="0.2">
      <c r="B601" s="517">
        <f>IF(AND('Expense Jrnl'!$G105&lt;&gt;"",'Expense Jrnl'!$C105&lt;&gt;""),1,0)</f>
        <v>0</v>
      </c>
      <c r="C601" s="517">
        <f>'Expense Jrnl'!$C105</f>
        <v>0</v>
      </c>
      <c r="D601" s="540">
        <f>'Expense Jrnl'!$D105</f>
        <v>0</v>
      </c>
      <c r="E601" s="1523">
        <f>'Expense Jrnl'!$F105</f>
        <v>0</v>
      </c>
      <c r="F601" s="1523"/>
      <c r="G601" s="519" t="str">
        <f>IF('Expense Jrnl'!$E105="","",'Expense Jrnl'!$E105)</f>
        <v/>
      </c>
      <c r="H601" s="518">
        <f>'Expense Jrnl'!H105</f>
        <v>0</v>
      </c>
      <c r="I601" s="518" t="str">
        <f t="shared" si="18"/>
        <v>0</v>
      </c>
      <c r="J601" s="520" t="b">
        <f t="shared" si="19"/>
        <v>0</v>
      </c>
      <c r="K601" s="541"/>
      <c r="L601" s="541">
        <f>'Expense Jrnl'!$G105</f>
        <v>0</v>
      </c>
      <c r="M601" s="523"/>
      <c r="N601" s="539"/>
    </row>
    <row r="602" spans="2:14" s="1" customFormat="1" ht="30" hidden="1" customHeight="1" x14ac:dyDescent="0.2">
      <c r="B602" s="517">
        <f>IF(AND('Expense Jrnl'!$G106&lt;&gt;"",'Expense Jrnl'!$C106&lt;&gt;""),1,0)</f>
        <v>0</v>
      </c>
      <c r="C602" s="517">
        <f>'Expense Jrnl'!$C106</f>
        <v>0</v>
      </c>
      <c r="D602" s="540">
        <f>'Expense Jrnl'!$D106</f>
        <v>0</v>
      </c>
      <c r="E602" s="1523">
        <f>'Expense Jrnl'!$F106</f>
        <v>0</v>
      </c>
      <c r="F602" s="1523"/>
      <c r="G602" s="519" t="str">
        <f>IF('Expense Jrnl'!$E106="","",'Expense Jrnl'!$E106)</f>
        <v/>
      </c>
      <c r="H602" s="518">
        <f>'Expense Jrnl'!H106</f>
        <v>0</v>
      </c>
      <c r="I602" s="518" t="str">
        <f t="shared" si="18"/>
        <v>0</v>
      </c>
      <c r="J602" s="520" t="b">
        <f t="shared" si="19"/>
        <v>0</v>
      </c>
      <c r="K602" s="541"/>
      <c r="L602" s="541">
        <f>'Expense Jrnl'!$G106</f>
        <v>0</v>
      </c>
      <c r="M602" s="523"/>
      <c r="N602" s="539"/>
    </row>
    <row r="603" spans="2:14" s="1" customFormat="1" ht="30" hidden="1" customHeight="1" x14ac:dyDescent="0.2">
      <c r="B603" s="517">
        <f>IF(AND('Expense Jrnl'!$G107&lt;&gt;"",'Expense Jrnl'!$C107&lt;&gt;""),1,0)</f>
        <v>0</v>
      </c>
      <c r="C603" s="517">
        <f>'Expense Jrnl'!$C107</f>
        <v>0</v>
      </c>
      <c r="D603" s="540">
        <f>'Expense Jrnl'!$D107</f>
        <v>0</v>
      </c>
      <c r="E603" s="1523">
        <f>'Expense Jrnl'!$F107</f>
        <v>0</v>
      </c>
      <c r="F603" s="1523"/>
      <c r="G603" s="519" t="str">
        <f>IF('Expense Jrnl'!$E107="","",'Expense Jrnl'!$E107)</f>
        <v/>
      </c>
      <c r="H603" s="518">
        <f>'Expense Jrnl'!H107</f>
        <v>0</v>
      </c>
      <c r="I603" s="518" t="str">
        <f t="shared" si="18"/>
        <v>0</v>
      </c>
      <c r="J603" s="520" t="b">
        <f t="shared" si="19"/>
        <v>0</v>
      </c>
      <c r="K603" s="541"/>
      <c r="L603" s="541">
        <f>'Expense Jrnl'!$G107</f>
        <v>0</v>
      </c>
      <c r="M603" s="523"/>
      <c r="N603" s="539"/>
    </row>
    <row r="604" spans="2:14" s="1" customFormat="1" ht="30" hidden="1" customHeight="1" x14ac:dyDescent="0.2">
      <c r="B604" s="517">
        <f>IF(AND('Expense Jrnl'!$G108&lt;&gt;"",'Expense Jrnl'!$C108&lt;&gt;""),1,0)</f>
        <v>0</v>
      </c>
      <c r="C604" s="517">
        <f>'Expense Jrnl'!$C108</f>
        <v>0</v>
      </c>
      <c r="D604" s="540">
        <f>'Expense Jrnl'!$D108</f>
        <v>0</v>
      </c>
      <c r="E604" s="1523">
        <f>'Expense Jrnl'!$F108</f>
        <v>0</v>
      </c>
      <c r="F604" s="1523"/>
      <c r="G604" s="519" t="str">
        <f>IF('Expense Jrnl'!$E108="","",'Expense Jrnl'!$E108)</f>
        <v/>
      </c>
      <c r="H604" s="518">
        <f>'Expense Jrnl'!H108</f>
        <v>0</v>
      </c>
      <c r="I604" s="518" t="str">
        <f t="shared" si="18"/>
        <v>0</v>
      </c>
      <c r="J604" s="520" t="b">
        <f t="shared" si="19"/>
        <v>0</v>
      </c>
      <c r="K604" s="541"/>
      <c r="L604" s="541">
        <f>'Expense Jrnl'!$G108</f>
        <v>0</v>
      </c>
      <c r="M604" s="523"/>
      <c r="N604" s="539"/>
    </row>
    <row r="605" spans="2:14" s="1" customFormat="1" ht="30" hidden="1" customHeight="1" x14ac:dyDescent="0.2">
      <c r="B605" s="517">
        <f>IF(AND('Expense Jrnl'!$G109&lt;&gt;"",'Expense Jrnl'!$C109&lt;&gt;""),1,0)</f>
        <v>0</v>
      </c>
      <c r="C605" s="517">
        <f>'Expense Jrnl'!$C109</f>
        <v>0</v>
      </c>
      <c r="D605" s="540">
        <f>'Expense Jrnl'!$D109</f>
        <v>0</v>
      </c>
      <c r="E605" s="1523">
        <f>'Expense Jrnl'!$F109</f>
        <v>0</v>
      </c>
      <c r="F605" s="1523"/>
      <c r="G605" s="519" t="str">
        <f>IF('Expense Jrnl'!$E109="","",'Expense Jrnl'!$E109)</f>
        <v/>
      </c>
      <c r="H605" s="518">
        <f>'Expense Jrnl'!H109</f>
        <v>0</v>
      </c>
      <c r="I605" s="518" t="str">
        <f t="shared" si="18"/>
        <v>0</v>
      </c>
      <c r="J605" s="520" t="b">
        <f t="shared" si="19"/>
        <v>0</v>
      </c>
      <c r="K605" s="541"/>
      <c r="L605" s="541">
        <f>'Expense Jrnl'!$G109</f>
        <v>0</v>
      </c>
      <c r="M605" s="523"/>
      <c r="N605" s="539"/>
    </row>
    <row r="606" spans="2:14" s="1" customFormat="1" ht="30" hidden="1" customHeight="1" x14ac:dyDescent="0.2">
      <c r="B606" s="517">
        <f>IF(AND('Expense Jrnl'!$G110&lt;&gt;"",'Expense Jrnl'!$C110&lt;&gt;""),1,0)</f>
        <v>0</v>
      </c>
      <c r="C606" s="517">
        <f>'Expense Jrnl'!$C110</f>
        <v>0</v>
      </c>
      <c r="D606" s="540">
        <f>'Expense Jrnl'!$D110</f>
        <v>0</v>
      </c>
      <c r="E606" s="1523">
        <f>'Expense Jrnl'!$F110</f>
        <v>0</v>
      </c>
      <c r="F606" s="1523"/>
      <c r="G606" s="519" t="str">
        <f>IF('Expense Jrnl'!$E110="","",'Expense Jrnl'!$E110)</f>
        <v/>
      </c>
      <c r="H606" s="518">
        <f>'Expense Jrnl'!H110</f>
        <v>0</v>
      </c>
      <c r="I606" s="518" t="str">
        <f t="shared" si="18"/>
        <v>0</v>
      </c>
      <c r="J606" s="520" t="b">
        <f t="shared" si="19"/>
        <v>0</v>
      </c>
      <c r="K606" s="541"/>
      <c r="L606" s="541">
        <f>'Expense Jrnl'!$G110</f>
        <v>0</v>
      </c>
      <c r="M606" s="523"/>
      <c r="N606" s="539"/>
    </row>
    <row r="607" spans="2:14" s="1" customFormat="1" ht="30" hidden="1" customHeight="1" x14ac:dyDescent="0.2">
      <c r="B607" s="517">
        <f>IF(AND('Expense Jrnl'!$G111&lt;&gt;"",'Expense Jrnl'!$C111&lt;&gt;""),1,0)</f>
        <v>0</v>
      </c>
      <c r="C607" s="517">
        <f>'Expense Jrnl'!$C111</f>
        <v>0</v>
      </c>
      <c r="D607" s="540">
        <f>'Expense Jrnl'!$D111</f>
        <v>0</v>
      </c>
      <c r="E607" s="1523">
        <f>'Expense Jrnl'!$F111</f>
        <v>0</v>
      </c>
      <c r="F607" s="1523"/>
      <c r="G607" s="519" t="str">
        <f>IF('Expense Jrnl'!$E111="","",'Expense Jrnl'!$E111)</f>
        <v/>
      </c>
      <c r="H607" s="518">
        <f>'Expense Jrnl'!H111</f>
        <v>0</v>
      </c>
      <c r="I607" s="518" t="str">
        <f t="shared" si="18"/>
        <v>0</v>
      </c>
      <c r="J607" s="520" t="b">
        <f t="shared" si="19"/>
        <v>0</v>
      </c>
      <c r="K607" s="541"/>
      <c r="L607" s="541">
        <f>'Expense Jrnl'!$G111</f>
        <v>0</v>
      </c>
      <c r="M607" s="523"/>
      <c r="N607" s="539"/>
    </row>
    <row r="608" spans="2:14" s="1" customFormat="1" ht="30" hidden="1" customHeight="1" x14ac:dyDescent="0.2">
      <c r="B608" s="517">
        <f>IF(AND('Expense Jrnl'!$G112&lt;&gt;"",'Expense Jrnl'!$C112&lt;&gt;""),1,0)</f>
        <v>0</v>
      </c>
      <c r="C608" s="517">
        <f>'Expense Jrnl'!$C112</f>
        <v>0</v>
      </c>
      <c r="D608" s="540">
        <f>'Expense Jrnl'!$D112</f>
        <v>0</v>
      </c>
      <c r="E608" s="1523">
        <f>'Expense Jrnl'!$F112</f>
        <v>0</v>
      </c>
      <c r="F608" s="1523"/>
      <c r="G608" s="519" t="str">
        <f>IF('Expense Jrnl'!$E112="","",'Expense Jrnl'!$E112)</f>
        <v/>
      </c>
      <c r="H608" s="518">
        <f>'Expense Jrnl'!H112</f>
        <v>0</v>
      </c>
      <c r="I608" s="518" t="str">
        <f t="shared" si="18"/>
        <v>0</v>
      </c>
      <c r="J608" s="520" t="b">
        <f t="shared" si="19"/>
        <v>0</v>
      </c>
      <c r="K608" s="541"/>
      <c r="L608" s="541">
        <f>'Expense Jrnl'!$G112</f>
        <v>0</v>
      </c>
      <c r="M608" s="523"/>
      <c r="N608" s="539"/>
    </row>
    <row r="609" spans="2:14" s="1" customFormat="1" ht="30" hidden="1" customHeight="1" x14ac:dyDescent="0.2">
      <c r="B609" s="517">
        <f>IF(AND('Expense Jrnl'!$G113&lt;&gt;"",'Expense Jrnl'!$C113&lt;&gt;""),1,0)</f>
        <v>0</v>
      </c>
      <c r="C609" s="517">
        <f>'Expense Jrnl'!$C113</f>
        <v>0</v>
      </c>
      <c r="D609" s="540">
        <f>'Expense Jrnl'!$D113</f>
        <v>0</v>
      </c>
      <c r="E609" s="1523">
        <f>'Expense Jrnl'!$F113</f>
        <v>0</v>
      </c>
      <c r="F609" s="1523"/>
      <c r="G609" s="519" t="str">
        <f>IF('Expense Jrnl'!$E113="","",'Expense Jrnl'!$E113)</f>
        <v/>
      </c>
      <c r="H609" s="518">
        <f>'Expense Jrnl'!H113</f>
        <v>0</v>
      </c>
      <c r="I609" s="518" t="str">
        <f t="shared" si="18"/>
        <v>0</v>
      </c>
      <c r="J609" s="520" t="b">
        <f t="shared" si="19"/>
        <v>0</v>
      </c>
      <c r="K609" s="541"/>
      <c r="L609" s="541">
        <f>'Expense Jrnl'!$G113</f>
        <v>0</v>
      </c>
      <c r="M609" s="523"/>
      <c r="N609" s="539"/>
    </row>
    <row r="610" spans="2:14" s="1" customFormat="1" ht="30" hidden="1" customHeight="1" x14ac:dyDescent="0.2">
      <c r="B610" s="517">
        <f>IF(AND('Expense Jrnl'!$G114&lt;&gt;"",'Expense Jrnl'!$C114&lt;&gt;""),1,0)</f>
        <v>0</v>
      </c>
      <c r="C610" s="517">
        <f>'Expense Jrnl'!$C114</f>
        <v>0</v>
      </c>
      <c r="D610" s="540">
        <f>'Expense Jrnl'!$D114</f>
        <v>0</v>
      </c>
      <c r="E610" s="1523">
        <f>'Expense Jrnl'!$F114</f>
        <v>0</v>
      </c>
      <c r="F610" s="1523"/>
      <c r="G610" s="519" t="str">
        <f>IF('Expense Jrnl'!$E114="","",'Expense Jrnl'!$E114)</f>
        <v/>
      </c>
      <c r="H610" s="518">
        <f>'Expense Jrnl'!H114</f>
        <v>0</v>
      </c>
      <c r="I610" s="518" t="str">
        <f t="shared" si="18"/>
        <v>0</v>
      </c>
      <c r="J610" s="520" t="b">
        <f t="shared" si="19"/>
        <v>0</v>
      </c>
      <c r="K610" s="541"/>
      <c r="L610" s="541">
        <f>'Expense Jrnl'!$G114</f>
        <v>0</v>
      </c>
      <c r="M610" s="523"/>
      <c r="N610" s="539"/>
    </row>
    <row r="611" spans="2:14" s="1" customFormat="1" ht="30" hidden="1" customHeight="1" x14ac:dyDescent="0.2">
      <c r="B611" s="517">
        <f>IF(AND('Expense Jrnl'!$G115&lt;&gt;"",'Expense Jrnl'!$C115&lt;&gt;""),1,0)</f>
        <v>0</v>
      </c>
      <c r="C611" s="517">
        <f>'Expense Jrnl'!$C115</f>
        <v>0</v>
      </c>
      <c r="D611" s="540">
        <f>'Expense Jrnl'!$D115</f>
        <v>0</v>
      </c>
      <c r="E611" s="1523">
        <f>'Expense Jrnl'!$F115</f>
        <v>0</v>
      </c>
      <c r="F611" s="1523"/>
      <c r="G611" s="519" t="str">
        <f>IF('Expense Jrnl'!$E115="","",'Expense Jrnl'!$E115)</f>
        <v/>
      </c>
      <c r="H611" s="518">
        <f>'Expense Jrnl'!H115</f>
        <v>0</v>
      </c>
      <c r="I611" s="518" t="str">
        <f t="shared" si="18"/>
        <v>0</v>
      </c>
      <c r="J611" s="520" t="b">
        <f t="shared" si="19"/>
        <v>0</v>
      </c>
      <c r="K611" s="541"/>
      <c r="L611" s="541">
        <f>'Expense Jrnl'!$G115</f>
        <v>0</v>
      </c>
      <c r="M611" s="523"/>
      <c r="N611" s="539"/>
    </row>
    <row r="612" spans="2:14" s="1" customFormat="1" ht="30" hidden="1" customHeight="1" x14ac:dyDescent="0.2">
      <c r="B612" s="517">
        <f>IF(AND('Expense Jrnl'!$G116&lt;&gt;"",'Expense Jrnl'!$C116&lt;&gt;""),1,0)</f>
        <v>0</v>
      </c>
      <c r="C612" s="517">
        <f>'Expense Jrnl'!$C116</f>
        <v>0</v>
      </c>
      <c r="D612" s="540">
        <f>'Expense Jrnl'!$D116</f>
        <v>0</v>
      </c>
      <c r="E612" s="1523">
        <f>'Expense Jrnl'!$F116</f>
        <v>0</v>
      </c>
      <c r="F612" s="1523"/>
      <c r="G612" s="519" t="str">
        <f>IF('Expense Jrnl'!$E116="","",'Expense Jrnl'!$E116)</f>
        <v/>
      </c>
      <c r="H612" s="518">
        <f>'Expense Jrnl'!H116</f>
        <v>0</v>
      </c>
      <c r="I612" s="518" t="str">
        <f t="shared" si="18"/>
        <v>0</v>
      </c>
      <c r="J612" s="520" t="b">
        <f t="shared" si="19"/>
        <v>0</v>
      </c>
      <c r="K612" s="541"/>
      <c r="L612" s="541">
        <f>'Expense Jrnl'!$G116</f>
        <v>0</v>
      </c>
      <c r="M612" s="523"/>
      <c r="N612" s="539"/>
    </row>
    <row r="613" spans="2:14" s="1" customFormat="1" ht="30" hidden="1" customHeight="1" x14ac:dyDescent="0.2">
      <c r="B613" s="517">
        <f>IF(AND('Expense Jrnl'!$G117&lt;&gt;"",'Expense Jrnl'!$C117&lt;&gt;""),1,0)</f>
        <v>0</v>
      </c>
      <c r="C613" s="517">
        <f>'Expense Jrnl'!$C117</f>
        <v>0</v>
      </c>
      <c r="D613" s="540">
        <f>'Expense Jrnl'!$D117</f>
        <v>0</v>
      </c>
      <c r="E613" s="1523">
        <f>'Expense Jrnl'!$F117</f>
        <v>0</v>
      </c>
      <c r="F613" s="1523"/>
      <c r="G613" s="519" t="str">
        <f>IF('Expense Jrnl'!$E117="","",'Expense Jrnl'!$E117)</f>
        <v/>
      </c>
      <c r="H613" s="518">
        <f>'Expense Jrnl'!H117</f>
        <v>0</v>
      </c>
      <c r="I613" s="518" t="str">
        <f t="shared" si="18"/>
        <v>0</v>
      </c>
      <c r="J613" s="520" t="b">
        <f t="shared" si="19"/>
        <v>0</v>
      </c>
      <c r="K613" s="541"/>
      <c r="L613" s="541">
        <f>'Expense Jrnl'!$G117</f>
        <v>0</v>
      </c>
      <c r="M613" s="523"/>
      <c r="N613" s="539"/>
    </row>
    <row r="614" spans="2:14" s="1" customFormat="1" ht="30" hidden="1" customHeight="1" x14ac:dyDescent="0.2">
      <c r="B614" s="517">
        <f>IF(AND('Expense Jrnl'!$G118&lt;&gt;"",'Expense Jrnl'!$C118&lt;&gt;""),1,0)</f>
        <v>0</v>
      </c>
      <c r="C614" s="517">
        <f>'Expense Jrnl'!$C118</f>
        <v>0</v>
      </c>
      <c r="D614" s="540">
        <f>'Expense Jrnl'!$D118</f>
        <v>0</v>
      </c>
      <c r="E614" s="1523">
        <f>'Expense Jrnl'!$F118</f>
        <v>0</v>
      </c>
      <c r="F614" s="1523"/>
      <c r="G614" s="519" t="str">
        <f>IF('Expense Jrnl'!$E118="","",'Expense Jrnl'!$E118)</f>
        <v/>
      </c>
      <c r="H614" s="518">
        <f>'Expense Jrnl'!H118</f>
        <v>0</v>
      </c>
      <c r="I614" s="518" t="str">
        <f t="shared" si="18"/>
        <v>0</v>
      </c>
      <c r="J614" s="520" t="b">
        <f t="shared" si="19"/>
        <v>0</v>
      </c>
      <c r="K614" s="541"/>
      <c r="L614" s="541">
        <f>'Expense Jrnl'!$G118</f>
        <v>0</v>
      </c>
      <c r="M614" s="523"/>
      <c r="N614" s="539"/>
    </row>
    <row r="615" spans="2:14" s="1" customFormat="1" ht="30" hidden="1" customHeight="1" x14ac:dyDescent="0.2">
      <c r="B615" s="517">
        <f>IF(AND('Expense Jrnl'!$G119&lt;&gt;"",'Expense Jrnl'!$C119&lt;&gt;""),1,0)</f>
        <v>0</v>
      </c>
      <c r="C615" s="517">
        <f>'Expense Jrnl'!$C119</f>
        <v>0</v>
      </c>
      <c r="D615" s="540">
        <f>'Expense Jrnl'!$D119</f>
        <v>0</v>
      </c>
      <c r="E615" s="1523">
        <f>'Expense Jrnl'!$F119</f>
        <v>0</v>
      </c>
      <c r="F615" s="1523"/>
      <c r="G615" s="519" t="str">
        <f>IF('Expense Jrnl'!$E119="","",'Expense Jrnl'!$E119)</f>
        <v/>
      </c>
      <c r="H615" s="518">
        <f>'Expense Jrnl'!H119</f>
        <v>0</v>
      </c>
      <c r="I615" s="518" t="str">
        <f t="shared" si="18"/>
        <v>0</v>
      </c>
      <c r="J615" s="520" t="b">
        <f t="shared" si="19"/>
        <v>0</v>
      </c>
      <c r="K615" s="541"/>
      <c r="L615" s="541">
        <f>'Expense Jrnl'!$G119</f>
        <v>0</v>
      </c>
      <c r="M615" s="523"/>
      <c r="N615" s="539"/>
    </row>
    <row r="616" spans="2:14" s="1" customFormat="1" ht="30" hidden="1" customHeight="1" x14ac:dyDescent="0.2">
      <c r="B616" s="517">
        <f>IF(AND('Expense Jrnl'!$G120&lt;&gt;"",'Expense Jrnl'!$C120&lt;&gt;""),1,0)</f>
        <v>0</v>
      </c>
      <c r="C616" s="517">
        <f>'Expense Jrnl'!$C120</f>
        <v>0</v>
      </c>
      <c r="D616" s="540">
        <f>'Expense Jrnl'!$D120</f>
        <v>0</v>
      </c>
      <c r="E616" s="1523">
        <f>'Expense Jrnl'!$F120</f>
        <v>0</v>
      </c>
      <c r="F616" s="1523"/>
      <c r="G616" s="519" t="str">
        <f>IF('Expense Jrnl'!$E120="","",'Expense Jrnl'!$E120)</f>
        <v/>
      </c>
      <c r="H616" s="518">
        <f>'Expense Jrnl'!H120</f>
        <v>0</v>
      </c>
      <c r="I616" s="518" t="str">
        <f t="shared" si="18"/>
        <v>0</v>
      </c>
      <c r="J616" s="520" t="b">
        <f t="shared" si="19"/>
        <v>0</v>
      </c>
      <c r="K616" s="541"/>
      <c r="L616" s="541">
        <f>'Expense Jrnl'!$G120</f>
        <v>0</v>
      </c>
      <c r="M616" s="523"/>
      <c r="N616" s="539"/>
    </row>
    <row r="617" spans="2:14" s="1" customFormat="1" ht="30" hidden="1" customHeight="1" x14ac:dyDescent="0.2">
      <c r="B617" s="517">
        <f>IF(AND('Expense Jrnl'!$G121&lt;&gt;"",'Expense Jrnl'!$C121&lt;&gt;""),1,0)</f>
        <v>0</v>
      </c>
      <c r="C617" s="517">
        <f>'Expense Jrnl'!$C121</f>
        <v>0</v>
      </c>
      <c r="D617" s="540">
        <f>'Expense Jrnl'!$D121</f>
        <v>0</v>
      </c>
      <c r="E617" s="1523">
        <f>'Expense Jrnl'!$F121</f>
        <v>0</v>
      </c>
      <c r="F617" s="1523"/>
      <c r="G617" s="519" t="str">
        <f>IF('Expense Jrnl'!$E121="","",'Expense Jrnl'!$E121)</f>
        <v/>
      </c>
      <c r="H617" s="518">
        <f>'Expense Jrnl'!H121</f>
        <v>0</v>
      </c>
      <c r="I617" s="518" t="str">
        <f t="shared" si="18"/>
        <v>0</v>
      </c>
      <c r="J617" s="520" t="b">
        <f t="shared" si="19"/>
        <v>0</v>
      </c>
      <c r="K617" s="541"/>
      <c r="L617" s="541">
        <f>'Expense Jrnl'!$G121</f>
        <v>0</v>
      </c>
      <c r="M617" s="523"/>
      <c r="N617" s="539"/>
    </row>
    <row r="618" spans="2:14" s="1" customFormat="1" ht="30" hidden="1" customHeight="1" x14ac:dyDescent="0.2">
      <c r="B618" s="517">
        <f>IF(AND('Expense Jrnl'!$G122&lt;&gt;"",'Expense Jrnl'!$C122&lt;&gt;""),1,0)</f>
        <v>0</v>
      </c>
      <c r="C618" s="517">
        <f>'Expense Jrnl'!$C122</f>
        <v>0</v>
      </c>
      <c r="D618" s="540">
        <f>'Expense Jrnl'!$D122</f>
        <v>0</v>
      </c>
      <c r="E618" s="1523">
        <f>'Expense Jrnl'!$F122</f>
        <v>0</v>
      </c>
      <c r="F618" s="1523"/>
      <c r="G618" s="519" t="str">
        <f>IF('Expense Jrnl'!$E122="","",'Expense Jrnl'!$E122)</f>
        <v/>
      </c>
      <c r="H618" s="518">
        <f>'Expense Jrnl'!H122</f>
        <v>0</v>
      </c>
      <c r="I618" s="518" t="str">
        <f t="shared" si="18"/>
        <v>0</v>
      </c>
      <c r="J618" s="520" t="b">
        <f t="shared" si="19"/>
        <v>0</v>
      </c>
      <c r="K618" s="541"/>
      <c r="L618" s="541">
        <f>'Expense Jrnl'!$G122</f>
        <v>0</v>
      </c>
      <c r="M618" s="523"/>
      <c r="N618" s="539"/>
    </row>
    <row r="619" spans="2:14" s="1" customFormat="1" ht="30" hidden="1" customHeight="1" x14ac:dyDescent="0.2">
      <c r="B619" s="517">
        <f>IF(AND('Expense Jrnl'!$G123&lt;&gt;"",'Expense Jrnl'!$C123&lt;&gt;""),1,0)</f>
        <v>0</v>
      </c>
      <c r="C619" s="517">
        <f>'Expense Jrnl'!$C123</f>
        <v>0</v>
      </c>
      <c r="D619" s="540">
        <f>'Expense Jrnl'!$D123</f>
        <v>0</v>
      </c>
      <c r="E619" s="1523">
        <f>'Expense Jrnl'!$F123</f>
        <v>0</v>
      </c>
      <c r="F619" s="1523"/>
      <c r="G619" s="519" t="str">
        <f>IF('Expense Jrnl'!$E123="","",'Expense Jrnl'!$E123)</f>
        <v/>
      </c>
      <c r="H619" s="518">
        <f>'Expense Jrnl'!H123</f>
        <v>0</v>
      </c>
      <c r="I619" s="518" t="str">
        <f t="shared" si="18"/>
        <v>0</v>
      </c>
      <c r="J619" s="520" t="b">
        <f t="shared" si="19"/>
        <v>0</v>
      </c>
      <c r="K619" s="541"/>
      <c r="L619" s="541">
        <f>'Expense Jrnl'!$G123</f>
        <v>0</v>
      </c>
      <c r="M619" s="523"/>
      <c r="N619" s="539"/>
    </row>
    <row r="620" spans="2:14" s="1" customFormat="1" ht="30" hidden="1" customHeight="1" x14ac:dyDescent="0.2">
      <c r="B620" s="517">
        <f>IF(AND('Expense Jrnl'!$G124&lt;&gt;"",'Expense Jrnl'!$C124&lt;&gt;""),1,0)</f>
        <v>0</v>
      </c>
      <c r="C620" s="517">
        <f>'Expense Jrnl'!$C124</f>
        <v>0</v>
      </c>
      <c r="D620" s="540">
        <f>'Expense Jrnl'!$D124</f>
        <v>0</v>
      </c>
      <c r="E620" s="1523">
        <f>'Expense Jrnl'!$F124</f>
        <v>0</v>
      </c>
      <c r="F620" s="1523"/>
      <c r="G620" s="519" t="str">
        <f>IF('Expense Jrnl'!$E124="","",'Expense Jrnl'!$E124)</f>
        <v/>
      </c>
      <c r="H620" s="518">
        <f>'Expense Jrnl'!H124</f>
        <v>0</v>
      </c>
      <c r="I620" s="518" t="str">
        <f t="shared" si="18"/>
        <v>0</v>
      </c>
      <c r="J620" s="520" t="b">
        <f t="shared" si="19"/>
        <v>0</v>
      </c>
      <c r="K620" s="541"/>
      <c r="L620" s="541">
        <f>'Expense Jrnl'!$G124</f>
        <v>0</v>
      </c>
      <c r="M620" s="523"/>
      <c r="N620" s="539"/>
    </row>
    <row r="621" spans="2:14" s="1" customFormat="1" ht="30" hidden="1" customHeight="1" x14ac:dyDescent="0.2">
      <c r="B621" s="517">
        <f>IF(AND('Expense Jrnl'!$G125&lt;&gt;"",'Expense Jrnl'!$C125&lt;&gt;""),1,0)</f>
        <v>0</v>
      </c>
      <c r="C621" s="517">
        <f>'Expense Jrnl'!$C125</f>
        <v>0</v>
      </c>
      <c r="D621" s="540">
        <f>'Expense Jrnl'!$D125</f>
        <v>0</v>
      </c>
      <c r="E621" s="1523">
        <f>'Expense Jrnl'!$F125</f>
        <v>0</v>
      </c>
      <c r="F621" s="1523"/>
      <c r="G621" s="519" t="str">
        <f>IF('Expense Jrnl'!$E125="","",'Expense Jrnl'!$E125)</f>
        <v/>
      </c>
      <c r="H621" s="518">
        <f>'Expense Jrnl'!H125</f>
        <v>0</v>
      </c>
      <c r="I621" s="518" t="str">
        <f t="shared" si="18"/>
        <v>0</v>
      </c>
      <c r="J621" s="520" t="b">
        <f t="shared" si="19"/>
        <v>0</v>
      </c>
      <c r="K621" s="541"/>
      <c r="L621" s="541">
        <f>'Expense Jrnl'!$G125</f>
        <v>0</v>
      </c>
      <c r="M621" s="523"/>
      <c r="N621" s="539"/>
    </row>
    <row r="622" spans="2:14" s="1" customFormat="1" ht="30" hidden="1" customHeight="1" x14ac:dyDescent="0.2">
      <c r="B622" s="517">
        <f>IF(AND('Expense Jrnl'!$G126&lt;&gt;"",'Expense Jrnl'!$C126&lt;&gt;""),1,0)</f>
        <v>0</v>
      </c>
      <c r="C622" s="517">
        <f>'Expense Jrnl'!$C126</f>
        <v>0</v>
      </c>
      <c r="D622" s="540">
        <f>'Expense Jrnl'!$D126</f>
        <v>0</v>
      </c>
      <c r="E622" s="1523">
        <f>'Expense Jrnl'!$F126</f>
        <v>0</v>
      </c>
      <c r="F622" s="1523"/>
      <c r="G622" s="519" t="str">
        <f>IF('Expense Jrnl'!$E126="","",'Expense Jrnl'!$E126)</f>
        <v/>
      </c>
      <c r="H622" s="518">
        <f>'Expense Jrnl'!H126</f>
        <v>0</v>
      </c>
      <c r="I622" s="518" t="str">
        <f t="shared" si="18"/>
        <v>0</v>
      </c>
      <c r="J622" s="520" t="b">
        <f t="shared" si="19"/>
        <v>0</v>
      </c>
      <c r="K622" s="541"/>
      <c r="L622" s="541">
        <f>'Expense Jrnl'!$G126</f>
        <v>0</v>
      </c>
      <c r="M622" s="523"/>
      <c r="N622" s="539"/>
    </row>
    <row r="623" spans="2:14" s="1" customFormat="1" ht="30" hidden="1" customHeight="1" x14ac:dyDescent="0.2">
      <c r="B623" s="517">
        <f>IF(AND('Expense Jrnl'!$G127&lt;&gt;"",'Expense Jrnl'!$C127&lt;&gt;""),1,0)</f>
        <v>0</v>
      </c>
      <c r="C623" s="517">
        <f>'Expense Jrnl'!$C127</f>
        <v>0</v>
      </c>
      <c r="D623" s="540">
        <f>'Expense Jrnl'!$D127</f>
        <v>0</v>
      </c>
      <c r="E623" s="1523">
        <f>'Expense Jrnl'!$F127</f>
        <v>0</v>
      </c>
      <c r="F623" s="1523"/>
      <c r="G623" s="519" t="str">
        <f>IF('Expense Jrnl'!$E127="","",'Expense Jrnl'!$E127)</f>
        <v/>
      </c>
      <c r="H623" s="518">
        <f>'Expense Jrnl'!H127</f>
        <v>0</v>
      </c>
      <c r="I623" s="518" t="str">
        <f t="shared" si="18"/>
        <v>0</v>
      </c>
      <c r="J623" s="520" t="b">
        <f t="shared" si="19"/>
        <v>0</v>
      </c>
      <c r="K623" s="541"/>
      <c r="L623" s="541">
        <f>'Expense Jrnl'!$G127</f>
        <v>0</v>
      </c>
      <c r="M623" s="523"/>
      <c r="N623" s="539"/>
    </row>
    <row r="624" spans="2:14" s="1" customFormat="1" ht="30" hidden="1" customHeight="1" x14ac:dyDescent="0.2">
      <c r="B624" s="517">
        <f>IF(AND('Expense Jrnl'!$G128&lt;&gt;"",'Expense Jrnl'!$C128&lt;&gt;""),1,0)</f>
        <v>0</v>
      </c>
      <c r="C624" s="517">
        <f>'Expense Jrnl'!$C128</f>
        <v>0</v>
      </c>
      <c r="D624" s="540">
        <f>'Expense Jrnl'!$D128</f>
        <v>0</v>
      </c>
      <c r="E624" s="1523">
        <f>'Expense Jrnl'!$F128</f>
        <v>0</v>
      </c>
      <c r="F624" s="1523"/>
      <c r="G624" s="519" t="str">
        <f>IF('Expense Jrnl'!$E128="","",'Expense Jrnl'!$E128)</f>
        <v/>
      </c>
      <c r="H624" s="518">
        <f>'Expense Jrnl'!H128</f>
        <v>0</v>
      </c>
      <c r="I624" s="518" t="str">
        <f t="shared" si="18"/>
        <v>0</v>
      </c>
      <c r="J624" s="520" t="b">
        <f t="shared" si="19"/>
        <v>0</v>
      </c>
      <c r="K624" s="541"/>
      <c r="L624" s="541">
        <f>'Expense Jrnl'!$G128</f>
        <v>0</v>
      </c>
      <c r="M624" s="523"/>
      <c r="N624" s="539"/>
    </row>
    <row r="625" spans="2:14" s="1" customFormat="1" ht="30" hidden="1" customHeight="1" x14ac:dyDescent="0.2">
      <c r="B625" s="517">
        <f>IF(AND('Expense Jrnl'!$G129&lt;&gt;"",'Expense Jrnl'!$C129&lt;&gt;""),1,0)</f>
        <v>0</v>
      </c>
      <c r="C625" s="517">
        <f>'Expense Jrnl'!$C129</f>
        <v>0</v>
      </c>
      <c r="D625" s="540">
        <f>'Expense Jrnl'!$D129</f>
        <v>0</v>
      </c>
      <c r="E625" s="1523">
        <f>'Expense Jrnl'!$F129</f>
        <v>0</v>
      </c>
      <c r="F625" s="1523"/>
      <c r="G625" s="519" t="str">
        <f>IF('Expense Jrnl'!$E129="","",'Expense Jrnl'!$E129)</f>
        <v/>
      </c>
      <c r="H625" s="518">
        <f>'Expense Jrnl'!H129</f>
        <v>0</v>
      </c>
      <c r="I625" s="518" t="str">
        <f t="shared" si="18"/>
        <v>0</v>
      </c>
      <c r="J625" s="520" t="b">
        <f t="shared" si="19"/>
        <v>0</v>
      </c>
      <c r="K625" s="541"/>
      <c r="L625" s="541">
        <f>'Expense Jrnl'!$G129</f>
        <v>0</v>
      </c>
      <c r="M625" s="523"/>
      <c r="N625" s="539"/>
    </row>
    <row r="626" spans="2:14" s="1" customFormat="1" ht="30" hidden="1" customHeight="1" x14ac:dyDescent="0.2">
      <c r="B626" s="517">
        <f>IF(AND('Expense Jrnl'!$G130&lt;&gt;"",'Expense Jrnl'!$C130&lt;&gt;""),1,0)</f>
        <v>0</v>
      </c>
      <c r="C626" s="517">
        <f>'Expense Jrnl'!$C130</f>
        <v>0</v>
      </c>
      <c r="D626" s="540">
        <f>'Expense Jrnl'!$D130</f>
        <v>0</v>
      </c>
      <c r="E626" s="1523">
        <f>'Expense Jrnl'!$F130</f>
        <v>0</v>
      </c>
      <c r="F626" s="1523"/>
      <c r="G626" s="519" t="str">
        <f>IF('Expense Jrnl'!$E130="","",'Expense Jrnl'!$E130)</f>
        <v/>
      </c>
      <c r="H626" s="518">
        <f>'Expense Jrnl'!H130</f>
        <v>0</v>
      </c>
      <c r="I626" s="518" t="str">
        <f t="shared" si="18"/>
        <v>0</v>
      </c>
      <c r="J626" s="520" t="b">
        <f t="shared" si="19"/>
        <v>0</v>
      </c>
      <c r="K626" s="541"/>
      <c r="L626" s="541">
        <f>'Expense Jrnl'!$G130</f>
        <v>0</v>
      </c>
      <c r="M626" s="523"/>
      <c r="N626" s="539"/>
    </row>
    <row r="627" spans="2:14" s="1" customFormat="1" ht="30" hidden="1" customHeight="1" x14ac:dyDescent="0.2">
      <c r="B627" s="517">
        <f>IF(AND('Expense Jrnl'!$G131&lt;&gt;"",'Expense Jrnl'!$C131&lt;&gt;""),1,0)</f>
        <v>0</v>
      </c>
      <c r="C627" s="517">
        <f>'Expense Jrnl'!$C131</f>
        <v>0</v>
      </c>
      <c r="D627" s="540">
        <f>'Expense Jrnl'!$D131</f>
        <v>0</v>
      </c>
      <c r="E627" s="1523">
        <f>'Expense Jrnl'!$F131</f>
        <v>0</v>
      </c>
      <c r="F627" s="1523"/>
      <c r="G627" s="519" t="str">
        <f>IF('Expense Jrnl'!$E131="","",'Expense Jrnl'!$E131)</f>
        <v/>
      </c>
      <c r="H627" s="518">
        <f>'Expense Jrnl'!H131</f>
        <v>0</v>
      </c>
      <c r="I627" s="518" t="str">
        <f t="shared" si="18"/>
        <v>0</v>
      </c>
      <c r="J627" s="520" t="b">
        <f t="shared" si="19"/>
        <v>0</v>
      </c>
      <c r="K627" s="541"/>
      <c r="L627" s="541">
        <f>'Expense Jrnl'!$G131</f>
        <v>0</v>
      </c>
      <c r="M627" s="523"/>
      <c r="N627" s="539"/>
    </row>
    <row r="628" spans="2:14" s="1" customFormat="1" ht="30" hidden="1" customHeight="1" x14ac:dyDescent="0.2">
      <c r="B628" s="517">
        <f>IF(AND('Expense Jrnl'!$G132&lt;&gt;"",'Expense Jrnl'!$C132&lt;&gt;""),1,0)</f>
        <v>0</v>
      </c>
      <c r="C628" s="517">
        <f>'Expense Jrnl'!$C132</f>
        <v>0</v>
      </c>
      <c r="D628" s="540">
        <f>'Expense Jrnl'!$D132</f>
        <v>0</v>
      </c>
      <c r="E628" s="1523">
        <f>'Expense Jrnl'!$F132</f>
        <v>0</v>
      </c>
      <c r="F628" s="1523"/>
      <c r="G628" s="519" t="str">
        <f>IF('Expense Jrnl'!$E132="","",'Expense Jrnl'!$E132)</f>
        <v/>
      </c>
      <c r="H628" s="518">
        <f>'Expense Jrnl'!H132</f>
        <v>0</v>
      </c>
      <c r="I628" s="518" t="str">
        <f t="shared" si="18"/>
        <v>0</v>
      </c>
      <c r="J628" s="520" t="b">
        <f t="shared" si="19"/>
        <v>0</v>
      </c>
      <c r="K628" s="541"/>
      <c r="L628" s="541">
        <f>'Expense Jrnl'!$G132</f>
        <v>0</v>
      </c>
      <c r="M628" s="523"/>
      <c r="N628" s="539"/>
    </row>
    <row r="629" spans="2:14" s="1" customFormat="1" ht="30" hidden="1" customHeight="1" x14ac:dyDescent="0.2">
      <c r="B629" s="517">
        <f>IF(AND('Expense Jrnl'!$G133&lt;&gt;"",'Expense Jrnl'!$C133&lt;&gt;""),1,0)</f>
        <v>0</v>
      </c>
      <c r="C629" s="517">
        <f>'Expense Jrnl'!$C133</f>
        <v>0</v>
      </c>
      <c r="D629" s="540">
        <f>'Expense Jrnl'!$D133</f>
        <v>0</v>
      </c>
      <c r="E629" s="1523">
        <f>'Expense Jrnl'!$F133</f>
        <v>0</v>
      </c>
      <c r="F629" s="1523"/>
      <c r="G629" s="519" t="str">
        <f>IF('Expense Jrnl'!$E133="","",'Expense Jrnl'!$E133)</f>
        <v/>
      </c>
      <c r="H629" s="518">
        <f>'Expense Jrnl'!H133</f>
        <v>0</v>
      </c>
      <c r="I629" s="518" t="str">
        <f t="shared" si="18"/>
        <v>0</v>
      </c>
      <c r="J629" s="520" t="b">
        <f t="shared" si="19"/>
        <v>0</v>
      </c>
      <c r="K629" s="541"/>
      <c r="L629" s="541">
        <f>'Expense Jrnl'!$G133</f>
        <v>0</v>
      </c>
      <c r="M629" s="523"/>
      <c r="N629" s="539"/>
    </row>
    <row r="630" spans="2:14" s="1" customFormat="1" ht="30" hidden="1" customHeight="1" x14ac:dyDescent="0.2">
      <c r="B630" s="517">
        <f>IF(AND('Expense Jrnl'!$G134&lt;&gt;"",'Expense Jrnl'!$C134&lt;&gt;""),1,0)</f>
        <v>0</v>
      </c>
      <c r="C630" s="517">
        <f>'Expense Jrnl'!$C134</f>
        <v>0</v>
      </c>
      <c r="D630" s="540">
        <f>'Expense Jrnl'!$D134</f>
        <v>0</v>
      </c>
      <c r="E630" s="1523">
        <f>'Expense Jrnl'!$F134</f>
        <v>0</v>
      </c>
      <c r="F630" s="1523"/>
      <c r="G630" s="519" t="str">
        <f>IF('Expense Jrnl'!$E134="","",'Expense Jrnl'!$E134)</f>
        <v/>
      </c>
      <c r="H630" s="518">
        <f>'Expense Jrnl'!H134</f>
        <v>0</v>
      </c>
      <c r="I630" s="518" t="str">
        <f t="shared" si="18"/>
        <v>0</v>
      </c>
      <c r="J630" s="520" t="b">
        <f t="shared" si="19"/>
        <v>0</v>
      </c>
      <c r="K630" s="541"/>
      <c r="L630" s="541">
        <f>'Expense Jrnl'!$G134</f>
        <v>0</v>
      </c>
      <c r="M630" s="523"/>
      <c r="N630" s="539"/>
    </row>
    <row r="631" spans="2:14" s="1" customFormat="1" ht="30" hidden="1" customHeight="1" x14ac:dyDescent="0.2">
      <c r="B631" s="517">
        <f>IF(AND('Expense Jrnl'!$G135&lt;&gt;"",'Expense Jrnl'!$C135&lt;&gt;""),1,0)</f>
        <v>0</v>
      </c>
      <c r="C631" s="517">
        <f>'Expense Jrnl'!$C135</f>
        <v>0</v>
      </c>
      <c r="D631" s="540">
        <f>'Expense Jrnl'!$D135</f>
        <v>0</v>
      </c>
      <c r="E631" s="1523">
        <f>'Expense Jrnl'!$F135</f>
        <v>0</v>
      </c>
      <c r="F631" s="1523"/>
      <c r="G631" s="519" t="str">
        <f>IF('Expense Jrnl'!$E135="","",'Expense Jrnl'!$E135)</f>
        <v/>
      </c>
      <c r="H631" s="518">
        <f>'Expense Jrnl'!H135</f>
        <v>0</v>
      </c>
      <c r="I631" s="518" t="str">
        <f t="shared" si="18"/>
        <v>0</v>
      </c>
      <c r="J631" s="520" t="b">
        <f t="shared" si="19"/>
        <v>0</v>
      </c>
      <c r="K631" s="541"/>
      <c r="L631" s="541">
        <f>'Expense Jrnl'!$G135</f>
        <v>0</v>
      </c>
      <c r="M631" s="523"/>
      <c r="N631" s="539"/>
    </row>
    <row r="632" spans="2:14" s="1" customFormat="1" ht="30" hidden="1" customHeight="1" x14ac:dyDescent="0.2">
      <c r="B632" s="517">
        <f>IF(AND('Expense Jrnl'!$G136&lt;&gt;"",'Expense Jrnl'!$C136&lt;&gt;""),1,0)</f>
        <v>0</v>
      </c>
      <c r="C632" s="517">
        <f>'Expense Jrnl'!$C136</f>
        <v>0</v>
      </c>
      <c r="D632" s="540">
        <f>'Expense Jrnl'!$D136</f>
        <v>0</v>
      </c>
      <c r="E632" s="1523">
        <f>'Expense Jrnl'!$F136</f>
        <v>0</v>
      </c>
      <c r="F632" s="1523"/>
      <c r="G632" s="519" t="str">
        <f>IF('Expense Jrnl'!$E136="","",'Expense Jrnl'!$E136)</f>
        <v/>
      </c>
      <c r="H632" s="518">
        <f>'Expense Jrnl'!H136</f>
        <v>0</v>
      </c>
      <c r="I632" s="518" t="str">
        <f t="shared" si="18"/>
        <v>0</v>
      </c>
      <c r="J632" s="520" t="b">
        <f t="shared" si="19"/>
        <v>0</v>
      </c>
      <c r="K632" s="541"/>
      <c r="L632" s="541">
        <f>'Expense Jrnl'!$G136</f>
        <v>0</v>
      </c>
      <c r="M632" s="523"/>
      <c r="N632" s="539"/>
    </row>
    <row r="633" spans="2:14" s="1" customFormat="1" ht="30" hidden="1" customHeight="1" x14ac:dyDescent="0.2">
      <c r="B633" s="517">
        <f>IF(AND('Expense Jrnl'!$G137&lt;&gt;"",'Expense Jrnl'!$C137&lt;&gt;""),1,0)</f>
        <v>0</v>
      </c>
      <c r="C633" s="517">
        <f>'Expense Jrnl'!$C137</f>
        <v>0</v>
      </c>
      <c r="D633" s="540">
        <f>'Expense Jrnl'!$D137</f>
        <v>0</v>
      </c>
      <c r="E633" s="1523">
        <f>'Expense Jrnl'!$F137</f>
        <v>0</v>
      </c>
      <c r="F633" s="1523"/>
      <c r="G633" s="519" t="str">
        <f>IF('Expense Jrnl'!$E137="","",'Expense Jrnl'!$E137)</f>
        <v/>
      </c>
      <c r="H633" s="518">
        <f>'Expense Jrnl'!H137</f>
        <v>0</v>
      </c>
      <c r="I633" s="518" t="str">
        <f t="shared" si="18"/>
        <v>0</v>
      </c>
      <c r="J633" s="520" t="b">
        <f t="shared" si="19"/>
        <v>0</v>
      </c>
      <c r="K633" s="541"/>
      <c r="L633" s="541">
        <f>'Expense Jrnl'!$G137</f>
        <v>0</v>
      </c>
      <c r="M633" s="523"/>
      <c r="N633" s="539"/>
    </row>
    <row r="634" spans="2:14" s="1" customFormat="1" ht="30" hidden="1" customHeight="1" x14ac:dyDescent="0.2">
      <c r="B634" s="517">
        <f>IF(AND('Expense Jrnl'!$G138&lt;&gt;"",'Expense Jrnl'!$C138&lt;&gt;""),1,0)</f>
        <v>0</v>
      </c>
      <c r="C634" s="517">
        <f>'Expense Jrnl'!$C138</f>
        <v>0</v>
      </c>
      <c r="D634" s="540">
        <f>'Expense Jrnl'!$D138</f>
        <v>0</v>
      </c>
      <c r="E634" s="1523">
        <f>'Expense Jrnl'!$F138</f>
        <v>0</v>
      </c>
      <c r="F634" s="1523"/>
      <c r="G634" s="519" t="str">
        <f>IF('Expense Jrnl'!$E138="","",'Expense Jrnl'!$E138)</f>
        <v/>
      </c>
      <c r="H634" s="518">
        <f>'Expense Jrnl'!H138</f>
        <v>0</v>
      </c>
      <c r="I634" s="518" t="str">
        <f t="shared" si="18"/>
        <v>0</v>
      </c>
      <c r="J634" s="520" t="b">
        <f t="shared" si="19"/>
        <v>0</v>
      </c>
      <c r="K634" s="541"/>
      <c r="L634" s="541">
        <f>'Expense Jrnl'!$G138</f>
        <v>0</v>
      </c>
      <c r="M634" s="523"/>
      <c r="N634" s="539"/>
    </row>
    <row r="635" spans="2:14" s="1" customFormat="1" ht="30" hidden="1" customHeight="1" x14ac:dyDescent="0.2">
      <c r="B635" s="517">
        <f>IF(AND('Expense Jrnl'!$G139&lt;&gt;"",'Expense Jrnl'!$C139&lt;&gt;""),1,0)</f>
        <v>0</v>
      </c>
      <c r="C635" s="517">
        <f>'Expense Jrnl'!$C139</f>
        <v>0</v>
      </c>
      <c r="D635" s="540">
        <f>'Expense Jrnl'!$D139</f>
        <v>0</v>
      </c>
      <c r="E635" s="1523">
        <f>'Expense Jrnl'!$F139</f>
        <v>0</v>
      </c>
      <c r="F635" s="1523"/>
      <c r="G635" s="519" t="str">
        <f>IF('Expense Jrnl'!$E139="","",'Expense Jrnl'!$E139)</f>
        <v/>
      </c>
      <c r="H635" s="518">
        <f>'Expense Jrnl'!H139</f>
        <v>0</v>
      </c>
      <c r="I635" s="518" t="str">
        <f t="shared" si="18"/>
        <v>0</v>
      </c>
      <c r="J635" s="520" t="b">
        <f t="shared" si="19"/>
        <v>0</v>
      </c>
      <c r="K635" s="541"/>
      <c r="L635" s="541">
        <f>'Expense Jrnl'!$G139</f>
        <v>0</v>
      </c>
      <c r="M635" s="523"/>
      <c r="N635" s="539"/>
    </row>
    <row r="636" spans="2:14" s="1" customFormat="1" ht="30" hidden="1" customHeight="1" x14ac:dyDescent="0.2">
      <c r="B636" s="517">
        <f>IF(AND('Expense Jrnl'!$G140&lt;&gt;"",'Expense Jrnl'!$C140&lt;&gt;""),1,0)</f>
        <v>0</v>
      </c>
      <c r="C636" s="517">
        <f>'Expense Jrnl'!$C140</f>
        <v>0</v>
      </c>
      <c r="D636" s="540">
        <f>'Expense Jrnl'!$D140</f>
        <v>0</v>
      </c>
      <c r="E636" s="1523">
        <f>'Expense Jrnl'!$F140</f>
        <v>0</v>
      </c>
      <c r="F636" s="1523"/>
      <c r="G636" s="519" t="str">
        <f>IF('Expense Jrnl'!$E140="","",'Expense Jrnl'!$E140)</f>
        <v/>
      </c>
      <c r="H636" s="518">
        <f>'Expense Jrnl'!H140</f>
        <v>0</v>
      </c>
      <c r="I636" s="518" t="str">
        <f t="shared" si="18"/>
        <v>0</v>
      </c>
      <c r="J636" s="520" t="b">
        <f t="shared" si="19"/>
        <v>0</v>
      </c>
      <c r="K636" s="541"/>
      <c r="L636" s="541">
        <f>'Expense Jrnl'!$G140</f>
        <v>0</v>
      </c>
      <c r="M636" s="523"/>
      <c r="N636" s="539"/>
    </row>
    <row r="637" spans="2:14" s="1" customFormat="1" ht="30" hidden="1" customHeight="1" x14ac:dyDescent="0.2">
      <c r="B637" s="517">
        <f>IF(AND('Expense Jrnl'!$G141&lt;&gt;"",'Expense Jrnl'!$C141&lt;&gt;""),1,0)</f>
        <v>0</v>
      </c>
      <c r="C637" s="517">
        <f>'Expense Jrnl'!$C141</f>
        <v>0</v>
      </c>
      <c r="D637" s="540">
        <f>'Expense Jrnl'!$D141</f>
        <v>0</v>
      </c>
      <c r="E637" s="1523">
        <f>'Expense Jrnl'!$F141</f>
        <v>0</v>
      </c>
      <c r="F637" s="1523"/>
      <c r="G637" s="519" t="str">
        <f>IF('Expense Jrnl'!$E141="","",'Expense Jrnl'!$E141)</f>
        <v/>
      </c>
      <c r="H637" s="518">
        <f>'Expense Jrnl'!H141</f>
        <v>0</v>
      </c>
      <c r="I637" s="518" t="str">
        <f t="shared" si="18"/>
        <v>0</v>
      </c>
      <c r="J637" s="520" t="b">
        <f t="shared" si="19"/>
        <v>0</v>
      </c>
      <c r="K637" s="541"/>
      <c r="L637" s="541">
        <f>'Expense Jrnl'!$G141</f>
        <v>0</v>
      </c>
      <c r="M637" s="523"/>
      <c r="N637" s="539"/>
    </row>
    <row r="638" spans="2:14" s="1" customFormat="1" ht="30" hidden="1" customHeight="1" x14ac:dyDescent="0.2">
      <c r="B638" s="517">
        <f>IF(AND('Expense Jrnl'!$G142&lt;&gt;"",'Expense Jrnl'!$C142&lt;&gt;""),1,0)</f>
        <v>0</v>
      </c>
      <c r="C638" s="517">
        <f>'Expense Jrnl'!$C142</f>
        <v>0</v>
      </c>
      <c r="D638" s="540">
        <f>'Expense Jrnl'!$D142</f>
        <v>0</v>
      </c>
      <c r="E638" s="1523">
        <f>'Expense Jrnl'!$F142</f>
        <v>0</v>
      </c>
      <c r="F638" s="1523"/>
      <c r="G638" s="519" t="str">
        <f>IF('Expense Jrnl'!$E142="","",'Expense Jrnl'!$E142)</f>
        <v/>
      </c>
      <c r="H638" s="518">
        <f>'Expense Jrnl'!H142</f>
        <v>0</v>
      </c>
      <c r="I638" s="518" t="str">
        <f t="shared" si="18"/>
        <v>0</v>
      </c>
      <c r="J638" s="520" t="b">
        <f t="shared" si="19"/>
        <v>0</v>
      </c>
      <c r="K638" s="541"/>
      <c r="L638" s="541">
        <f>'Expense Jrnl'!$G142</f>
        <v>0</v>
      </c>
      <c r="M638" s="523"/>
      <c r="N638" s="539"/>
    </row>
    <row r="639" spans="2:14" s="1" customFormat="1" ht="30" hidden="1" customHeight="1" x14ac:dyDescent="0.2">
      <c r="B639" s="517">
        <f>IF(AND('Expense Jrnl'!$G143&lt;&gt;"",'Expense Jrnl'!$C143&lt;&gt;""),1,0)</f>
        <v>0</v>
      </c>
      <c r="C639" s="517">
        <f>'Expense Jrnl'!$C143</f>
        <v>0</v>
      </c>
      <c r="D639" s="540">
        <f>'Expense Jrnl'!$D143</f>
        <v>0</v>
      </c>
      <c r="E639" s="1523">
        <f>'Expense Jrnl'!$F143</f>
        <v>0</v>
      </c>
      <c r="F639" s="1523"/>
      <c r="G639" s="519" t="str">
        <f>IF('Expense Jrnl'!$E143="","",'Expense Jrnl'!$E143)</f>
        <v/>
      </c>
      <c r="H639" s="518">
        <f>'Expense Jrnl'!H143</f>
        <v>0</v>
      </c>
      <c r="I639" s="518" t="str">
        <f t="shared" si="18"/>
        <v>0</v>
      </c>
      <c r="J639" s="520" t="b">
        <f t="shared" si="19"/>
        <v>0</v>
      </c>
      <c r="K639" s="541"/>
      <c r="L639" s="541">
        <f>'Expense Jrnl'!$G143</f>
        <v>0</v>
      </c>
      <c r="M639" s="523"/>
      <c r="N639" s="539"/>
    </row>
    <row r="640" spans="2:14" s="1" customFormat="1" ht="30" hidden="1" customHeight="1" x14ac:dyDescent="0.2">
      <c r="B640" s="517">
        <f>IF(AND('Expense Jrnl'!$G144&lt;&gt;"",'Expense Jrnl'!$C144&lt;&gt;""),1,0)</f>
        <v>0</v>
      </c>
      <c r="C640" s="517">
        <f>'Expense Jrnl'!$C144</f>
        <v>0</v>
      </c>
      <c r="D640" s="540">
        <f>'Expense Jrnl'!$D144</f>
        <v>0</v>
      </c>
      <c r="E640" s="1523">
        <f>'Expense Jrnl'!$F144</f>
        <v>0</v>
      </c>
      <c r="F640" s="1523"/>
      <c r="G640" s="519" t="str">
        <f>IF('Expense Jrnl'!$E144="","",'Expense Jrnl'!$E144)</f>
        <v/>
      </c>
      <c r="H640" s="518">
        <f>'Expense Jrnl'!H144</f>
        <v>0</v>
      </c>
      <c r="I640" s="518" t="str">
        <f t="shared" ref="I640:I703" si="20">LEFT(H640,4)</f>
        <v>0</v>
      </c>
      <c r="J640" s="520" t="b">
        <f t="shared" ref="J640:J703" si="21">IF(I640="1020",IF(G640&gt;=$E$3,IF(G640&lt;=$G$3,L640,0)))</f>
        <v>0</v>
      </c>
      <c r="K640" s="541"/>
      <c r="L640" s="541">
        <f>'Expense Jrnl'!$G144</f>
        <v>0</v>
      </c>
      <c r="M640" s="523"/>
      <c r="N640" s="539"/>
    </row>
    <row r="641" spans="2:14" s="1" customFormat="1" ht="30" hidden="1" customHeight="1" x14ac:dyDescent="0.2">
      <c r="B641" s="517">
        <f>IF(AND('Expense Jrnl'!$G145&lt;&gt;"",'Expense Jrnl'!$C145&lt;&gt;""),1,0)</f>
        <v>0</v>
      </c>
      <c r="C641" s="517">
        <f>'Expense Jrnl'!$C145</f>
        <v>0</v>
      </c>
      <c r="D641" s="540">
        <f>'Expense Jrnl'!$D145</f>
        <v>0</v>
      </c>
      <c r="E641" s="1523">
        <f>'Expense Jrnl'!$F145</f>
        <v>0</v>
      </c>
      <c r="F641" s="1523"/>
      <c r="G641" s="519" t="str">
        <f>IF('Expense Jrnl'!$E145="","",'Expense Jrnl'!$E145)</f>
        <v/>
      </c>
      <c r="H641" s="518">
        <f>'Expense Jrnl'!H145</f>
        <v>0</v>
      </c>
      <c r="I641" s="518" t="str">
        <f t="shared" si="20"/>
        <v>0</v>
      </c>
      <c r="J641" s="520" t="b">
        <f t="shared" si="21"/>
        <v>0</v>
      </c>
      <c r="K641" s="541"/>
      <c r="L641" s="541">
        <f>'Expense Jrnl'!$G145</f>
        <v>0</v>
      </c>
      <c r="M641" s="523"/>
      <c r="N641" s="539"/>
    </row>
    <row r="642" spans="2:14" s="1" customFormat="1" ht="30" hidden="1" customHeight="1" x14ac:dyDescent="0.2">
      <c r="B642" s="517">
        <f>IF(AND('Expense Jrnl'!$G146&lt;&gt;"",'Expense Jrnl'!$C146&lt;&gt;""),1,0)</f>
        <v>0</v>
      </c>
      <c r="C642" s="517">
        <f>'Expense Jrnl'!$C146</f>
        <v>0</v>
      </c>
      <c r="D642" s="540">
        <f>'Expense Jrnl'!$D146</f>
        <v>0</v>
      </c>
      <c r="E642" s="1523">
        <f>'Expense Jrnl'!$F146</f>
        <v>0</v>
      </c>
      <c r="F642" s="1523"/>
      <c r="G642" s="519" t="str">
        <f>IF('Expense Jrnl'!$E146="","",'Expense Jrnl'!$E146)</f>
        <v/>
      </c>
      <c r="H642" s="518">
        <f>'Expense Jrnl'!H146</f>
        <v>0</v>
      </c>
      <c r="I642" s="518" t="str">
        <f t="shared" si="20"/>
        <v>0</v>
      </c>
      <c r="J642" s="520" t="b">
        <f t="shared" si="21"/>
        <v>0</v>
      </c>
      <c r="K642" s="541"/>
      <c r="L642" s="541">
        <f>'Expense Jrnl'!$G146</f>
        <v>0</v>
      </c>
      <c r="M642" s="523"/>
      <c r="N642" s="539"/>
    </row>
    <row r="643" spans="2:14" s="1" customFormat="1" ht="30" hidden="1" customHeight="1" x14ac:dyDescent="0.2">
      <c r="B643" s="517">
        <f>IF(AND('Expense Jrnl'!$G147&lt;&gt;"",'Expense Jrnl'!$C147&lt;&gt;""),1,0)</f>
        <v>0</v>
      </c>
      <c r="C643" s="517">
        <f>'Expense Jrnl'!$C147</f>
        <v>0</v>
      </c>
      <c r="D643" s="540">
        <f>'Expense Jrnl'!$D147</f>
        <v>0</v>
      </c>
      <c r="E643" s="1523">
        <f>'Expense Jrnl'!$F147</f>
        <v>0</v>
      </c>
      <c r="F643" s="1523"/>
      <c r="G643" s="519" t="str">
        <f>IF('Expense Jrnl'!$E147="","",'Expense Jrnl'!$E147)</f>
        <v/>
      </c>
      <c r="H643" s="518">
        <f>'Expense Jrnl'!H147</f>
        <v>0</v>
      </c>
      <c r="I643" s="518" t="str">
        <f t="shared" si="20"/>
        <v>0</v>
      </c>
      <c r="J643" s="520" t="b">
        <f t="shared" si="21"/>
        <v>0</v>
      </c>
      <c r="K643" s="541"/>
      <c r="L643" s="541">
        <f>'Expense Jrnl'!$G147</f>
        <v>0</v>
      </c>
      <c r="M643" s="523"/>
      <c r="N643" s="539"/>
    </row>
    <row r="644" spans="2:14" s="1" customFormat="1" ht="30" hidden="1" customHeight="1" x14ac:dyDescent="0.2">
      <c r="B644" s="517">
        <f>IF(AND('Expense Jrnl'!$G148&lt;&gt;"",'Expense Jrnl'!$C148&lt;&gt;""),1,0)</f>
        <v>0</v>
      </c>
      <c r="C644" s="517">
        <f>'Expense Jrnl'!$C148</f>
        <v>0</v>
      </c>
      <c r="D644" s="540">
        <f>'Expense Jrnl'!$D148</f>
        <v>0</v>
      </c>
      <c r="E644" s="1523">
        <f>'Expense Jrnl'!$F148</f>
        <v>0</v>
      </c>
      <c r="F644" s="1523"/>
      <c r="G644" s="519" t="str">
        <f>IF('Expense Jrnl'!$E148="","",'Expense Jrnl'!$E148)</f>
        <v/>
      </c>
      <c r="H644" s="518">
        <f>'Expense Jrnl'!H148</f>
        <v>0</v>
      </c>
      <c r="I644" s="518" t="str">
        <f t="shared" si="20"/>
        <v>0</v>
      </c>
      <c r="J644" s="520" t="b">
        <f t="shared" si="21"/>
        <v>0</v>
      </c>
      <c r="K644" s="541"/>
      <c r="L644" s="541">
        <f>'Expense Jrnl'!$G148</f>
        <v>0</v>
      </c>
      <c r="M644" s="523"/>
      <c r="N644" s="539"/>
    </row>
    <row r="645" spans="2:14" s="1" customFormat="1" ht="30" hidden="1" customHeight="1" x14ac:dyDescent="0.2">
      <c r="B645" s="517">
        <f>IF(AND('Expense Jrnl'!$G149&lt;&gt;"",'Expense Jrnl'!$C149&lt;&gt;""),1,0)</f>
        <v>0</v>
      </c>
      <c r="C645" s="517">
        <f>'Expense Jrnl'!$C149</f>
        <v>0</v>
      </c>
      <c r="D645" s="540">
        <f>'Expense Jrnl'!$D149</f>
        <v>0</v>
      </c>
      <c r="E645" s="1523">
        <f>'Expense Jrnl'!$F149</f>
        <v>0</v>
      </c>
      <c r="F645" s="1523"/>
      <c r="G645" s="519" t="str">
        <f>IF('Expense Jrnl'!$E149="","",'Expense Jrnl'!$E149)</f>
        <v/>
      </c>
      <c r="H645" s="518">
        <f>'Expense Jrnl'!H149</f>
        <v>0</v>
      </c>
      <c r="I645" s="518" t="str">
        <f t="shared" si="20"/>
        <v>0</v>
      </c>
      <c r="J645" s="520" t="b">
        <f t="shared" si="21"/>
        <v>0</v>
      </c>
      <c r="K645" s="541"/>
      <c r="L645" s="541">
        <f>'Expense Jrnl'!$G149</f>
        <v>0</v>
      </c>
      <c r="M645" s="523"/>
      <c r="N645" s="539"/>
    </row>
    <row r="646" spans="2:14" s="1" customFormat="1" ht="30" hidden="1" customHeight="1" x14ac:dyDescent="0.2">
      <c r="B646" s="517">
        <f>IF(AND('Expense Jrnl'!$G150&lt;&gt;"",'Expense Jrnl'!$C150&lt;&gt;""),1,0)</f>
        <v>0</v>
      </c>
      <c r="C646" s="517">
        <f>'Expense Jrnl'!$C150</f>
        <v>0</v>
      </c>
      <c r="D646" s="540">
        <f>'Expense Jrnl'!$D150</f>
        <v>0</v>
      </c>
      <c r="E646" s="1523">
        <f>'Expense Jrnl'!$F150</f>
        <v>0</v>
      </c>
      <c r="F646" s="1523"/>
      <c r="G646" s="519" t="str">
        <f>IF('Expense Jrnl'!$E150="","",'Expense Jrnl'!$E150)</f>
        <v/>
      </c>
      <c r="H646" s="518">
        <f>'Expense Jrnl'!H150</f>
        <v>0</v>
      </c>
      <c r="I646" s="518" t="str">
        <f t="shared" si="20"/>
        <v>0</v>
      </c>
      <c r="J646" s="520" t="b">
        <f t="shared" si="21"/>
        <v>0</v>
      </c>
      <c r="K646" s="541"/>
      <c r="L646" s="541">
        <f>'Expense Jrnl'!$G150</f>
        <v>0</v>
      </c>
      <c r="M646" s="523"/>
      <c r="N646" s="539"/>
    </row>
    <row r="647" spans="2:14" s="1" customFormat="1" ht="30" hidden="1" customHeight="1" x14ac:dyDescent="0.2">
      <c r="B647" s="517">
        <f>IF(AND('Expense Jrnl'!$G151&lt;&gt;"",'Expense Jrnl'!$C151&lt;&gt;""),1,0)</f>
        <v>0</v>
      </c>
      <c r="C647" s="517">
        <f>'Expense Jrnl'!$C151</f>
        <v>0</v>
      </c>
      <c r="D647" s="540">
        <f>'Expense Jrnl'!$D151</f>
        <v>0</v>
      </c>
      <c r="E647" s="1523">
        <f>'Expense Jrnl'!$F151</f>
        <v>0</v>
      </c>
      <c r="F647" s="1523"/>
      <c r="G647" s="519" t="str">
        <f>IF('Expense Jrnl'!$E151="","",'Expense Jrnl'!$E151)</f>
        <v/>
      </c>
      <c r="H647" s="518">
        <f>'Expense Jrnl'!H151</f>
        <v>0</v>
      </c>
      <c r="I647" s="518" t="str">
        <f t="shared" si="20"/>
        <v>0</v>
      </c>
      <c r="J647" s="520" t="b">
        <f t="shared" si="21"/>
        <v>0</v>
      </c>
      <c r="K647" s="541"/>
      <c r="L647" s="541">
        <f>'Expense Jrnl'!$G151</f>
        <v>0</v>
      </c>
      <c r="M647" s="523"/>
      <c r="N647" s="539"/>
    </row>
    <row r="648" spans="2:14" s="1" customFormat="1" ht="30" hidden="1" customHeight="1" x14ac:dyDescent="0.2">
      <c r="B648" s="517">
        <f>IF(AND('Expense Jrnl'!$G152&lt;&gt;"",'Expense Jrnl'!$C152&lt;&gt;""),1,0)</f>
        <v>0</v>
      </c>
      <c r="C648" s="517">
        <f>'Expense Jrnl'!$C152</f>
        <v>0</v>
      </c>
      <c r="D648" s="540">
        <f>'Expense Jrnl'!$D152</f>
        <v>0</v>
      </c>
      <c r="E648" s="1523">
        <f>'Expense Jrnl'!$F152</f>
        <v>0</v>
      </c>
      <c r="F648" s="1523"/>
      <c r="G648" s="519" t="str">
        <f>IF('Expense Jrnl'!$E152="","",'Expense Jrnl'!$E152)</f>
        <v/>
      </c>
      <c r="H648" s="518">
        <f>'Expense Jrnl'!H152</f>
        <v>0</v>
      </c>
      <c r="I648" s="518" t="str">
        <f t="shared" si="20"/>
        <v>0</v>
      </c>
      <c r="J648" s="520" t="b">
        <f t="shared" si="21"/>
        <v>0</v>
      </c>
      <c r="K648" s="541"/>
      <c r="L648" s="541">
        <f>'Expense Jrnl'!$G152</f>
        <v>0</v>
      </c>
      <c r="M648" s="523"/>
      <c r="N648" s="539"/>
    </row>
    <row r="649" spans="2:14" s="1" customFormat="1" ht="30" hidden="1" customHeight="1" x14ac:dyDescent="0.2">
      <c r="B649" s="517">
        <f>IF(AND('Expense Jrnl'!$G153&lt;&gt;"",'Expense Jrnl'!$C153&lt;&gt;""),1,0)</f>
        <v>0</v>
      </c>
      <c r="C649" s="517">
        <f>'Expense Jrnl'!$C153</f>
        <v>0</v>
      </c>
      <c r="D649" s="540">
        <f>'Expense Jrnl'!$D153</f>
        <v>0</v>
      </c>
      <c r="E649" s="1523">
        <f>'Expense Jrnl'!$F153</f>
        <v>0</v>
      </c>
      <c r="F649" s="1523"/>
      <c r="G649" s="519" t="str">
        <f>IF('Expense Jrnl'!$E153="","",'Expense Jrnl'!$E153)</f>
        <v/>
      </c>
      <c r="H649" s="518">
        <f>'Expense Jrnl'!H153</f>
        <v>0</v>
      </c>
      <c r="I649" s="518" t="str">
        <f t="shared" si="20"/>
        <v>0</v>
      </c>
      <c r="J649" s="520" t="b">
        <f t="shared" si="21"/>
        <v>0</v>
      </c>
      <c r="K649" s="541"/>
      <c r="L649" s="541">
        <f>'Expense Jrnl'!$G153</f>
        <v>0</v>
      </c>
      <c r="M649" s="523"/>
      <c r="N649" s="539"/>
    </row>
    <row r="650" spans="2:14" s="1" customFormat="1" ht="30" hidden="1" customHeight="1" x14ac:dyDescent="0.2">
      <c r="B650" s="517">
        <f>IF(AND('Expense Jrnl'!$G154&lt;&gt;"",'Expense Jrnl'!$C154&lt;&gt;""),1,0)</f>
        <v>0</v>
      </c>
      <c r="C650" s="517">
        <f>'Expense Jrnl'!$C154</f>
        <v>0</v>
      </c>
      <c r="D650" s="540">
        <f>'Expense Jrnl'!$D154</f>
        <v>0</v>
      </c>
      <c r="E650" s="1523">
        <f>'Expense Jrnl'!$F154</f>
        <v>0</v>
      </c>
      <c r="F650" s="1523"/>
      <c r="G650" s="519" t="str">
        <f>IF('Expense Jrnl'!$E154="","",'Expense Jrnl'!$E154)</f>
        <v/>
      </c>
      <c r="H650" s="518">
        <f>'Expense Jrnl'!H154</f>
        <v>0</v>
      </c>
      <c r="I650" s="518" t="str">
        <f t="shared" si="20"/>
        <v>0</v>
      </c>
      <c r="J650" s="520" t="b">
        <f t="shared" si="21"/>
        <v>0</v>
      </c>
      <c r="K650" s="541"/>
      <c r="L650" s="541">
        <f>'Expense Jrnl'!$G154</f>
        <v>0</v>
      </c>
      <c r="M650" s="523"/>
      <c r="N650" s="539"/>
    </row>
    <row r="651" spans="2:14" s="1" customFormat="1" ht="30" hidden="1" customHeight="1" x14ac:dyDescent="0.2">
      <c r="B651" s="517">
        <f>IF(AND('Expense Jrnl'!$G155&lt;&gt;"",'Expense Jrnl'!$C155&lt;&gt;""),1,0)</f>
        <v>0</v>
      </c>
      <c r="C651" s="517">
        <f>'Expense Jrnl'!$C155</f>
        <v>0</v>
      </c>
      <c r="D651" s="540">
        <f>'Expense Jrnl'!$D155</f>
        <v>0</v>
      </c>
      <c r="E651" s="1523">
        <f>'Expense Jrnl'!$F155</f>
        <v>0</v>
      </c>
      <c r="F651" s="1523"/>
      <c r="G651" s="519" t="str">
        <f>IF('Expense Jrnl'!$E155="","",'Expense Jrnl'!$E155)</f>
        <v/>
      </c>
      <c r="H651" s="518">
        <f>'Expense Jrnl'!H155</f>
        <v>0</v>
      </c>
      <c r="I651" s="518" t="str">
        <f t="shared" si="20"/>
        <v>0</v>
      </c>
      <c r="J651" s="520" t="b">
        <f t="shared" si="21"/>
        <v>0</v>
      </c>
      <c r="K651" s="541"/>
      <c r="L651" s="541">
        <f>'Expense Jrnl'!$G155</f>
        <v>0</v>
      </c>
      <c r="M651" s="523"/>
      <c r="N651" s="539"/>
    </row>
    <row r="652" spans="2:14" s="1" customFormat="1" ht="30" hidden="1" customHeight="1" x14ac:dyDescent="0.2">
      <c r="B652" s="517">
        <f>IF(AND('Expense Jrnl'!$G156&lt;&gt;"",'Expense Jrnl'!$C156&lt;&gt;""),1,0)</f>
        <v>0</v>
      </c>
      <c r="C652" s="517">
        <f>'Expense Jrnl'!$C156</f>
        <v>0</v>
      </c>
      <c r="D652" s="540">
        <f>'Expense Jrnl'!$D156</f>
        <v>0</v>
      </c>
      <c r="E652" s="1523">
        <f>'Expense Jrnl'!$F156</f>
        <v>0</v>
      </c>
      <c r="F652" s="1523"/>
      <c r="G652" s="519" t="str">
        <f>IF('Expense Jrnl'!$E156="","",'Expense Jrnl'!$E156)</f>
        <v/>
      </c>
      <c r="H652" s="518">
        <f>'Expense Jrnl'!H156</f>
        <v>0</v>
      </c>
      <c r="I652" s="518" t="str">
        <f t="shared" si="20"/>
        <v>0</v>
      </c>
      <c r="J652" s="520" t="b">
        <f t="shared" si="21"/>
        <v>0</v>
      </c>
      <c r="K652" s="541"/>
      <c r="L652" s="541">
        <f>'Expense Jrnl'!$G156</f>
        <v>0</v>
      </c>
      <c r="M652" s="523"/>
      <c r="N652" s="539"/>
    </row>
    <row r="653" spans="2:14" s="1" customFormat="1" ht="30" hidden="1" customHeight="1" x14ac:dyDescent="0.2">
      <c r="B653" s="517">
        <f>IF(AND('Expense Jrnl'!$G157&lt;&gt;"",'Expense Jrnl'!$C157&lt;&gt;""),1,0)</f>
        <v>0</v>
      </c>
      <c r="C653" s="517">
        <f>'Expense Jrnl'!$C157</f>
        <v>0</v>
      </c>
      <c r="D653" s="540">
        <f>'Expense Jrnl'!$D157</f>
        <v>0</v>
      </c>
      <c r="E653" s="1523">
        <f>'Expense Jrnl'!$F157</f>
        <v>0</v>
      </c>
      <c r="F653" s="1523"/>
      <c r="G653" s="519" t="str">
        <f>IF('Expense Jrnl'!$E157="","",'Expense Jrnl'!$E157)</f>
        <v/>
      </c>
      <c r="H653" s="518">
        <f>'Expense Jrnl'!H157</f>
        <v>0</v>
      </c>
      <c r="I653" s="518" t="str">
        <f t="shared" si="20"/>
        <v>0</v>
      </c>
      <c r="J653" s="520" t="b">
        <f t="shared" si="21"/>
        <v>0</v>
      </c>
      <c r="K653" s="541"/>
      <c r="L653" s="541">
        <f>'Expense Jrnl'!$G157</f>
        <v>0</v>
      </c>
      <c r="M653" s="523"/>
      <c r="N653" s="539"/>
    </row>
    <row r="654" spans="2:14" s="1" customFormat="1" ht="30" hidden="1" customHeight="1" x14ac:dyDescent="0.2">
      <c r="B654" s="517">
        <f>IF(AND('Expense Jrnl'!$G158&lt;&gt;"",'Expense Jrnl'!$C158&lt;&gt;""),1,0)</f>
        <v>0</v>
      </c>
      <c r="C654" s="517">
        <f>'Expense Jrnl'!$C158</f>
        <v>0</v>
      </c>
      <c r="D654" s="540">
        <f>'Expense Jrnl'!$D158</f>
        <v>0</v>
      </c>
      <c r="E654" s="1523">
        <f>'Expense Jrnl'!$F158</f>
        <v>0</v>
      </c>
      <c r="F654" s="1523"/>
      <c r="G654" s="519" t="str">
        <f>IF('Expense Jrnl'!$E158="","",'Expense Jrnl'!$E158)</f>
        <v/>
      </c>
      <c r="H654" s="518">
        <f>'Expense Jrnl'!H158</f>
        <v>0</v>
      </c>
      <c r="I654" s="518" t="str">
        <f t="shared" si="20"/>
        <v>0</v>
      </c>
      <c r="J654" s="520" t="b">
        <f t="shared" si="21"/>
        <v>0</v>
      </c>
      <c r="K654" s="541"/>
      <c r="L654" s="541">
        <f>'Expense Jrnl'!$G158</f>
        <v>0</v>
      </c>
      <c r="M654" s="523"/>
      <c r="N654" s="539"/>
    </row>
    <row r="655" spans="2:14" s="1" customFormat="1" ht="30" hidden="1" customHeight="1" x14ac:dyDescent="0.2">
      <c r="B655" s="517">
        <f>IF(AND('Expense Jrnl'!$G159&lt;&gt;"",'Expense Jrnl'!$C159&lt;&gt;""),1,0)</f>
        <v>0</v>
      </c>
      <c r="C655" s="517">
        <f>'Expense Jrnl'!$C159</f>
        <v>0</v>
      </c>
      <c r="D655" s="540">
        <f>'Expense Jrnl'!$D159</f>
        <v>0</v>
      </c>
      <c r="E655" s="1523">
        <f>'Expense Jrnl'!$F159</f>
        <v>0</v>
      </c>
      <c r="F655" s="1523"/>
      <c r="G655" s="519" t="str">
        <f>IF('Expense Jrnl'!$E159="","",'Expense Jrnl'!$E159)</f>
        <v/>
      </c>
      <c r="H655" s="518">
        <f>'Expense Jrnl'!H159</f>
        <v>0</v>
      </c>
      <c r="I655" s="518" t="str">
        <f t="shared" si="20"/>
        <v>0</v>
      </c>
      <c r="J655" s="520" t="b">
        <f t="shared" si="21"/>
        <v>0</v>
      </c>
      <c r="K655" s="541"/>
      <c r="L655" s="541">
        <f>'Expense Jrnl'!$G159</f>
        <v>0</v>
      </c>
      <c r="M655" s="523"/>
      <c r="N655" s="539"/>
    </row>
    <row r="656" spans="2:14" s="1" customFormat="1" ht="30" hidden="1" customHeight="1" x14ac:dyDescent="0.2">
      <c r="B656" s="517">
        <f>IF(AND('Expense Jrnl'!$G160&lt;&gt;"",'Expense Jrnl'!$C160&lt;&gt;""),1,0)</f>
        <v>0</v>
      </c>
      <c r="C656" s="517">
        <f>'Expense Jrnl'!$C160</f>
        <v>0</v>
      </c>
      <c r="D656" s="540">
        <f>'Expense Jrnl'!$D160</f>
        <v>0</v>
      </c>
      <c r="E656" s="1523">
        <f>'Expense Jrnl'!$F160</f>
        <v>0</v>
      </c>
      <c r="F656" s="1523"/>
      <c r="G656" s="519" t="str">
        <f>IF('Expense Jrnl'!$E160="","",'Expense Jrnl'!$E160)</f>
        <v/>
      </c>
      <c r="H656" s="518">
        <f>'Expense Jrnl'!H160</f>
        <v>0</v>
      </c>
      <c r="I656" s="518" t="str">
        <f t="shared" si="20"/>
        <v>0</v>
      </c>
      <c r="J656" s="520" t="b">
        <f t="shared" si="21"/>
        <v>0</v>
      </c>
      <c r="K656" s="541"/>
      <c r="L656" s="541">
        <f>'Expense Jrnl'!$G160</f>
        <v>0</v>
      </c>
      <c r="M656" s="523"/>
      <c r="N656" s="539"/>
    </row>
    <row r="657" spans="2:14" s="1" customFormat="1" ht="30" hidden="1" customHeight="1" x14ac:dyDescent="0.2">
      <c r="B657" s="517">
        <f>IF(AND('Expense Jrnl'!$G161&lt;&gt;"",'Expense Jrnl'!$C161&lt;&gt;""),1,0)</f>
        <v>0</v>
      </c>
      <c r="C657" s="517">
        <f>'Expense Jrnl'!$C161</f>
        <v>0</v>
      </c>
      <c r="D657" s="540">
        <f>'Expense Jrnl'!$D161</f>
        <v>0</v>
      </c>
      <c r="E657" s="1523">
        <f>'Expense Jrnl'!$F161</f>
        <v>0</v>
      </c>
      <c r="F657" s="1523"/>
      <c r="G657" s="519" t="str">
        <f>IF('Expense Jrnl'!$E161="","",'Expense Jrnl'!$E161)</f>
        <v/>
      </c>
      <c r="H657" s="518">
        <f>'Expense Jrnl'!H161</f>
        <v>0</v>
      </c>
      <c r="I657" s="518" t="str">
        <f t="shared" si="20"/>
        <v>0</v>
      </c>
      <c r="J657" s="520" t="b">
        <f t="shared" si="21"/>
        <v>0</v>
      </c>
      <c r="K657" s="541"/>
      <c r="L657" s="541">
        <f>'Expense Jrnl'!$G161</f>
        <v>0</v>
      </c>
      <c r="M657" s="523"/>
      <c r="N657" s="539"/>
    </row>
    <row r="658" spans="2:14" s="1" customFormat="1" ht="30" hidden="1" customHeight="1" x14ac:dyDescent="0.2">
      <c r="B658" s="517">
        <f>IF(AND('Expense Jrnl'!$G162&lt;&gt;"",'Expense Jrnl'!$C162&lt;&gt;""),1,0)</f>
        <v>0</v>
      </c>
      <c r="C658" s="517">
        <f>'Expense Jrnl'!$C162</f>
        <v>0</v>
      </c>
      <c r="D658" s="540">
        <f>'Expense Jrnl'!$D162</f>
        <v>0</v>
      </c>
      <c r="E658" s="1523">
        <f>'Expense Jrnl'!$F162</f>
        <v>0</v>
      </c>
      <c r="F658" s="1523"/>
      <c r="G658" s="519" t="str">
        <f>IF('Expense Jrnl'!$E162="","",'Expense Jrnl'!$E162)</f>
        <v/>
      </c>
      <c r="H658" s="518">
        <f>'Expense Jrnl'!H162</f>
        <v>0</v>
      </c>
      <c r="I658" s="518" t="str">
        <f t="shared" si="20"/>
        <v>0</v>
      </c>
      <c r="J658" s="520" t="b">
        <f t="shared" si="21"/>
        <v>0</v>
      </c>
      <c r="K658" s="541"/>
      <c r="L658" s="541">
        <f>'Expense Jrnl'!$G162</f>
        <v>0</v>
      </c>
      <c r="M658" s="523"/>
      <c r="N658" s="539"/>
    </row>
    <row r="659" spans="2:14" s="1" customFormat="1" ht="30" hidden="1" customHeight="1" x14ac:dyDescent="0.2">
      <c r="B659" s="517">
        <f>IF(AND('Expense Jrnl'!$G163&lt;&gt;"",'Expense Jrnl'!$C163&lt;&gt;""),1,0)</f>
        <v>0</v>
      </c>
      <c r="C659" s="517">
        <f>'Expense Jrnl'!$C163</f>
        <v>0</v>
      </c>
      <c r="D659" s="540">
        <f>'Expense Jrnl'!$D163</f>
        <v>0</v>
      </c>
      <c r="E659" s="1523">
        <f>'Expense Jrnl'!$F163</f>
        <v>0</v>
      </c>
      <c r="F659" s="1523"/>
      <c r="G659" s="519" t="str">
        <f>IF('Expense Jrnl'!$E163="","",'Expense Jrnl'!$E163)</f>
        <v/>
      </c>
      <c r="H659" s="518">
        <f>'Expense Jrnl'!H163</f>
        <v>0</v>
      </c>
      <c r="I659" s="518" t="str">
        <f t="shared" si="20"/>
        <v>0</v>
      </c>
      <c r="J659" s="520" t="b">
        <f t="shared" si="21"/>
        <v>0</v>
      </c>
      <c r="K659" s="541"/>
      <c r="L659" s="541">
        <f>'Expense Jrnl'!$G163</f>
        <v>0</v>
      </c>
      <c r="M659" s="523"/>
      <c r="N659" s="539"/>
    </row>
    <row r="660" spans="2:14" s="1" customFormat="1" ht="30" hidden="1" customHeight="1" x14ac:dyDescent="0.2">
      <c r="B660" s="517">
        <f>IF(AND('Expense Jrnl'!$G164&lt;&gt;"",'Expense Jrnl'!$C164&lt;&gt;""),1,0)</f>
        <v>0</v>
      </c>
      <c r="C660" s="517">
        <f>'Expense Jrnl'!$C164</f>
        <v>0</v>
      </c>
      <c r="D660" s="540">
        <f>'Expense Jrnl'!$D164</f>
        <v>0</v>
      </c>
      <c r="E660" s="1523">
        <f>'Expense Jrnl'!$F164</f>
        <v>0</v>
      </c>
      <c r="F660" s="1523"/>
      <c r="G660" s="519" t="str">
        <f>IF('Expense Jrnl'!$E164="","",'Expense Jrnl'!$E164)</f>
        <v/>
      </c>
      <c r="H660" s="518">
        <f>'Expense Jrnl'!H164</f>
        <v>0</v>
      </c>
      <c r="I660" s="518" t="str">
        <f t="shared" si="20"/>
        <v>0</v>
      </c>
      <c r="J660" s="520" t="b">
        <f t="shared" si="21"/>
        <v>0</v>
      </c>
      <c r="K660" s="541"/>
      <c r="L660" s="541">
        <f>'Expense Jrnl'!$G164</f>
        <v>0</v>
      </c>
      <c r="M660" s="523"/>
      <c r="N660" s="539"/>
    </row>
    <row r="661" spans="2:14" s="1" customFormat="1" ht="30" hidden="1" customHeight="1" x14ac:dyDescent="0.2">
      <c r="B661" s="517">
        <f>IF(AND('Expense Jrnl'!$G165&lt;&gt;"",'Expense Jrnl'!$C165&lt;&gt;""),1,0)</f>
        <v>0</v>
      </c>
      <c r="C661" s="517">
        <f>'Expense Jrnl'!$C165</f>
        <v>0</v>
      </c>
      <c r="D661" s="540">
        <f>'Expense Jrnl'!$D165</f>
        <v>0</v>
      </c>
      <c r="E661" s="1523">
        <f>'Expense Jrnl'!$F165</f>
        <v>0</v>
      </c>
      <c r="F661" s="1523"/>
      <c r="G661" s="519" t="str">
        <f>IF('Expense Jrnl'!$E165="","",'Expense Jrnl'!$E165)</f>
        <v/>
      </c>
      <c r="H661" s="518">
        <f>'Expense Jrnl'!H165</f>
        <v>0</v>
      </c>
      <c r="I661" s="518" t="str">
        <f t="shared" si="20"/>
        <v>0</v>
      </c>
      <c r="J661" s="520" t="b">
        <f t="shared" si="21"/>
        <v>0</v>
      </c>
      <c r="K661" s="541"/>
      <c r="L661" s="541">
        <f>'Expense Jrnl'!$G165</f>
        <v>0</v>
      </c>
      <c r="M661" s="523"/>
      <c r="N661" s="539"/>
    </row>
    <row r="662" spans="2:14" s="1" customFormat="1" ht="30" hidden="1" customHeight="1" x14ac:dyDescent="0.2">
      <c r="B662" s="517">
        <f>IF(AND('Expense Jrnl'!$G166&lt;&gt;"",'Expense Jrnl'!$C166&lt;&gt;""),1,0)</f>
        <v>0</v>
      </c>
      <c r="C662" s="517">
        <f>'Expense Jrnl'!$C166</f>
        <v>0</v>
      </c>
      <c r="D662" s="540">
        <f>'Expense Jrnl'!$D166</f>
        <v>0</v>
      </c>
      <c r="E662" s="1523">
        <f>'Expense Jrnl'!$F166</f>
        <v>0</v>
      </c>
      <c r="F662" s="1523"/>
      <c r="G662" s="519" t="str">
        <f>IF('Expense Jrnl'!$E166="","",'Expense Jrnl'!$E166)</f>
        <v/>
      </c>
      <c r="H662" s="518">
        <f>'Expense Jrnl'!H166</f>
        <v>0</v>
      </c>
      <c r="I662" s="518" t="str">
        <f t="shared" si="20"/>
        <v>0</v>
      </c>
      <c r="J662" s="520" t="b">
        <f t="shared" si="21"/>
        <v>0</v>
      </c>
      <c r="K662" s="541"/>
      <c r="L662" s="541">
        <f>'Expense Jrnl'!$G166</f>
        <v>0</v>
      </c>
      <c r="M662" s="523"/>
      <c r="N662" s="539"/>
    </row>
    <row r="663" spans="2:14" s="1" customFormat="1" ht="30" hidden="1" customHeight="1" x14ac:dyDescent="0.2">
      <c r="B663" s="517">
        <f>IF(AND('Expense Jrnl'!$G167&lt;&gt;"",'Expense Jrnl'!$C167&lt;&gt;""),1,0)</f>
        <v>0</v>
      </c>
      <c r="C663" s="517">
        <f>'Expense Jrnl'!$C167</f>
        <v>0</v>
      </c>
      <c r="D663" s="540">
        <f>'Expense Jrnl'!$D167</f>
        <v>0</v>
      </c>
      <c r="E663" s="1523">
        <f>'Expense Jrnl'!$F167</f>
        <v>0</v>
      </c>
      <c r="F663" s="1523"/>
      <c r="G663" s="519" t="str">
        <f>IF('Expense Jrnl'!$E167="","",'Expense Jrnl'!$E167)</f>
        <v/>
      </c>
      <c r="H663" s="518">
        <f>'Expense Jrnl'!H167</f>
        <v>0</v>
      </c>
      <c r="I663" s="518" t="str">
        <f t="shared" si="20"/>
        <v>0</v>
      </c>
      <c r="J663" s="520" t="b">
        <f t="shared" si="21"/>
        <v>0</v>
      </c>
      <c r="K663" s="541"/>
      <c r="L663" s="541">
        <f>'Expense Jrnl'!$G167</f>
        <v>0</v>
      </c>
      <c r="M663" s="523"/>
      <c r="N663" s="539"/>
    </row>
    <row r="664" spans="2:14" s="1" customFormat="1" ht="30" hidden="1" customHeight="1" x14ac:dyDescent="0.2">
      <c r="B664" s="517">
        <f>IF(AND('Expense Jrnl'!$G168&lt;&gt;"",'Expense Jrnl'!$C168&lt;&gt;""),1,0)</f>
        <v>0</v>
      </c>
      <c r="C664" s="517">
        <f>'Expense Jrnl'!$C168</f>
        <v>0</v>
      </c>
      <c r="D664" s="540">
        <f>'Expense Jrnl'!$D168</f>
        <v>0</v>
      </c>
      <c r="E664" s="1523">
        <f>'Expense Jrnl'!$F168</f>
        <v>0</v>
      </c>
      <c r="F664" s="1523"/>
      <c r="G664" s="519" t="str">
        <f>IF('Expense Jrnl'!$E168="","",'Expense Jrnl'!$E168)</f>
        <v/>
      </c>
      <c r="H664" s="518">
        <f>'Expense Jrnl'!H168</f>
        <v>0</v>
      </c>
      <c r="I664" s="518" t="str">
        <f t="shared" si="20"/>
        <v>0</v>
      </c>
      <c r="J664" s="520" t="b">
        <f t="shared" si="21"/>
        <v>0</v>
      </c>
      <c r="K664" s="541"/>
      <c r="L664" s="541">
        <f>'Expense Jrnl'!$G168</f>
        <v>0</v>
      </c>
      <c r="M664" s="523"/>
      <c r="N664" s="539"/>
    </row>
    <row r="665" spans="2:14" s="1" customFormat="1" ht="30" hidden="1" customHeight="1" x14ac:dyDescent="0.2">
      <c r="B665" s="517">
        <f>IF(AND('Expense Jrnl'!$G169&lt;&gt;"",'Expense Jrnl'!$C169&lt;&gt;""),1,0)</f>
        <v>0</v>
      </c>
      <c r="C665" s="517">
        <f>'Expense Jrnl'!$C169</f>
        <v>0</v>
      </c>
      <c r="D665" s="540">
        <f>'Expense Jrnl'!$D169</f>
        <v>0</v>
      </c>
      <c r="E665" s="1523">
        <f>'Expense Jrnl'!$F169</f>
        <v>0</v>
      </c>
      <c r="F665" s="1523"/>
      <c r="G665" s="519" t="str">
        <f>IF('Expense Jrnl'!$E169="","",'Expense Jrnl'!$E169)</f>
        <v/>
      </c>
      <c r="H665" s="518">
        <f>'Expense Jrnl'!H169</f>
        <v>0</v>
      </c>
      <c r="I665" s="518" t="str">
        <f t="shared" si="20"/>
        <v>0</v>
      </c>
      <c r="J665" s="520" t="b">
        <f t="shared" si="21"/>
        <v>0</v>
      </c>
      <c r="K665" s="541"/>
      <c r="L665" s="541">
        <f>'Expense Jrnl'!$G169</f>
        <v>0</v>
      </c>
      <c r="M665" s="523"/>
      <c r="N665" s="539"/>
    </row>
    <row r="666" spans="2:14" s="1" customFormat="1" ht="30" hidden="1" customHeight="1" x14ac:dyDescent="0.2">
      <c r="B666" s="517">
        <f>IF(AND('Expense Jrnl'!$G170&lt;&gt;"",'Expense Jrnl'!$C170&lt;&gt;""),1,0)</f>
        <v>0</v>
      </c>
      <c r="C666" s="517">
        <f>'Expense Jrnl'!$C170</f>
        <v>0</v>
      </c>
      <c r="D666" s="540">
        <f>'Expense Jrnl'!$D170</f>
        <v>0</v>
      </c>
      <c r="E666" s="1523">
        <f>'Expense Jrnl'!$F170</f>
        <v>0</v>
      </c>
      <c r="F666" s="1523"/>
      <c r="G666" s="519" t="str">
        <f>IF('Expense Jrnl'!$E170="","",'Expense Jrnl'!$E170)</f>
        <v/>
      </c>
      <c r="H666" s="518">
        <f>'Expense Jrnl'!H170</f>
        <v>0</v>
      </c>
      <c r="I666" s="518" t="str">
        <f t="shared" si="20"/>
        <v>0</v>
      </c>
      <c r="J666" s="520" t="b">
        <f t="shared" si="21"/>
        <v>0</v>
      </c>
      <c r="K666" s="541"/>
      <c r="L666" s="541">
        <f>'Expense Jrnl'!$G170</f>
        <v>0</v>
      </c>
      <c r="M666" s="523"/>
      <c r="N666" s="539"/>
    </row>
    <row r="667" spans="2:14" s="1" customFormat="1" ht="30" hidden="1" customHeight="1" x14ac:dyDescent="0.2">
      <c r="B667" s="517">
        <f>IF(AND('Expense Jrnl'!$G171&lt;&gt;"",'Expense Jrnl'!$C171&lt;&gt;""),1,0)</f>
        <v>0</v>
      </c>
      <c r="C667" s="517">
        <f>'Expense Jrnl'!$C171</f>
        <v>0</v>
      </c>
      <c r="D667" s="540">
        <f>'Expense Jrnl'!$D171</f>
        <v>0</v>
      </c>
      <c r="E667" s="1523">
        <f>'Expense Jrnl'!$F171</f>
        <v>0</v>
      </c>
      <c r="F667" s="1523"/>
      <c r="G667" s="519" t="str">
        <f>IF('Expense Jrnl'!$E171="","",'Expense Jrnl'!$E171)</f>
        <v/>
      </c>
      <c r="H667" s="518">
        <f>'Expense Jrnl'!H171</f>
        <v>0</v>
      </c>
      <c r="I667" s="518" t="str">
        <f t="shared" si="20"/>
        <v>0</v>
      </c>
      <c r="J667" s="520" t="b">
        <f t="shared" si="21"/>
        <v>0</v>
      </c>
      <c r="K667" s="541"/>
      <c r="L667" s="541">
        <f>'Expense Jrnl'!$G171</f>
        <v>0</v>
      </c>
      <c r="M667" s="523"/>
      <c r="N667" s="539"/>
    </row>
    <row r="668" spans="2:14" s="1" customFormat="1" ht="30" hidden="1" customHeight="1" x14ac:dyDescent="0.2">
      <c r="B668" s="517">
        <f>IF(AND('Expense Jrnl'!$G172&lt;&gt;"",'Expense Jrnl'!$C172&lt;&gt;""),1,0)</f>
        <v>0</v>
      </c>
      <c r="C668" s="517">
        <f>'Expense Jrnl'!$C172</f>
        <v>0</v>
      </c>
      <c r="D668" s="540">
        <f>'Expense Jrnl'!$D172</f>
        <v>0</v>
      </c>
      <c r="E668" s="1523">
        <f>'Expense Jrnl'!$F172</f>
        <v>0</v>
      </c>
      <c r="F668" s="1523"/>
      <c r="G668" s="519" t="str">
        <f>IF('Expense Jrnl'!$E172="","",'Expense Jrnl'!$E172)</f>
        <v/>
      </c>
      <c r="H668" s="518">
        <f>'Expense Jrnl'!H172</f>
        <v>0</v>
      </c>
      <c r="I668" s="518" t="str">
        <f t="shared" si="20"/>
        <v>0</v>
      </c>
      <c r="J668" s="520" t="b">
        <f t="shared" si="21"/>
        <v>0</v>
      </c>
      <c r="K668" s="541"/>
      <c r="L668" s="541">
        <f>'Expense Jrnl'!$G172</f>
        <v>0</v>
      </c>
      <c r="M668" s="523"/>
      <c r="N668" s="539"/>
    </row>
    <row r="669" spans="2:14" s="1" customFormat="1" ht="30" hidden="1" customHeight="1" x14ac:dyDescent="0.2">
      <c r="B669" s="517">
        <f>IF(AND('Expense Jrnl'!$G173&lt;&gt;"",'Expense Jrnl'!$C173&lt;&gt;""),1,0)</f>
        <v>0</v>
      </c>
      <c r="C669" s="517">
        <f>'Expense Jrnl'!$C173</f>
        <v>0</v>
      </c>
      <c r="D669" s="540">
        <f>'Expense Jrnl'!$D173</f>
        <v>0</v>
      </c>
      <c r="E669" s="1523">
        <f>'Expense Jrnl'!$F173</f>
        <v>0</v>
      </c>
      <c r="F669" s="1523"/>
      <c r="G669" s="519" t="str">
        <f>IF('Expense Jrnl'!$E173="","",'Expense Jrnl'!$E173)</f>
        <v/>
      </c>
      <c r="H669" s="518">
        <f>'Expense Jrnl'!H173</f>
        <v>0</v>
      </c>
      <c r="I669" s="518" t="str">
        <f t="shared" si="20"/>
        <v>0</v>
      </c>
      <c r="J669" s="520" t="b">
        <f t="shared" si="21"/>
        <v>0</v>
      </c>
      <c r="K669" s="541"/>
      <c r="L669" s="541">
        <f>'Expense Jrnl'!$G173</f>
        <v>0</v>
      </c>
      <c r="M669" s="523"/>
      <c r="N669" s="539"/>
    </row>
    <row r="670" spans="2:14" s="1" customFormat="1" ht="30" hidden="1" customHeight="1" x14ac:dyDescent="0.2">
      <c r="B670" s="517">
        <f>IF(AND('Expense Jrnl'!$G174&lt;&gt;"",'Expense Jrnl'!$C174&lt;&gt;""),1,0)</f>
        <v>0</v>
      </c>
      <c r="C670" s="517">
        <f>'Expense Jrnl'!$C174</f>
        <v>0</v>
      </c>
      <c r="D670" s="540">
        <f>'Expense Jrnl'!$D174</f>
        <v>0</v>
      </c>
      <c r="E670" s="1523">
        <f>'Expense Jrnl'!$F174</f>
        <v>0</v>
      </c>
      <c r="F670" s="1523"/>
      <c r="G670" s="519" t="str">
        <f>IF('Expense Jrnl'!$E174="","",'Expense Jrnl'!$E174)</f>
        <v/>
      </c>
      <c r="H670" s="518">
        <f>'Expense Jrnl'!H174</f>
        <v>0</v>
      </c>
      <c r="I670" s="518" t="str">
        <f t="shared" si="20"/>
        <v>0</v>
      </c>
      <c r="J670" s="520" t="b">
        <f t="shared" si="21"/>
        <v>0</v>
      </c>
      <c r="K670" s="541"/>
      <c r="L670" s="541">
        <f>'Expense Jrnl'!$G174</f>
        <v>0</v>
      </c>
      <c r="M670" s="523"/>
      <c r="N670" s="539"/>
    </row>
    <row r="671" spans="2:14" s="1" customFormat="1" ht="30" hidden="1" customHeight="1" x14ac:dyDescent="0.2">
      <c r="B671" s="517">
        <f>IF(AND('Expense Jrnl'!$G175&lt;&gt;"",'Expense Jrnl'!$C175&lt;&gt;""),1,0)</f>
        <v>0</v>
      </c>
      <c r="C671" s="517">
        <f>'Expense Jrnl'!$C175</f>
        <v>0</v>
      </c>
      <c r="D671" s="540">
        <f>'Expense Jrnl'!$D175</f>
        <v>0</v>
      </c>
      <c r="E671" s="1523">
        <f>'Expense Jrnl'!$F175</f>
        <v>0</v>
      </c>
      <c r="F671" s="1523"/>
      <c r="G671" s="519" t="str">
        <f>IF('Expense Jrnl'!$E175="","",'Expense Jrnl'!$E175)</f>
        <v/>
      </c>
      <c r="H671" s="518">
        <f>'Expense Jrnl'!H175</f>
        <v>0</v>
      </c>
      <c r="I671" s="518" t="str">
        <f t="shared" si="20"/>
        <v>0</v>
      </c>
      <c r="J671" s="520" t="b">
        <f t="shared" si="21"/>
        <v>0</v>
      </c>
      <c r="K671" s="541"/>
      <c r="L671" s="541">
        <f>'Expense Jrnl'!$G175</f>
        <v>0</v>
      </c>
      <c r="M671" s="523"/>
      <c r="N671" s="539"/>
    </row>
    <row r="672" spans="2:14" s="1" customFormat="1" ht="30" hidden="1" customHeight="1" x14ac:dyDescent="0.2">
      <c r="B672" s="517">
        <f>IF(AND('Expense Jrnl'!$G176&lt;&gt;"",'Expense Jrnl'!$C176&lt;&gt;""),1,0)</f>
        <v>0</v>
      </c>
      <c r="C672" s="517">
        <f>'Expense Jrnl'!$C176</f>
        <v>0</v>
      </c>
      <c r="D672" s="540">
        <f>'Expense Jrnl'!$D176</f>
        <v>0</v>
      </c>
      <c r="E672" s="1523">
        <f>'Expense Jrnl'!$F176</f>
        <v>0</v>
      </c>
      <c r="F672" s="1523"/>
      <c r="G672" s="519" t="str">
        <f>IF('Expense Jrnl'!$E176="","",'Expense Jrnl'!$E176)</f>
        <v/>
      </c>
      <c r="H672" s="518">
        <f>'Expense Jrnl'!H176</f>
        <v>0</v>
      </c>
      <c r="I672" s="518" t="str">
        <f t="shared" si="20"/>
        <v>0</v>
      </c>
      <c r="J672" s="520" t="b">
        <f t="shared" si="21"/>
        <v>0</v>
      </c>
      <c r="K672" s="541"/>
      <c r="L672" s="541">
        <f>'Expense Jrnl'!$G176</f>
        <v>0</v>
      </c>
      <c r="M672" s="523"/>
      <c r="N672" s="539"/>
    </row>
    <row r="673" spans="2:14" s="1" customFormat="1" ht="30" hidden="1" customHeight="1" x14ac:dyDescent="0.2">
      <c r="B673" s="517">
        <f>IF(AND('Expense Jrnl'!$G177&lt;&gt;"",'Expense Jrnl'!$C177&lt;&gt;""),1,0)</f>
        <v>0</v>
      </c>
      <c r="C673" s="517">
        <f>'Expense Jrnl'!$C177</f>
        <v>0</v>
      </c>
      <c r="D673" s="540">
        <f>'Expense Jrnl'!$D177</f>
        <v>0</v>
      </c>
      <c r="E673" s="1523">
        <f>'Expense Jrnl'!$F177</f>
        <v>0</v>
      </c>
      <c r="F673" s="1523"/>
      <c r="G673" s="519" t="str">
        <f>IF('Expense Jrnl'!$E177="","",'Expense Jrnl'!$E177)</f>
        <v/>
      </c>
      <c r="H673" s="518">
        <f>'Expense Jrnl'!H177</f>
        <v>0</v>
      </c>
      <c r="I673" s="518" t="str">
        <f t="shared" si="20"/>
        <v>0</v>
      </c>
      <c r="J673" s="520" t="b">
        <f t="shared" si="21"/>
        <v>0</v>
      </c>
      <c r="K673" s="541"/>
      <c r="L673" s="541">
        <f>'Expense Jrnl'!$G177</f>
        <v>0</v>
      </c>
      <c r="M673" s="523"/>
      <c r="N673" s="539"/>
    </row>
    <row r="674" spans="2:14" s="1" customFormat="1" ht="30" hidden="1" customHeight="1" x14ac:dyDescent="0.2">
      <c r="B674" s="517">
        <f>IF(AND('Expense Jrnl'!$G178&lt;&gt;"",'Expense Jrnl'!$C178&lt;&gt;""),1,0)</f>
        <v>0</v>
      </c>
      <c r="C674" s="517">
        <f>'Expense Jrnl'!$C178</f>
        <v>0</v>
      </c>
      <c r="D674" s="540">
        <f>'Expense Jrnl'!$D178</f>
        <v>0</v>
      </c>
      <c r="E674" s="1523">
        <f>'Expense Jrnl'!$F178</f>
        <v>0</v>
      </c>
      <c r="F674" s="1523"/>
      <c r="G674" s="519" t="str">
        <f>IF('Expense Jrnl'!$E178="","",'Expense Jrnl'!$E178)</f>
        <v/>
      </c>
      <c r="H674" s="518">
        <f>'Expense Jrnl'!H178</f>
        <v>0</v>
      </c>
      <c r="I674" s="518" t="str">
        <f t="shared" si="20"/>
        <v>0</v>
      </c>
      <c r="J674" s="520" t="b">
        <f t="shared" si="21"/>
        <v>0</v>
      </c>
      <c r="K674" s="541"/>
      <c r="L674" s="541">
        <f>'Expense Jrnl'!$G178</f>
        <v>0</v>
      </c>
      <c r="M674" s="523"/>
      <c r="N674" s="539"/>
    </row>
    <row r="675" spans="2:14" s="1" customFormat="1" ht="30" hidden="1" customHeight="1" x14ac:dyDescent="0.2">
      <c r="B675" s="517">
        <f>IF(AND('Expense Jrnl'!$G179&lt;&gt;"",'Expense Jrnl'!$C179&lt;&gt;""),1,0)</f>
        <v>0</v>
      </c>
      <c r="C675" s="517">
        <f>'Expense Jrnl'!$C179</f>
        <v>0</v>
      </c>
      <c r="D675" s="540">
        <f>'Expense Jrnl'!$D179</f>
        <v>0</v>
      </c>
      <c r="E675" s="1523">
        <f>'Expense Jrnl'!$F179</f>
        <v>0</v>
      </c>
      <c r="F675" s="1523"/>
      <c r="G675" s="519" t="str">
        <f>IF('Expense Jrnl'!$E179="","",'Expense Jrnl'!$E179)</f>
        <v/>
      </c>
      <c r="H675" s="518">
        <f>'Expense Jrnl'!H179</f>
        <v>0</v>
      </c>
      <c r="I675" s="518" t="str">
        <f t="shared" si="20"/>
        <v>0</v>
      </c>
      <c r="J675" s="520" t="b">
        <f t="shared" si="21"/>
        <v>0</v>
      </c>
      <c r="K675" s="541"/>
      <c r="L675" s="541">
        <f>'Expense Jrnl'!$G179</f>
        <v>0</v>
      </c>
      <c r="M675" s="523"/>
      <c r="N675" s="539"/>
    </row>
    <row r="676" spans="2:14" s="1" customFormat="1" ht="30" hidden="1" customHeight="1" x14ac:dyDescent="0.2">
      <c r="B676" s="517">
        <f>IF(AND('Expense Jrnl'!$G180&lt;&gt;"",'Expense Jrnl'!$C180&lt;&gt;""),1,0)</f>
        <v>0</v>
      </c>
      <c r="C676" s="517">
        <f>'Expense Jrnl'!$C180</f>
        <v>0</v>
      </c>
      <c r="D676" s="540">
        <f>'Expense Jrnl'!$D180</f>
        <v>0</v>
      </c>
      <c r="E676" s="1523">
        <f>'Expense Jrnl'!$F180</f>
        <v>0</v>
      </c>
      <c r="F676" s="1523"/>
      <c r="G676" s="519" t="str">
        <f>IF('Expense Jrnl'!$E180="","",'Expense Jrnl'!$E180)</f>
        <v/>
      </c>
      <c r="H676" s="518">
        <f>'Expense Jrnl'!H180</f>
        <v>0</v>
      </c>
      <c r="I676" s="518" t="str">
        <f t="shared" si="20"/>
        <v>0</v>
      </c>
      <c r="J676" s="520" t="b">
        <f t="shared" si="21"/>
        <v>0</v>
      </c>
      <c r="K676" s="541"/>
      <c r="L676" s="541">
        <f>'Expense Jrnl'!$G180</f>
        <v>0</v>
      </c>
      <c r="M676" s="523"/>
      <c r="N676" s="539"/>
    </row>
    <row r="677" spans="2:14" s="1" customFormat="1" ht="30" hidden="1" customHeight="1" x14ac:dyDescent="0.2">
      <c r="B677" s="517">
        <f>IF(AND('Expense Jrnl'!$G181&lt;&gt;"",'Expense Jrnl'!$C181&lt;&gt;""),1,0)</f>
        <v>0</v>
      </c>
      <c r="C677" s="517">
        <f>'Expense Jrnl'!$C181</f>
        <v>0</v>
      </c>
      <c r="D677" s="540">
        <f>'Expense Jrnl'!$D181</f>
        <v>0</v>
      </c>
      <c r="E677" s="1523">
        <f>'Expense Jrnl'!$F181</f>
        <v>0</v>
      </c>
      <c r="F677" s="1523"/>
      <c r="G677" s="519" t="str">
        <f>IF('Expense Jrnl'!$E181="","",'Expense Jrnl'!$E181)</f>
        <v/>
      </c>
      <c r="H677" s="518">
        <f>'Expense Jrnl'!H181</f>
        <v>0</v>
      </c>
      <c r="I677" s="518" t="str">
        <f t="shared" si="20"/>
        <v>0</v>
      </c>
      <c r="J677" s="520" t="b">
        <f t="shared" si="21"/>
        <v>0</v>
      </c>
      <c r="K677" s="541"/>
      <c r="L677" s="541">
        <f>'Expense Jrnl'!$G181</f>
        <v>0</v>
      </c>
      <c r="M677" s="523"/>
      <c r="N677" s="539"/>
    </row>
    <row r="678" spans="2:14" s="1" customFormat="1" ht="30" hidden="1" customHeight="1" x14ac:dyDescent="0.2">
      <c r="B678" s="517">
        <f>IF(AND('Expense Jrnl'!$G182&lt;&gt;"",'Expense Jrnl'!$C182&lt;&gt;""),1,0)</f>
        <v>0</v>
      </c>
      <c r="C678" s="517">
        <f>'Expense Jrnl'!$C182</f>
        <v>0</v>
      </c>
      <c r="D678" s="540">
        <f>'Expense Jrnl'!$D182</f>
        <v>0</v>
      </c>
      <c r="E678" s="1523">
        <f>'Expense Jrnl'!$F182</f>
        <v>0</v>
      </c>
      <c r="F678" s="1523"/>
      <c r="G678" s="519" t="str">
        <f>IF('Expense Jrnl'!$E182="","",'Expense Jrnl'!$E182)</f>
        <v/>
      </c>
      <c r="H678" s="518">
        <f>'Expense Jrnl'!H182</f>
        <v>0</v>
      </c>
      <c r="I678" s="518" t="str">
        <f t="shared" si="20"/>
        <v>0</v>
      </c>
      <c r="J678" s="520" t="b">
        <f t="shared" si="21"/>
        <v>0</v>
      </c>
      <c r="K678" s="541"/>
      <c r="L678" s="541">
        <f>'Expense Jrnl'!$G182</f>
        <v>0</v>
      </c>
      <c r="M678" s="523"/>
      <c r="N678" s="539"/>
    </row>
    <row r="679" spans="2:14" s="1" customFormat="1" ht="30" hidden="1" customHeight="1" x14ac:dyDescent="0.2">
      <c r="B679" s="517">
        <f>IF(AND('Expense Jrnl'!$G183&lt;&gt;"",'Expense Jrnl'!$C183&lt;&gt;""),1,0)</f>
        <v>0</v>
      </c>
      <c r="C679" s="517">
        <f>'Expense Jrnl'!$C183</f>
        <v>0</v>
      </c>
      <c r="D679" s="540">
        <f>'Expense Jrnl'!$D183</f>
        <v>0</v>
      </c>
      <c r="E679" s="1523">
        <f>'Expense Jrnl'!$F183</f>
        <v>0</v>
      </c>
      <c r="F679" s="1523"/>
      <c r="G679" s="519" t="str">
        <f>IF('Expense Jrnl'!$E183="","",'Expense Jrnl'!$E183)</f>
        <v/>
      </c>
      <c r="H679" s="518">
        <f>'Expense Jrnl'!H183</f>
        <v>0</v>
      </c>
      <c r="I679" s="518" t="str">
        <f t="shared" si="20"/>
        <v>0</v>
      </c>
      <c r="J679" s="520" t="b">
        <f t="shared" si="21"/>
        <v>0</v>
      </c>
      <c r="K679" s="541"/>
      <c r="L679" s="541">
        <f>'Expense Jrnl'!$G183</f>
        <v>0</v>
      </c>
      <c r="M679" s="523"/>
      <c r="N679" s="539"/>
    </row>
    <row r="680" spans="2:14" s="1" customFormat="1" ht="30" hidden="1" customHeight="1" x14ac:dyDescent="0.2">
      <c r="B680" s="517">
        <f>IF(AND('Expense Jrnl'!$G184&lt;&gt;"",'Expense Jrnl'!$C184&lt;&gt;""),1,0)</f>
        <v>0</v>
      </c>
      <c r="C680" s="517">
        <f>'Expense Jrnl'!$C184</f>
        <v>0</v>
      </c>
      <c r="D680" s="540">
        <f>'Expense Jrnl'!$D184</f>
        <v>0</v>
      </c>
      <c r="E680" s="1523">
        <f>'Expense Jrnl'!$F184</f>
        <v>0</v>
      </c>
      <c r="F680" s="1523"/>
      <c r="G680" s="519" t="str">
        <f>IF('Expense Jrnl'!$E184="","",'Expense Jrnl'!$E184)</f>
        <v/>
      </c>
      <c r="H680" s="518">
        <f>'Expense Jrnl'!H184</f>
        <v>0</v>
      </c>
      <c r="I680" s="518" t="str">
        <f t="shared" si="20"/>
        <v>0</v>
      </c>
      <c r="J680" s="520" t="b">
        <f t="shared" si="21"/>
        <v>0</v>
      </c>
      <c r="K680" s="541"/>
      <c r="L680" s="541">
        <f>'Expense Jrnl'!$G184</f>
        <v>0</v>
      </c>
      <c r="M680" s="523"/>
      <c r="N680" s="539"/>
    </row>
    <row r="681" spans="2:14" s="1" customFormat="1" ht="30" hidden="1" customHeight="1" x14ac:dyDescent="0.2">
      <c r="B681" s="517">
        <f>IF(AND('Expense Jrnl'!$G185&lt;&gt;"",'Expense Jrnl'!$C185&lt;&gt;""),1,0)</f>
        <v>0</v>
      </c>
      <c r="C681" s="517">
        <f>'Expense Jrnl'!$C185</f>
        <v>0</v>
      </c>
      <c r="D681" s="540">
        <f>'Expense Jrnl'!$D185</f>
        <v>0</v>
      </c>
      <c r="E681" s="1523">
        <f>'Expense Jrnl'!$F185</f>
        <v>0</v>
      </c>
      <c r="F681" s="1523"/>
      <c r="G681" s="519" t="str">
        <f>IF('Expense Jrnl'!$E185="","",'Expense Jrnl'!$E185)</f>
        <v/>
      </c>
      <c r="H681" s="518">
        <f>'Expense Jrnl'!H185</f>
        <v>0</v>
      </c>
      <c r="I681" s="518" t="str">
        <f t="shared" si="20"/>
        <v>0</v>
      </c>
      <c r="J681" s="520" t="b">
        <f t="shared" si="21"/>
        <v>0</v>
      </c>
      <c r="K681" s="541"/>
      <c r="L681" s="541">
        <f>'Expense Jrnl'!$G185</f>
        <v>0</v>
      </c>
      <c r="M681" s="523"/>
      <c r="N681" s="539"/>
    </row>
    <row r="682" spans="2:14" s="1" customFormat="1" ht="30" hidden="1" customHeight="1" x14ac:dyDescent="0.2">
      <c r="B682" s="517">
        <f>IF(AND('Expense Jrnl'!$G186&lt;&gt;"",'Expense Jrnl'!$C186&lt;&gt;""),1,0)</f>
        <v>0</v>
      </c>
      <c r="C682" s="517">
        <f>'Expense Jrnl'!$C186</f>
        <v>0</v>
      </c>
      <c r="D682" s="540">
        <f>'Expense Jrnl'!$D186</f>
        <v>0</v>
      </c>
      <c r="E682" s="1523">
        <f>'Expense Jrnl'!$F186</f>
        <v>0</v>
      </c>
      <c r="F682" s="1523"/>
      <c r="G682" s="519" t="str">
        <f>IF('Expense Jrnl'!$E186="","",'Expense Jrnl'!$E186)</f>
        <v/>
      </c>
      <c r="H682" s="518">
        <f>'Expense Jrnl'!H186</f>
        <v>0</v>
      </c>
      <c r="I682" s="518" t="str">
        <f t="shared" si="20"/>
        <v>0</v>
      </c>
      <c r="J682" s="520" t="b">
        <f t="shared" si="21"/>
        <v>0</v>
      </c>
      <c r="K682" s="541"/>
      <c r="L682" s="541">
        <f>'Expense Jrnl'!$G186</f>
        <v>0</v>
      </c>
      <c r="M682" s="523"/>
      <c r="N682" s="539"/>
    </row>
    <row r="683" spans="2:14" s="1" customFormat="1" ht="30" hidden="1" customHeight="1" x14ac:dyDescent="0.2">
      <c r="B683" s="517">
        <f>IF(AND('Expense Jrnl'!$G187&lt;&gt;"",'Expense Jrnl'!$C187&lt;&gt;""),1,0)</f>
        <v>0</v>
      </c>
      <c r="C683" s="517">
        <f>'Expense Jrnl'!$C187</f>
        <v>0</v>
      </c>
      <c r="D683" s="540">
        <f>'Expense Jrnl'!$D187</f>
        <v>0</v>
      </c>
      <c r="E683" s="1523">
        <f>'Expense Jrnl'!$F187</f>
        <v>0</v>
      </c>
      <c r="F683" s="1523"/>
      <c r="G683" s="519" t="str">
        <f>IF('Expense Jrnl'!$E187="","",'Expense Jrnl'!$E187)</f>
        <v/>
      </c>
      <c r="H683" s="518">
        <f>'Expense Jrnl'!H187</f>
        <v>0</v>
      </c>
      <c r="I683" s="518" t="str">
        <f t="shared" si="20"/>
        <v>0</v>
      </c>
      <c r="J683" s="520" t="b">
        <f t="shared" si="21"/>
        <v>0</v>
      </c>
      <c r="K683" s="541"/>
      <c r="L683" s="541">
        <f>'Expense Jrnl'!$G187</f>
        <v>0</v>
      </c>
      <c r="M683" s="523"/>
      <c r="N683" s="539"/>
    </row>
    <row r="684" spans="2:14" s="1" customFormat="1" ht="30" hidden="1" customHeight="1" x14ac:dyDescent="0.2">
      <c r="B684" s="517">
        <f>IF(AND('Expense Jrnl'!$G188&lt;&gt;"",'Expense Jrnl'!$C188&lt;&gt;""),1,0)</f>
        <v>0</v>
      </c>
      <c r="C684" s="517">
        <f>'Expense Jrnl'!$C188</f>
        <v>0</v>
      </c>
      <c r="D684" s="540">
        <f>'Expense Jrnl'!$D188</f>
        <v>0</v>
      </c>
      <c r="E684" s="1523">
        <f>'Expense Jrnl'!$F188</f>
        <v>0</v>
      </c>
      <c r="F684" s="1523"/>
      <c r="G684" s="519" t="str">
        <f>IF('Expense Jrnl'!$E188="","",'Expense Jrnl'!$E188)</f>
        <v/>
      </c>
      <c r="H684" s="518">
        <f>'Expense Jrnl'!H188</f>
        <v>0</v>
      </c>
      <c r="I684" s="518" t="str">
        <f t="shared" si="20"/>
        <v>0</v>
      </c>
      <c r="J684" s="520" t="b">
        <f t="shared" si="21"/>
        <v>0</v>
      </c>
      <c r="K684" s="541"/>
      <c r="L684" s="541">
        <f>'Expense Jrnl'!$G188</f>
        <v>0</v>
      </c>
      <c r="M684" s="523"/>
      <c r="N684" s="539"/>
    </row>
    <row r="685" spans="2:14" s="1" customFormat="1" ht="30" hidden="1" customHeight="1" x14ac:dyDescent="0.2">
      <c r="B685" s="517">
        <f>IF(AND('Expense Jrnl'!$G189&lt;&gt;"",'Expense Jrnl'!$C189&lt;&gt;""),1,0)</f>
        <v>0</v>
      </c>
      <c r="C685" s="517">
        <f>'Expense Jrnl'!$C189</f>
        <v>0</v>
      </c>
      <c r="D685" s="540">
        <f>'Expense Jrnl'!$D189</f>
        <v>0</v>
      </c>
      <c r="E685" s="1523">
        <f>'Expense Jrnl'!$F189</f>
        <v>0</v>
      </c>
      <c r="F685" s="1523"/>
      <c r="G685" s="519" t="str">
        <f>IF('Expense Jrnl'!$E189="","",'Expense Jrnl'!$E189)</f>
        <v/>
      </c>
      <c r="H685" s="518">
        <f>'Expense Jrnl'!H189</f>
        <v>0</v>
      </c>
      <c r="I685" s="518" t="str">
        <f t="shared" si="20"/>
        <v>0</v>
      </c>
      <c r="J685" s="520" t="b">
        <f t="shared" si="21"/>
        <v>0</v>
      </c>
      <c r="K685" s="541"/>
      <c r="L685" s="541">
        <f>'Expense Jrnl'!$G189</f>
        <v>0</v>
      </c>
      <c r="M685" s="523"/>
      <c r="N685" s="539"/>
    </row>
    <row r="686" spans="2:14" s="1" customFormat="1" ht="30" hidden="1" customHeight="1" x14ac:dyDescent="0.2">
      <c r="B686" s="517">
        <f>IF(AND('Expense Jrnl'!$G190&lt;&gt;"",'Expense Jrnl'!$C190&lt;&gt;""),1,0)</f>
        <v>0</v>
      </c>
      <c r="C686" s="517">
        <f>'Expense Jrnl'!$C190</f>
        <v>0</v>
      </c>
      <c r="D686" s="540">
        <f>'Expense Jrnl'!$D190</f>
        <v>0</v>
      </c>
      <c r="E686" s="1523">
        <f>'Expense Jrnl'!$F190</f>
        <v>0</v>
      </c>
      <c r="F686" s="1523"/>
      <c r="G686" s="519" t="str">
        <f>IF('Expense Jrnl'!$E190="","",'Expense Jrnl'!$E190)</f>
        <v/>
      </c>
      <c r="H686" s="518">
        <f>'Expense Jrnl'!H190</f>
        <v>0</v>
      </c>
      <c r="I686" s="518" t="str">
        <f t="shared" si="20"/>
        <v>0</v>
      </c>
      <c r="J686" s="520" t="b">
        <f t="shared" si="21"/>
        <v>0</v>
      </c>
      <c r="K686" s="541"/>
      <c r="L686" s="541">
        <f>'Expense Jrnl'!$G190</f>
        <v>0</v>
      </c>
      <c r="M686" s="523"/>
      <c r="N686" s="539"/>
    </row>
    <row r="687" spans="2:14" s="1" customFormat="1" ht="30" hidden="1" customHeight="1" x14ac:dyDescent="0.2">
      <c r="B687" s="517">
        <f>IF(AND('Expense Jrnl'!$G191&lt;&gt;"",'Expense Jrnl'!$C191&lt;&gt;""),1,0)</f>
        <v>0</v>
      </c>
      <c r="C687" s="517">
        <f>'Expense Jrnl'!$C191</f>
        <v>0</v>
      </c>
      <c r="D687" s="540">
        <f>'Expense Jrnl'!$D191</f>
        <v>0</v>
      </c>
      <c r="E687" s="1523">
        <f>'Expense Jrnl'!$F191</f>
        <v>0</v>
      </c>
      <c r="F687" s="1523"/>
      <c r="G687" s="519" t="str">
        <f>IF('Expense Jrnl'!$E191="","",'Expense Jrnl'!$E191)</f>
        <v/>
      </c>
      <c r="H687" s="518">
        <f>'Expense Jrnl'!H191</f>
        <v>0</v>
      </c>
      <c r="I687" s="518" t="str">
        <f t="shared" si="20"/>
        <v>0</v>
      </c>
      <c r="J687" s="520" t="b">
        <f t="shared" si="21"/>
        <v>0</v>
      </c>
      <c r="K687" s="541"/>
      <c r="L687" s="541">
        <f>'Expense Jrnl'!$G191</f>
        <v>0</v>
      </c>
      <c r="M687" s="523"/>
      <c r="N687" s="539"/>
    </row>
    <row r="688" spans="2:14" s="1" customFormat="1" ht="30" hidden="1" customHeight="1" x14ac:dyDescent="0.2">
      <c r="B688" s="517">
        <f>IF(AND('Expense Jrnl'!$G192&lt;&gt;"",'Expense Jrnl'!$C192&lt;&gt;""),1,0)</f>
        <v>0</v>
      </c>
      <c r="C688" s="517">
        <f>'Expense Jrnl'!$C192</f>
        <v>0</v>
      </c>
      <c r="D688" s="540">
        <f>'Expense Jrnl'!$D192</f>
        <v>0</v>
      </c>
      <c r="E688" s="1523">
        <f>'Expense Jrnl'!$F192</f>
        <v>0</v>
      </c>
      <c r="F688" s="1523"/>
      <c r="G688" s="519" t="str">
        <f>IF('Expense Jrnl'!$E192="","",'Expense Jrnl'!$E192)</f>
        <v/>
      </c>
      <c r="H688" s="518">
        <f>'Expense Jrnl'!H192</f>
        <v>0</v>
      </c>
      <c r="I688" s="518" t="str">
        <f t="shared" si="20"/>
        <v>0</v>
      </c>
      <c r="J688" s="520" t="b">
        <f t="shared" si="21"/>
        <v>0</v>
      </c>
      <c r="K688" s="541"/>
      <c r="L688" s="541">
        <f>'Expense Jrnl'!$G192</f>
        <v>0</v>
      </c>
      <c r="M688" s="523"/>
      <c r="N688" s="539"/>
    </row>
    <row r="689" spans="2:14" s="1" customFormat="1" ht="30" hidden="1" customHeight="1" x14ac:dyDescent="0.2">
      <c r="B689" s="517">
        <f>IF(AND('Expense Jrnl'!$G193&lt;&gt;"",'Expense Jrnl'!$C193&lt;&gt;""),1,0)</f>
        <v>0</v>
      </c>
      <c r="C689" s="517">
        <f>'Expense Jrnl'!$C193</f>
        <v>0</v>
      </c>
      <c r="D689" s="540">
        <f>'Expense Jrnl'!$D193</f>
        <v>0</v>
      </c>
      <c r="E689" s="1523">
        <f>'Expense Jrnl'!$F193</f>
        <v>0</v>
      </c>
      <c r="F689" s="1523"/>
      <c r="G689" s="519" t="str">
        <f>IF('Expense Jrnl'!$E193="","",'Expense Jrnl'!$E193)</f>
        <v/>
      </c>
      <c r="H689" s="518">
        <f>'Expense Jrnl'!H193</f>
        <v>0</v>
      </c>
      <c r="I689" s="518" t="str">
        <f t="shared" si="20"/>
        <v>0</v>
      </c>
      <c r="J689" s="520" t="b">
        <f t="shared" si="21"/>
        <v>0</v>
      </c>
      <c r="K689" s="541"/>
      <c r="L689" s="541">
        <f>'Expense Jrnl'!$G193</f>
        <v>0</v>
      </c>
      <c r="M689" s="523"/>
      <c r="N689" s="539"/>
    </row>
    <row r="690" spans="2:14" s="1" customFormat="1" ht="30" hidden="1" customHeight="1" x14ac:dyDescent="0.2">
      <c r="B690" s="517">
        <f>IF(AND('Expense Jrnl'!$G194&lt;&gt;"",'Expense Jrnl'!$C194&lt;&gt;""),1,0)</f>
        <v>0</v>
      </c>
      <c r="C690" s="517">
        <f>'Expense Jrnl'!$C194</f>
        <v>0</v>
      </c>
      <c r="D690" s="540">
        <f>'Expense Jrnl'!$D194</f>
        <v>0</v>
      </c>
      <c r="E690" s="1523">
        <f>'Expense Jrnl'!$F194</f>
        <v>0</v>
      </c>
      <c r="F690" s="1523"/>
      <c r="G690" s="519" t="str">
        <f>IF('Expense Jrnl'!$E194="","",'Expense Jrnl'!$E194)</f>
        <v/>
      </c>
      <c r="H690" s="518">
        <f>'Expense Jrnl'!H194</f>
        <v>0</v>
      </c>
      <c r="I690" s="518" t="str">
        <f t="shared" si="20"/>
        <v>0</v>
      </c>
      <c r="J690" s="520" t="b">
        <f t="shared" si="21"/>
        <v>0</v>
      </c>
      <c r="K690" s="541"/>
      <c r="L690" s="541">
        <f>'Expense Jrnl'!$G194</f>
        <v>0</v>
      </c>
      <c r="M690" s="523"/>
      <c r="N690" s="539"/>
    </row>
    <row r="691" spans="2:14" s="1" customFormat="1" ht="30" hidden="1" customHeight="1" x14ac:dyDescent="0.2">
      <c r="B691" s="517">
        <f>IF(AND('Expense Jrnl'!$G195&lt;&gt;"",'Expense Jrnl'!$C195&lt;&gt;""),1,0)</f>
        <v>0</v>
      </c>
      <c r="C691" s="517">
        <f>'Expense Jrnl'!$C195</f>
        <v>0</v>
      </c>
      <c r="D691" s="540">
        <f>'Expense Jrnl'!$D195</f>
        <v>0</v>
      </c>
      <c r="E691" s="1523">
        <f>'Expense Jrnl'!$F195</f>
        <v>0</v>
      </c>
      <c r="F691" s="1523"/>
      <c r="G691" s="519" t="str">
        <f>IF('Expense Jrnl'!$E195="","",'Expense Jrnl'!$E195)</f>
        <v/>
      </c>
      <c r="H691" s="518">
        <f>'Expense Jrnl'!H195</f>
        <v>0</v>
      </c>
      <c r="I691" s="518" t="str">
        <f t="shared" si="20"/>
        <v>0</v>
      </c>
      <c r="J691" s="520" t="b">
        <f t="shared" si="21"/>
        <v>0</v>
      </c>
      <c r="K691" s="541"/>
      <c r="L691" s="541">
        <f>'Expense Jrnl'!$G195</f>
        <v>0</v>
      </c>
      <c r="M691" s="523"/>
      <c r="N691" s="539"/>
    </row>
    <row r="692" spans="2:14" s="1" customFormat="1" ht="30" hidden="1" customHeight="1" x14ac:dyDescent="0.2">
      <c r="B692" s="517">
        <f>IF(AND('Expense Jrnl'!$G196&lt;&gt;"",'Expense Jrnl'!$C196&lt;&gt;""),1,0)</f>
        <v>0</v>
      </c>
      <c r="C692" s="517">
        <f>'Expense Jrnl'!$C196</f>
        <v>0</v>
      </c>
      <c r="D692" s="540">
        <f>'Expense Jrnl'!$D196</f>
        <v>0</v>
      </c>
      <c r="E692" s="1523">
        <f>'Expense Jrnl'!$F196</f>
        <v>0</v>
      </c>
      <c r="F692" s="1523"/>
      <c r="G692" s="519" t="str">
        <f>IF('Expense Jrnl'!$E196="","",'Expense Jrnl'!$E196)</f>
        <v/>
      </c>
      <c r="H692" s="518">
        <f>'Expense Jrnl'!H196</f>
        <v>0</v>
      </c>
      <c r="I692" s="518" t="str">
        <f t="shared" si="20"/>
        <v>0</v>
      </c>
      <c r="J692" s="520" t="b">
        <f t="shared" si="21"/>
        <v>0</v>
      </c>
      <c r="K692" s="541"/>
      <c r="L692" s="541">
        <f>'Expense Jrnl'!$G196</f>
        <v>0</v>
      </c>
      <c r="M692" s="523"/>
      <c r="N692" s="539"/>
    </row>
    <row r="693" spans="2:14" s="1" customFormat="1" ht="30" hidden="1" customHeight="1" x14ac:dyDescent="0.2">
      <c r="B693" s="517">
        <f>IF(AND('Expense Jrnl'!$G197&lt;&gt;"",'Expense Jrnl'!$C197&lt;&gt;""),1,0)</f>
        <v>0</v>
      </c>
      <c r="C693" s="517">
        <f>'Expense Jrnl'!$C197</f>
        <v>0</v>
      </c>
      <c r="D693" s="540">
        <f>'Expense Jrnl'!$D197</f>
        <v>0</v>
      </c>
      <c r="E693" s="1523">
        <f>'Expense Jrnl'!$F197</f>
        <v>0</v>
      </c>
      <c r="F693" s="1523"/>
      <c r="G693" s="519" t="str">
        <f>IF('Expense Jrnl'!$E197="","",'Expense Jrnl'!$E197)</f>
        <v/>
      </c>
      <c r="H693" s="518">
        <f>'Expense Jrnl'!H197</f>
        <v>0</v>
      </c>
      <c r="I693" s="518" t="str">
        <f t="shared" si="20"/>
        <v>0</v>
      </c>
      <c r="J693" s="520" t="b">
        <f t="shared" si="21"/>
        <v>0</v>
      </c>
      <c r="K693" s="541"/>
      <c r="L693" s="541">
        <f>'Expense Jrnl'!$G197</f>
        <v>0</v>
      </c>
      <c r="M693" s="523"/>
      <c r="N693" s="539"/>
    </row>
    <row r="694" spans="2:14" s="1" customFormat="1" ht="30" hidden="1" customHeight="1" x14ac:dyDescent="0.2">
      <c r="B694" s="517">
        <f>IF(AND('Expense Jrnl'!$G198&lt;&gt;"",'Expense Jrnl'!$C198&lt;&gt;""),1,0)</f>
        <v>0</v>
      </c>
      <c r="C694" s="517">
        <f>'Expense Jrnl'!$C198</f>
        <v>0</v>
      </c>
      <c r="D694" s="540">
        <f>'Expense Jrnl'!$D198</f>
        <v>0</v>
      </c>
      <c r="E694" s="1523">
        <f>'Expense Jrnl'!$F198</f>
        <v>0</v>
      </c>
      <c r="F694" s="1523"/>
      <c r="G694" s="519" t="str">
        <f>IF('Expense Jrnl'!$E198="","",'Expense Jrnl'!$E198)</f>
        <v/>
      </c>
      <c r="H694" s="518">
        <f>'Expense Jrnl'!H198</f>
        <v>0</v>
      </c>
      <c r="I694" s="518" t="str">
        <f t="shared" si="20"/>
        <v>0</v>
      </c>
      <c r="J694" s="520" t="b">
        <f t="shared" si="21"/>
        <v>0</v>
      </c>
      <c r="K694" s="541"/>
      <c r="L694" s="541">
        <f>'Expense Jrnl'!$G198</f>
        <v>0</v>
      </c>
      <c r="M694" s="523"/>
      <c r="N694" s="539"/>
    </row>
    <row r="695" spans="2:14" s="1" customFormat="1" ht="30" hidden="1" customHeight="1" x14ac:dyDescent="0.2">
      <c r="B695" s="517">
        <f>IF(AND('Expense Jrnl'!$G199&lt;&gt;"",'Expense Jrnl'!$C199&lt;&gt;""),1,0)</f>
        <v>0</v>
      </c>
      <c r="C695" s="517">
        <f>'Expense Jrnl'!$C199</f>
        <v>0</v>
      </c>
      <c r="D695" s="540">
        <f>'Expense Jrnl'!$D199</f>
        <v>0</v>
      </c>
      <c r="E695" s="1523">
        <f>'Expense Jrnl'!$F199</f>
        <v>0</v>
      </c>
      <c r="F695" s="1523"/>
      <c r="G695" s="519" t="str">
        <f>IF('Expense Jrnl'!$E199="","",'Expense Jrnl'!$E199)</f>
        <v/>
      </c>
      <c r="H695" s="518">
        <f>'Expense Jrnl'!H199</f>
        <v>0</v>
      </c>
      <c r="I695" s="518" t="str">
        <f t="shared" si="20"/>
        <v>0</v>
      </c>
      <c r="J695" s="520" t="b">
        <f t="shared" si="21"/>
        <v>0</v>
      </c>
      <c r="K695" s="541"/>
      <c r="L695" s="541">
        <f>'Expense Jrnl'!$G199</f>
        <v>0</v>
      </c>
      <c r="M695" s="523"/>
      <c r="N695" s="539"/>
    </row>
    <row r="696" spans="2:14" s="1" customFormat="1" ht="30" hidden="1" customHeight="1" x14ac:dyDescent="0.2">
      <c r="B696" s="517">
        <f>IF(AND('Expense Jrnl'!$G200&lt;&gt;"",'Expense Jrnl'!$C200&lt;&gt;""),1,0)</f>
        <v>0</v>
      </c>
      <c r="C696" s="517">
        <f>'Expense Jrnl'!$C200</f>
        <v>0</v>
      </c>
      <c r="D696" s="540">
        <f>'Expense Jrnl'!$D200</f>
        <v>0</v>
      </c>
      <c r="E696" s="1523">
        <f>'Expense Jrnl'!$F200</f>
        <v>0</v>
      </c>
      <c r="F696" s="1523"/>
      <c r="G696" s="519" t="str">
        <f>IF('Expense Jrnl'!$E200="","",'Expense Jrnl'!$E200)</f>
        <v/>
      </c>
      <c r="H696" s="518">
        <f>'Expense Jrnl'!H200</f>
        <v>0</v>
      </c>
      <c r="I696" s="518" t="str">
        <f t="shared" si="20"/>
        <v>0</v>
      </c>
      <c r="J696" s="520" t="b">
        <f t="shared" si="21"/>
        <v>0</v>
      </c>
      <c r="K696" s="541"/>
      <c r="L696" s="541">
        <f>'Expense Jrnl'!$G200</f>
        <v>0</v>
      </c>
      <c r="M696" s="523"/>
      <c r="N696" s="539"/>
    </row>
    <row r="697" spans="2:14" s="1" customFormat="1" ht="30" hidden="1" customHeight="1" x14ac:dyDescent="0.2">
      <c r="B697" s="517">
        <f>IF(AND('Expense Jrnl'!$G201&lt;&gt;"",'Expense Jrnl'!$C201&lt;&gt;""),1,0)</f>
        <v>0</v>
      </c>
      <c r="C697" s="517">
        <f>'Expense Jrnl'!$C201</f>
        <v>0</v>
      </c>
      <c r="D697" s="540">
        <f>'Expense Jrnl'!$D201</f>
        <v>0</v>
      </c>
      <c r="E697" s="1523">
        <f>'Expense Jrnl'!$F201</f>
        <v>0</v>
      </c>
      <c r="F697" s="1523"/>
      <c r="G697" s="519" t="str">
        <f>IF('Expense Jrnl'!$E201="","",'Expense Jrnl'!$E201)</f>
        <v/>
      </c>
      <c r="H697" s="518">
        <f>'Expense Jrnl'!H201</f>
        <v>0</v>
      </c>
      <c r="I697" s="518" t="str">
        <f t="shared" si="20"/>
        <v>0</v>
      </c>
      <c r="J697" s="520" t="b">
        <f t="shared" si="21"/>
        <v>0</v>
      </c>
      <c r="K697" s="541"/>
      <c r="L697" s="541">
        <f>'Expense Jrnl'!$G201</f>
        <v>0</v>
      </c>
      <c r="M697" s="523"/>
      <c r="N697" s="539"/>
    </row>
    <row r="698" spans="2:14" s="1" customFormat="1" ht="30" hidden="1" customHeight="1" x14ac:dyDescent="0.2">
      <c r="B698" s="517">
        <f>IF(AND('Expense Jrnl'!$G202&lt;&gt;"",'Expense Jrnl'!$C202&lt;&gt;""),1,0)</f>
        <v>0</v>
      </c>
      <c r="C698" s="517">
        <f>'Expense Jrnl'!$C202</f>
        <v>0</v>
      </c>
      <c r="D698" s="540">
        <f>'Expense Jrnl'!$D202</f>
        <v>0</v>
      </c>
      <c r="E698" s="1523">
        <f>'Expense Jrnl'!$F202</f>
        <v>0</v>
      </c>
      <c r="F698" s="1523"/>
      <c r="G698" s="519" t="str">
        <f>IF('Expense Jrnl'!$E202="","",'Expense Jrnl'!$E202)</f>
        <v/>
      </c>
      <c r="H698" s="518">
        <f>'Expense Jrnl'!H202</f>
        <v>0</v>
      </c>
      <c r="I698" s="518" t="str">
        <f t="shared" si="20"/>
        <v>0</v>
      </c>
      <c r="J698" s="520" t="b">
        <f t="shared" si="21"/>
        <v>0</v>
      </c>
      <c r="K698" s="541"/>
      <c r="L698" s="541">
        <f>'Expense Jrnl'!$G202</f>
        <v>0</v>
      </c>
      <c r="M698" s="523"/>
      <c r="N698" s="539"/>
    </row>
    <row r="699" spans="2:14" s="1" customFormat="1" ht="30" hidden="1" customHeight="1" x14ac:dyDescent="0.2">
      <c r="B699" s="517">
        <f>IF(AND('Expense Jrnl'!$G203&lt;&gt;"",'Expense Jrnl'!$C203&lt;&gt;""),1,0)</f>
        <v>0</v>
      </c>
      <c r="C699" s="517">
        <f>'Expense Jrnl'!$C203</f>
        <v>0</v>
      </c>
      <c r="D699" s="540">
        <f>'Expense Jrnl'!$D203</f>
        <v>0</v>
      </c>
      <c r="E699" s="1523">
        <f>'Expense Jrnl'!$F203</f>
        <v>0</v>
      </c>
      <c r="F699" s="1523"/>
      <c r="G699" s="519" t="str">
        <f>IF('Expense Jrnl'!$E203="","",'Expense Jrnl'!$E203)</f>
        <v/>
      </c>
      <c r="H699" s="518">
        <f>'Expense Jrnl'!H203</f>
        <v>0</v>
      </c>
      <c r="I699" s="518" t="str">
        <f t="shared" si="20"/>
        <v>0</v>
      </c>
      <c r="J699" s="520" t="b">
        <f t="shared" si="21"/>
        <v>0</v>
      </c>
      <c r="K699" s="541"/>
      <c r="L699" s="541">
        <f>'Expense Jrnl'!$G203</f>
        <v>0</v>
      </c>
      <c r="M699" s="523"/>
      <c r="N699" s="539"/>
    </row>
    <row r="700" spans="2:14" s="1" customFormat="1" ht="30" hidden="1" customHeight="1" x14ac:dyDescent="0.2">
      <c r="B700" s="517">
        <f>IF(AND('Expense Jrnl'!$G204&lt;&gt;"",'Expense Jrnl'!$C204&lt;&gt;""),1,0)</f>
        <v>0</v>
      </c>
      <c r="C700" s="517">
        <f>'Expense Jrnl'!$C204</f>
        <v>0</v>
      </c>
      <c r="D700" s="540">
        <f>'Expense Jrnl'!$D204</f>
        <v>0</v>
      </c>
      <c r="E700" s="1523">
        <f>'Expense Jrnl'!$F204</f>
        <v>0</v>
      </c>
      <c r="F700" s="1523"/>
      <c r="G700" s="519" t="str">
        <f>IF('Expense Jrnl'!$E204="","",'Expense Jrnl'!$E204)</f>
        <v/>
      </c>
      <c r="H700" s="518">
        <f>'Expense Jrnl'!H204</f>
        <v>0</v>
      </c>
      <c r="I700" s="518" t="str">
        <f t="shared" si="20"/>
        <v>0</v>
      </c>
      <c r="J700" s="520" t="b">
        <f t="shared" si="21"/>
        <v>0</v>
      </c>
      <c r="K700" s="541"/>
      <c r="L700" s="541">
        <f>'Expense Jrnl'!$G204</f>
        <v>0</v>
      </c>
      <c r="M700" s="523"/>
      <c r="N700" s="539"/>
    </row>
    <row r="701" spans="2:14" s="1" customFormat="1" ht="30" hidden="1" customHeight="1" x14ac:dyDescent="0.2">
      <c r="B701" s="517">
        <f>IF(AND('Expense Jrnl'!$G205&lt;&gt;"",'Expense Jrnl'!$C205&lt;&gt;""),1,0)</f>
        <v>0</v>
      </c>
      <c r="C701" s="517">
        <f>'Expense Jrnl'!$C205</f>
        <v>0</v>
      </c>
      <c r="D701" s="540">
        <f>'Expense Jrnl'!$D205</f>
        <v>0</v>
      </c>
      <c r="E701" s="1523">
        <f>'Expense Jrnl'!$F205</f>
        <v>0</v>
      </c>
      <c r="F701" s="1523"/>
      <c r="G701" s="519" t="str">
        <f>IF('Expense Jrnl'!$E205="","",'Expense Jrnl'!$E205)</f>
        <v/>
      </c>
      <c r="H701" s="518">
        <f>'Expense Jrnl'!H205</f>
        <v>0</v>
      </c>
      <c r="I701" s="518" t="str">
        <f t="shared" si="20"/>
        <v>0</v>
      </c>
      <c r="J701" s="520" t="b">
        <f t="shared" si="21"/>
        <v>0</v>
      </c>
      <c r="K701" s="541"/>
      <c r="L701" s="541">
        <f>'Expense Jrnl'!$G205</f>
        <v>0</v>
      </c>
      <c r="M701" s="523"/>
      <c r="N701" s="539"/>
    </row>
    <row r="702" spans="2:14" s="1" customFormat="1" ht="30" hidden="1" customHeight="1" x14ac:dyDescent="0.2">
      <c r="B702" s="517">
        <f>IF(AND('Expense Jrnl'!$G206&lt;&gt;"",'Expense Jrnl'!$C206&lt;&gt;""),1,0)</f>
        <v>0</v>
      </c>
      <c r="C702" s="517">
        <f>'Expense Jrnl'!$C206</f>
        <v>0</v>
      </c>
      <c r="D702" s="540">
        <f>'Expense Jrnl'!$D206</f>
        <v>0</v>
      </c>
      <c r="E702" s="1523">
        <f>'Expense Jrnl'!$F206</f>
        <v>0</v>
      </c>
      <c r="F702" s="1523"/>
      <c r="G702" s="519" t="str">
        <f>IF('Expense Jrnl'!$E206="","",'Expense Jrnl'!$E206)</f>
        <v/>
      </c>
      <c r="H702" s="518">
        <f>'Expense Jrnl'!H206</f>
        <v>0</v>
      </c>
      <c r="I702" s="518" t="str">
        <f t="shared" si="20"/>
        <v>0</v>
      </c>
      <c r="J702" s="520" t="b">
        <f t="shared" si="21"/>
        <v>0</v>
      </c>
      <c r="K702" s="541"/>
      <c r="L702" s="541">
        <f>'Expense Jrnl'!$G206</f>
        <v>0</v>
      </c>
      <c r="M702" s="523"/>
      <c r="N702" s="539"/>
    </row>
    <row r="703" spans="2:14" s="1" customFormat="1" ht="30" hidden="1" customHeight="1" x14ac:dyDescent="0.2">
      <c r="B703" s="517">
        <f>IF(AND('Expense Jrnl'!$G207&lt;&gt;"",'Expense Jrnl'!$C207&lt;&gt;""),1,0)</f>
        <v>0</v>
      </c>
      <c r="C703" s="517">
        <f>'Expense Jrnl'!$C207</f>
        <v>0</v>
      </c>
      <c r="D703" s="540">
        <f>'Expense Jrnl'!$D207</f>
        <v>0</v>
      </c>
      <c r="E703" s="1523">
        <f>'Expense Jrnl'!$F207</f>
        <v>0</v>
      </c>
      <c r="F703" s="1523"/>
      <c r="G703" s="519" t="str">
        <f>IF('Expense Jrnl'!$E207="","",'Expense Jrnl'!$E207)</f>
        <v/>
      </c>
      <c r="H703" s="518">
        <f>'Expense Jrnl'!H207</f>
        <v>0</v>
      </c>
      <c r="I703" s="518" t="str">
        <f t="shared" si="20"/>
        <v>0</v>
      </c>
      <c r="J703" s="520" t="b">
        <f t="shared" si="21"/>
        <v>0</v>
      </c>
      <c r="K703" s="541"/>
      <c r="L703" s="541">
        <f>'Expense Jrnl'!$G207</f>
        <v>0</v>
      </c>
      <c r="M703" s="523"/>
      <c r="N703" s="539"/>
    </row>
    <row r="704" spans="2:14" s="1" customFormat="1" ht="30" hidden="1" customHeight="1" x14ac:dyDescent="0.2">
      <c r="B704" s="517">
        <f>IF(AND('Expense Jrnl'!$G208&lt;&gt;"",'Expense Jrnl'!$C208&lt;&gt;""),1,0)</f>
        <v>0</v>
      </c>
      <c r="C704" s="517">
        <f>'Expense Jrnl'!$C208</f>
        <v>0</v>
      </c>
      <c r="D704" s="540">
        <f>'Expense Jrnl'!$D208</f>
        <v>0</v>
      </c>
      <c r="E704" s="1523">
        <f>'Expense Jrnl'!$F208</f>
        <v>0</v>
      </c>
      <c r="F704" s="1523"/>
      <c r="G704" s="519" t="str">
        <f>IF('Expense Jrnl'!$E208="","",'Expense Jrnl'!$E208)</f>
        <v/>
      </c>
      <c r="H704" s="518">
        <f>'Expense Jrnl'!H208</f>
        <v>0</v>
      </c>
      <c r="I704" s="518" t="str">
        <f t="shared" ref="I704:I767" si="22">LEFT(H704,4)</f>
        <v>0</v>
      </c>
      <c r="J704" s="520" t="b">
        <f t="shared" ref="J704:J767" si="23">IF(I704="1020",IF(G704&gt;=$E$3,IF(G704&lt;=$G$3,L704,0)))</f>
        <v>0</v>
      </c>
      <c r="K704" s="541"/>
      <c r="L704" s="541">
        <f>'Expense Jrnl'!$G208</f>
        <v>0</v>
      </c>
      <c r="M704" s="523"/>
      <c r="N704" s="539"/>
    </row>
    <row r="705" spans="2:14" s="1" customFormat="1" ht="30" hidden="1" customHeight="1" x14ac:dyDescent="0.2">
      <c r="B705" s="517">
        <f>IF(AND('Expense Jrnl'!$G209&lt;&gt;"",'Expense Jrnl'!$C209&lt;&gt;""),1,0)</f>
        <v>0</v>
      </c>
      <c r="C705" s="517">
        <f>'Expense Jrnl'!$C209</f>
        <v>0</v>
      </c>
      <c r="D705" s="540">
        <f>'Expense Jrnl'!$D209</f>
        <v>0</v>
      </c>
      <c r="E705" s="1523">
        <f>'Expense Jrnl'!$F209</f>
        <v>0</v>
      </c>
      <c r="F705" s="1523"/>
      <c r="G705" s="519" t="str">
        <f>IF('Expense Jrnl'!$E209="","",'Expense Jrnl'!$E209)</f>
        <v/>
      </c>
      <c r="H705" s="518">
        <f>'Expense Jrnl'!H209</f>
        <v>0</v>
      </c>
      <c r="I705" s="518" t="str">
        <f t="shared" si="22"/>
        <v>0</v>
      </c>
      <c r="J705" s="520" t="b">
        <f t="shared" si="23"/>
        <v>0</v>
      </c>
      <c r="K705" s="541"/>
      <c r="L705" s="541">
        <f>'Expense Jrnl'!$G209</f>
        <v>0</v>
      </c>
      <c r="M705" s="523"/>
      <c r="N705" s="539"/>
    </row>
    <row r="706" spans="2:14" s="1" customFormat="1" ht="30" hidden="1" customHeight="1" x14ac:dyDescent="0.2">
      <c r="B706" s="517">
        <f>IF(AND('Expense Jrnl'!$G210&lt;&gt;"",'Expense Jrnl'!$C210&lt;&gt;""),1,0)</f>
        <v>0</v>
      </c>
      <c r="C706" s="517">
        <f>'Expense Jrnl'!$C210</f>
        <v>0</v>
      </c>
      <c r="D706" s="540">
        <f>'Expense Jrnl'!$D210</f>
        <v>0</v>
      </c>
      <c r="E706" s="1523">
        <f>'Expense Jrnl'!$F210</f>
        <v>0</v>
      </c>
      <c r="F706" s="1523"/>
      <c r="G706" s="519" t="str">
        <f>IF('Expense Jrnl'!$E210="","",'Expense Jrnl'!$E210)</f>
        <v/>
      </c>
      <c r="H706" s="518">
        <f>'Expense Jrnl'!H210</f>
        <v>0</v>
      </c>
      <c r="I706" s="518" t="str">
        <f t="shared" si="22"/>
        <v>0</v>
      </c>
      <c r="J706" s="520" t="b">
        <f t="shared" si="23"/>
        <v>0</v>
      </c>
      <c r="K706" s="541"/>
      <c r="L706" s="541">
        <f>'Expense Jrnl'!$G210</f>
        <v>0</v>
      </c>
      <c r="M706" s="523"/>
      <c r="N706" s="539"/>
    </row>
    <row r="707" spans="2:14" s="1" customFormat="1" ht="30" hidden="1" customHeight="1" x14ac:dyDescent="0.2">
      <c r="B707" s="517">
        <f>IF(AND('Expense Jrnl'!$G211&lt;&gt;"",'Expense Jrnl'!$C211&lt;&gt;""),1,0)</f>
        <v>0</v>
      </c>
      <c r="C707" s="517">
        <f>'Expense Jrnl'!$C211</f>
        <v>0</v>
      </c>
      <c r="D707" s="540">
        <f>'Expense Jrnl'!$D211</f>
        <v>0</v>
      </c>
      <c r="E707" s="1523">
        <f>'Expense Jrnl'!$F211</f>
        <v>0</v>
      </c>
      <c r="F707" s="1523"/>
      <c r="G707" s="519" t="str">
        <f>IF('Expense Jrnl'!$E211="","",'Expense Jrnl'!$E211)</f>
        <v/>
      </c>
      <c r="H707" s="518">
        <f>'Expense Jrnl'!H211</f>
        <v>0</v>
      </c>
      <c r="I707" s="518" t="str">
        <f t="shared" si="22"/>
        <v>0</v>
      </c>
      <c r="J707" s="520" t="b">
        <f t="shared" si="23"/>
        <v>0</v>
      </c>
      <c r="K707" s="541"/>
      <c r="L707" s="541">
        <f>'Expense Jrnl'!$G211</f>
        <v>0</v>
      </c>
      <c r="M707" s="523"/>
      <c r="N707" s="539"/>
    </row>
    <row r="708" spans="2:14" s="1" customFormat="1" ht="30" hidden="1" customHeight="1" x14ac:dyDescent="0.2">
      <c r="B708" s="517">
        <f>IF(AND('Expense Jrnl'!$G212&lt;&gt;"",'Expense Jrnl'!$C212&lt;&gt;""),1,0)</f>
        <v>0</v>
      </c>
      <c r="C708" s="517">
        <f>'Expense Jrnl'!$C212</f>
        <v>0</v>
      </c>
      <c r="D708" s="540">
        <f>'Expense Jrnl'!$D212</f>
        <v>0</v>
      </c>
      <c r="E708" s="1523">
        <f>'Expense Jrnl'!$F212</f>
        <v>0</v>
      </c>
      <c r="F708" s="1523"/>
      <c r="G708" s="519" t="str">
        <f>IF('Expense Jrnl'!$E212="","",'Expense Jrnl'!$E212)</f>
        <v/>
      </c>
      <c r="H708" s="518">
        <f>'Expense Jrnl'!H212</f>
        <v>0</v>
      </c>
      <c r="I708" s="518" t="str">
        <f t="shared" si="22"/>
        <v>0</v>
      </c>
      <c r="J708" s="520" t="b">
        <f t="shared" si="23"/>
        <v>0</v>
      </c>
      <c r="K708" s="541"/>
      <c r="L708" s="541">
        <f>'Expense Jrnl'!$G212</f>
        <v>0</v>
      </c>
      <c r="M708" s="523"/>
      <c r="N708" s="539"/>
    </row>
    <row r="709" spans="2:14" s="1" customFormat="1" ht="30" hidden="1" customHeight="1" x14ac:dyDescent="0.2">
      <c r="B709" s="517">
        <f>IF(AND('Expense Jrnl'!$G213&lt;&gt;"",'Expense Jrnl'!$C213&lt;&gt;""),1,0)</f>
        <v>0</v>
      </c>
      <c r="C709" s="517">
        <f>'Expense Jrnl'!$C213</f>
        <v>0</v>
      </c>
      <c r="D709" s="540">
        <f>'Expense Jrnl'!$D213</f>
        <v>0</v>
      </c>
      <c r="E709" s="1523">
        <f>'Expense Jrnl'!$F213</f>
        <v>0</v>
      </c>
      <c r="F709" s="1523"/>
      <c r="G709" s="519" t="str">
        <f>IF('Expense Jrnl'!$E213="","",'Expense Jrnl'!$E213)</f>
        <v/>
      </c>
      <c r="H709" s="518">
        <f>'Expense Jrnl'!H213</f>
        <v>0</v>
      </c>
      <c r="I709" s="518" t="str">
        <f t="shared" si="22"/>
        <v>0</v>
      </c>
      <c r="J709" s="520" t="b">
        <f t="shared" si="23"/>
        <v>0</v>
      </c>
      <c r="K709" s="541"/>
      <c r="L709" s="541">
        <f>'Expense Jrnl'!$G213</f>
        <v>0</v>
      </c>
      <c r="M709" s="523"/>
      <c r="N709" s="539"/>
    </row>
    <row r="710" spans="2:14" s="1" customFormat="1" ht="30" hidden="1" customHeight="1" x14ac:dyDescent="0.2">
      <c r="B710" s="517">
        <f>IF(AND('Expense Jrnl'!$G214&lt;&gt;"",'Expense Jrnl'!$C214&lt;&gt;""),1,0)</f>
        <v>0</v>
      </c>
      <c r="C710" s="517">
        <f>'Expense Jrnl'!$C214</f>
        <v>0</v>
      </c>
      <c r="D710" s="540">
        <f>'Expense Jrnl'!$D214</f>
        <v>0</v>
      </c>
      <c r="E710" s="1523">
        <f>'Expense Jrnl'!$F214</f>
        <v>0</v>
      </c>
      <c r="F710" s="1523"/>
      <c r="G710" s="519" t="str">
        <f>IF('Expense Jrnl'!$E214="","",'Expense Jrnl'!$E214)</f>
        <v/>
      </c>
      <c r="H710" s="518">
        <f>'Expense Jrnl'!H214</f>
        <v>0</v>
      </c>
      <c r="I710" s="518" t="str">
        <f t="shared" si="22"/>
        <v>0</v>
      </c>
      <c r="J710" s="520" t="b">
        <f t="shared" si="23"/>
        <v>0</v>
      </c>
      <c r="K710" s="541"/>
      <c r="L710" s="541">
        <f>'Expense Jrnl'!$G214</f>
        <v>0</v>
      </c>
      <c r="M710" s="523"/>
      <c r="N710" s="539"/>
    </row>
    <row r="711" spans="2:14" s="1" customFormat="1" ht="30" hidden="1" customHeight="1" x14ac:dyDescent="0.2">
      <c r="B711" s="517">
        <f>IF(AND('Expense Jrnl'!$G215&lt;&gt;"",'Expense Jrnl'!$C215&lt;&gt;""),1,0)</f>
        <v>0</v>
      </c>
      <c r="C711" s="517">
        <f>'Expense Jrnl'!$C215</f>
        <v>0</v>
      </c>
      <c r="D711" s="540">
        <f>'Expense Jrnl'!$D215</f>
        <v>0</v>
      </c>
      <c r="E711" s="1523">
        <f>'Expense Jrnl'!$F215</f>
        <v>0</v>
      </c>
      <c r="F711" s="1523"/>
      <c r="G711" s="519" t="str">
        <f>IF('Expense Jrnl'!$E215="","",'Expense Jrnl'!$E215)</f>
        <v/>
      </c>
      <c r="H711" s="518">
        <f>'Expense Jrnl'!H215</f>
        <v>0</v>
      </c>
      <c r="I711" s="518" t="str">
        <f t="shared" si="22"/>
        <v>0</v>
      </c>
      <c r="J711" s="520" t="b">
        <f t="shared" si="23"/>
        <v>0</v>
      </c>
      <c r="K711" s="541"/>
      <c r="L711" s="541">
        <f>'Expense Jrnl'!$G215</f>
        <v>0</v>
      </c>
      <c r="M711" s="523"/>
      <c r="N711" s="539"/>
    </row>
    <row r="712" spans="2:14" s="1" customFormat="1" ht="30" hidden="1" customHeight="1" x14ac:dyDescent="0.2">
      <c r="B712" s="517">
        <f>IF(AND('Expense Jrnl'!$G216&lt;&gt;"",'Expense Jrnl'!$C216&lt;&gt;""),1,0)</f>
        <v>0</v>
      </c>
      <c r="C712" s="517">
        <f>'Expense Jrnl'!$C216</f>
        <v>0</v>
      </c>
      <c r="D712" s="540">
        <f>'Expense Jrnl'!$D216</f>
        <v>0</v>
      </c>
      <c r="E712" s="1523">
        <f>'Expense Jrnl'!$F216</f>
        <v>0</v>
      </c>
      <c r="F712" s="1523"/>
      <c r="G712" s="519" t="str">
        <f>IF('Expense Jrnl'!$E216="","",'Expense Jrnl'!$E216)</f>
        <v/>
      </c>
      <c r="H712" s="518">
        <f>'Expense Jrnl'!H216</f>
        <v>0</v>
      </c>
      <c r="I712" s="518" t="str">
        <f t="shared" si="22"/>
        <v>0</v>
      </c>
      <c r="J712" s="520" t="b">
        <f t="shared" si="23"/>
        <v>0</v>
      </c>
      <c r="K712" s="541"/>
      <c r="L712" s="541">
        <f>'Expense Jrnl'!$G216</f>
        <v>0</v>
      </c>
      <c r="M712" s="523"/>
      <c r="N712" s="539"/>
    </row>
    <row r="713" spans="2:14" s="1" customFormat="1" ht="30" hidden="1" customHeight="1" x14ac:dyDescent="0.2">
      <c r="B713" s="517">
        <f>IF(AND('Expense Jrnl'!$G217&lt;&gt;"",'Expense Jrnl'!$C217&lt;&gt;""),1,0)</f>
        <v>0</v>
      </c>
      <c r="C713" s="517">
        <f>'Expense Jrnl'!$C217</f>
        <v>0</v>
      </c>
      <c r="D713" s="540">
        <f>'Expense Jrnl'!$D217</f>
        <v>0</v>
      </c>
      <c r="E713" s="1523">
        <f>'Expense Jrnl'!$F217</f>
        <v>0</v>
      </c>
      <c r="F713" s="1523"/>
      <c r="G713" s="519" t="str">
        <f>IF('Expense Jrnl'!$E217="","",'Expense Jrnl'!$E217)</f>
        <v/>
      </c>
      <c r="H713" s="518">
        <f>'Expense Jrnl'!H217</f>
        <v>0</v>
      </c>
      <c r="I713" s="518" t="str">
        <f t="shared" si="22"/>
        <v>0</v>
      </c>
      <c r="J713" s="520" t="b">
        <f t="shared" si="23"/>
        <v>0</v>
      </c>
      <c r="K713" s="541"/>
      <c r="L713" s="541">
        <f>'Expense Jrnl'!$G217</f>
        <v>0</v>
      </c>
      <c r="M713" s="523"/>
      <c r="N713" s="539"/>
    </row>
    <row r="714" spans="2:14" s="1" customFormat="1" ht="30" hidden="1" customHeight="1" x14ac:dyDescent="0.2">
      <c r="B714" s="517">
        <f>IF(AND('Expense Jrnl'!$G218&lt;&gt;"",'Expense Jrnl'!$C218&lt;&gt;""),1,0)</f>
        <v>0</v>
      </c>
      <c r="C714" s="517">
        <f>'Expense Jrnl'!$C218</f>
        <v>0</v>
      </c>
      <c r="D714" s="540">
        <f>'Expense Jrnl'!$D218</f>
        <v>0</v>
      </c>
      <c r="E714" s="1523">
        <f>'Expense Jrnl'!$F218</f>
        <v>0</v>
      </c>
      <c r="F714" s="1523"/>
      <c r="G714" s="519" t="str">
        <f>IF('Expense Jrnl'!$E218="","",'Expense Jrnl'!$E218)</f>
        <v/>
      </c>
      <c r="H714" s="518">
        <f>'Expense Jrnl'!H218</f>
        <v>0</v>
      </c>
      <c r="I714" s="518" t="str">
        <f t="shared" si="22"/>
        <v>0</v>
      </c>
      <c r="J714" s="520" t="b">
        <f t="shared" si="23"/>
        <v>0</v>
      </c>
      <c r="K714" s="541"/>
      <c r="L714" s="541">
        <f>'Expense Jrnl'!$G218</f>
        <v>0</v>
      </c>
      <c r="M714" s="523"/>
      <c r="N714" s="539"/>
    </row>
    <row r="715" spans="2:14" s="1" customFormat="1" ht="30" hidden="1" customHeight="1" x14ac:dyDescent="0.2">
      <c r="B715" s="517">
        <f>IF(AND('Expense Jrnl'!$G219&lt;&gt;"",'Expense Jrnl'!$C219&lt;&gt;""),1,0)</f>
        <v>0</v>
      </c>
      <c r="C715" s="517">
        <f>'Expense Jrnl'!$C219</f>
        <v>0</v>
      </c>
      <c r="D715" s="540">
        <f>'Expense Jrnl'!$D219</f>
        <v>0</v>
      </c>
      <c r="E715" s="1523">
        <f>'Expense Jrnl'!$F219</f>
        <v>0</v>
      </c>
      <c r="F715" s="1523"/>
      <c r="G715" s="519" t="str">
        <f>IF('Expense Jrnl'!$E219="","",'Expense Jrnl'!$E219)</f>
        <v/>
      </c>
      <c r="H715" s="518">
        <f>'Expense Jrnl'!H219</f>
        <v>0</v>
      </c>
      <c r="I715" s="518" t="str">
        <f t="shared" si="22"/>
        <v>0</v>
      </c>
      <c r="J715" s="520" t="b">
        <f t="shared" si="23"/>
        <v>0</v>
      </c>
      <c r="K715" s="541"/>
      <c r="L715" s="541">
        <f>'Expense Jrnl'!$G219</f>
        <v>0</v>
      </c>
      <c r="M715" s="523"/>
      <c r="N715" s="539"/>
    </row>
    <row r="716" spans="2:14" s="1" customFormat="1" ht="30" hidden="1" customHeight="1" x14ac:dyDescent="0.2">
      <c r="B716" s="517">
        <f>IF(AND('Expense Jrnl'!$G220&lt;&gt;"",'Expense Jrnl'!$C220&lt;&gt;""),1,0)</f>
        <v>0</v>
      </c>
      <c r="C716" s="517">
        <f>'Expense Jrnl'!$C220</f>
        <v>0</v>
      </c>
      <c r="D716" s="540">
        <f>'Expense Jrnl'!$D220</f>
        <v>0</v>
      </c>
      <c r="E716" s="1523">
        <f>'Expense Jrnl'!$F220</f>
        <v>0</v>
      </c>
      <c r="F716" s="1523"/>
      <c r="G716" s="519" t="str">
        <f>IF('Expense Jrnl'!$E220="","",'Expense Jrnl'!$E220)</f>
        <v/>
      </c>
      <c r="H716" s="518">
        <f>'Expense Jrnl'!H220</f>
        <v>0</v>
      </c>
      <c r="I716" s="518" t="str">
        <f t="shared" si="22"/>
        <v>0</v>
      </c>
      <c r="J716" s="520" t="b">
        <f t="shared" si="23"/>
        <v>0</v>
      </c>
      <c r="K716" s="541"/>
      <c r="L716" s="541">
        <f>'Expense Jrnl'!$G220</f>
        <v>0</v>
      </c>
      <c r="M716" s="523"/>
      <c r="N716" s="539"/>
    </row>
    <row r="717" spans="2:14" s="1" customFormat="1" ht="30" hidden="1" customHeight="1" x14ac:dyDescent="0.2">
      <c r="B717" s="517">
        <f>IF(AND('Expense Jrnl'!$G221&lt;&gt;"",'Expense Jrnl'!$C221&lt;&gt;""),1,0)</f>
        <v>0</v>
      </c>
      <c r="C717" s="517">
        <f>'Expense Jrnl'!$C221</f>
        <v>0</v>
      </c>
      <c r="D717" s="540">
        <f>'Expense Jrnl'!$D221</f>
        <v>0</v>
      </c>
      <c r="E717" s="1523">
        <f>'Expense Jrnl'!$F221</f>
        <v>0</v>
      </c>
      <c r="F717" s="1523"/>
      <c r="G717" s="519" t="str">
        <f>IF('Expense Jrnl'!$E221="","",'Expense Jrnl'!$E221)</f>
        <v/>
      </c>
      <c r="H717" s="518">
        <f>'Expense Jrnl'!H221</f>
        <v>0</v>
      </c>
      <c r="I717" s="518" t="str">
        <f t="shared" si="22"/>
        <v>0</v>
      </c>
      <c r="J717" s="520" t="b">
        <f t="shared" si="23"/>
        <v>0</v>
      </c>
      <c r="K717" s="541"/>
      <c r="L717" s="541">
        <f>'Expense Jrnl'!$G221</f>
        <v>0</v>
      </c>
      <c r="M717" s="523"/>
      <c r="N717" s="539"/>
    </row>
    <row r="718" spans="2:14" s="1" customFormat="1" ht="30" hidden="1" customHeight="1" x14ac:dyDescent="0.2">
      <c r="B718" s="517">
        <f>IF(AND('Expense Jrnl'!$G222&lt;&gt;"",'Expense Jrnl'!$C222&lt;&gt;""),1,0)</f>
        <v>0</v>
      </c>
      <c r="C718" s="517">
        <f>'Expense Jrnl'!$C222</f>
        <v>0</v>
      </c>
      <c r="D718" s="540">
        <f>'Expense Jrnl'!$D222</f>
        <v>0</v>
      </c>
      <c r="E718" s="1523">
        <f>'Expense Jrnl'!$F222</f>
        <v>0</v>
      </c>
      <c r="F718" s="1523"/>
      <c r="G718" s="519" t="str">
        <f>IF('Expense Jrnl'!$E222="","",'Expense Jrnl'!$E222)</f>
        <v/>
      </c>
      <c r="H718" s="518">
        <f>'Expense Jrnl'!H222</f>
        <v>0</v>
      </c>
      <c r="I718" s="518" t="str">
        <f t="shared" si="22"/>
        <v>0</v>
      </c>
      <c r="J718" s="520" t="b">
        <f t="shared" si="23"/>
        <v>0</v>
      </c>
      <c r="K718" s="541"/>
      <c r="L718" s="541">
        <f>'Expense Jrnl'!$G222</f>
        <v>0</v>
      </c>
      <c r="M718" s="523"/>
      <c r="N718" s="539"/>
    </row>
    <row r="719" spans="2:14" s="1" customFormat="1" ht="30" hidden="1" customHeight="1" x14ac:dyDescent="0.2">
      <c r="B719" s="517">
        <f>IF(AND('Expense Jrnl'!$G223&lt;&gt;"",'Expense Jrnl'!$C223&lt;&gt;""),1,0)</f>
        <v>0</v>
      </c>
      <c r="C719" s="517">
        <f>'Expense Jrnl'!$C223</f>
        <v>0</v>
      </c>
      <c r="D719" s="540">
        <f>'Expense Jrnl'!$D223</f>
        <v>0</v>
      </c>
      <c r="E719" s="1523">
        <f>'Expense Jrnl'!$F223</f>
        <v>0</v>
      </c>
      <c r="F719" s="1523"/>
      <c r="G719" s="519" t="str">
        <f>IF('Expense Jrnl'!$E223="","",'Expense Jrnl'!$E223)</f>
        <v/>
      </c>
      <c r="H719" s="518">
        <f>'Expense Jrnl'!H223</f>
        <v>0</v>
      </c>
      <c r="I719" s="518" t="str">
        <f t="shared" si="22"/>
        <v>0</v>
      </c>
      <c r="J719" s="520" t="b">
        <f t="shared" si="23"/>
        <v>0</v>
      </c>
      <c r="K719" s="541"/>
      <c r="L719" s="541">
        <f>'Expense Jrnl'!$G223</f>
        <v>0</v>
      </c>
      <c r="M719" s="523"/>
      <c r="N719" s="539"/>
    </row>
    <row r="720" spans="2:14" s="1" customFormat="1" ht="30" hidden="1" customHeight="1" x14ac:dyDescent="0.2">
      <c r="B720" s="517">
        <f>IF(AND('Expense Jrnl'!$G224&lt;&gt;"",'Expense Jrnl'!$C224&lt;&gt;""),1,0)</f>
        <v>0</v>
      </c>
      <c r="C720" s="517">
        <f>'Expense Jrnl'!$C224</f>
        <v>0</v>
      </c>
      <c r="D720" s="540">
        <f>'Expense Jrnl'!$D224</f>
        <v>0</v>
      </c>
      <c r="E720" s="1523">
        <f>'Expense Jrnl'!$F224</f>
        <v>0</v>
      </c>
      <c r="F720" s="1523"/>
      <c r="G720" s="519" t="str">
        <f>IF('Expense Jrnl'!$E224="","",'Expense Jrnl'!$E224)</f>
        <v/>
      </c>
      <c r="H720" s="518">
        <f>'Expense Jrnl'!H224</f>
        <v>0</v>
      </c>
      <c r="I720" s="518" t="str">
        <f t="shared" si="22"/>
        <v>0</v>
      </c>
      <c r="J720" s="520" t="b">
        <f t="shared" si="23"/>
        <v>0</v>
      </c>
      <c r="K720" s="541"/>
      <c r="L720" s="541">
        <f>'Expense Jrnl'!$G224</f>
        <v>0</v>
      </c>
      <c r="M720" s="523"/>
      <c r="N720" s="539"/>
    </row>
    <row r="721" spans="2:14" s="1" customFormat="1" ht="30" hidden="1" customHeight="1" x14ac:dyDescent="0.2">
      <c r="B721" s="517">
        <f>IF(AND('Expense Jrnl'!$G225&lt;&gt;"",'Expense Jrnl'!$C225&lt;&gt;""),1,0)</f>
        <v>0</v>
      </c>
      <c r="C721" s="517">
        <f>'Expense Jrnl'!$C225</f>
        <v>0</v>
      </c>
      <c r="D721" s="540">
        <f>'Expense Jrnl'!$D225</f>
        <v>0</v>
      </c>
      <c r="E721" s="1523">
        <f>'Expense Jrnl'!$F225</f>
        <v>0</v>
      </c>
      <c r="F721" s="1523"/>
      <c r="G721" s="519" t="str">
        <f>IF('Expense Jrnl'!$E225="","",'Expense Jrnl'!$E225)</f>
        <v/>
      </c>
      <c r="H721" s="518">
        <f>'Expense Jrnl'!H225</f>
        <v>0</v>
      </c>
      <c r="I721" s="518" t="str">
        <f t="shared" si="22"/>
        <v>0</v>
      </c>
      <c r="J721" s="520" t="b">
        <f t="shared" si="23"/>
        <v>0</v>
      </c>
      <c r="K721" s="541"/>
      <c r="L721" s="541">
        <f>'Expense Jrnl'!$G225</f>
        <v>0</v>
      </c>
      <c r="M721" s="523"/>
      <c r="N721" s="539"/>
    </row>
    <row r="722" spans="2:14" s="1" customFormat="1" ht="30" hidden="1" customHeight="1" x14ac:dyDescent="0.2">
      <c r="B722" s="517">
        <f>IF(AND('Expense Jrnl'!$G226&lt;&gt;"",'Expense Jrnl'!$C226&lt;&gt;""),1,0)</f>
        <v>0</v>
      </c>
      <c r="C722" s="517">
        <f>'Expense Jrnl'!$C226</f>
        <v>0</v>
      </c>
      <c r="D722" s="540">
        <f>'Expense Jrnl'!$D226</f>
        <v>0</v>
      </c>
      <c r="E722" s="1523">
        <f>'Expense Jrnl'!$F226</f>
        <v>0</v>
      </c>
      <c r="F722" s="1523"/>
      <c r="G722" s="519" t="str">
        <f>IF('Expense Jrnl'!$E226="","",'Expense Jrnl'!$E226)</f>
        <v/>
      </c>
      <c r="H722" s="518">
        <f>'Expense Jrnl'!H226</f>
        <v>0</v>
      </c>
      <c r="I722" s="518" t="str">
        <f t="shared" si="22"/>
        <v>0</v>
      </c>
      <c r="J722" s="520" t="b">
        <f t="shared" si="23"/>
        <v>0</v>
      </c>
      <c r="K722" s="541"/>
      <c r="L722" s="541">
        <f>'Expense Jrnl'!$G226</f>
        <v>0</v>
      </c>
      <c r="M722" s="523"/>
      <c r="N722" s="539"/>
    </row>
    <row r="723" spans="2:14" s="1" customFormat="1" ht="30" hidden="1" customHeight="1" x14ac:dyDescent="0.2">
      <c r="B723" s="517">
        <f>IF(AND('Expense Jrnl'!$G227&lt;&gt;"",'Expense Jrnl'!$C227&lt;&gt;""),1,0)</f>
        <v>0</v>
      </c>
      <c r="C723" s="517">
        <f>'Expense Jrnl'!$C227</f>
        <v>0</v>
      </c>
      <c r="D723" s="540">
        <f>'Expense Jrnl'!$D227</f>
        <v>0</v>
      </c>
      <c r="E723" s="1523">
        <f>'Expense Jrnl'!$F227</f>
        <v>0</v>
      </c>
      <c r="F723" s="1523"/>
      <c r="G723" s="519" t="str">
        <f>IF('Expense Jrnl'!$E227="","",'Expense Jrnl'!$E227)</f>
        <v/>
      </c>
      <c r="H723" s="518">
        <f>'Expense Jrnl'!H227</f>
        <v>0</v>
      </c>
      <c r="I723" s="518" t="str">
        <f t="shared" si="22"/>
        <v>0</v>
      </c>
      <c r="J723" s="520" t="b">
        <f t="shared" si="23"/>
        <v>0</v>
      </c>
      <c r="K723" s="541"/>
      <c r="L723" s="541">
        <f>'Expense Jrnl'!$G227</f>
        <v>0</v>
      </c>
      <c r="M723" s="523"/>
      <c r="N723" s="539"/>
    </row>
    <row r="724" spans="2:14" s="1" customFormat="1" ht="30" hidden="1" customHeight="1" x14ac:dyDescent="0.2">
      <c r="B724" s="517">
        <f>IF(AND('Expense Jrnl'!$G228&lt;&gt;"",'Expense Jrnl'!$C228&lt;&gt;""),1,0)</f>
        <v>0</v>
      </c>
      <c r="C724" s="517">
        <f>'Expense Jrnl'!$C228</f>
        <v>0</v>
      </c>
      <c r="D724" s="540">
        <f>'Expense Jrnl'!$D228</f>
        <v>0</v>
      </c>
      <c r="E724" s="1523">
        <f>'Expense Jrnl'!$F228</f>
        <v>0</v>
      </c>
      <c r="F724" s="1523"/>
      <c r="G724" s="519" t="str">
        <f>IF('Expense Jrnl'!$E228="","",'Expense Jrnl'!$E228)</f>
        <v/>
      </c>
      <c r="H724" s="518">
        <f>'Expense Jrnl'!H228</f>
        <v>0</v>
      </c>
      <c r="I724" s="518" t="str">
        <f t="shared" si="22"/>
        <v>0</v>
      </c>
      <c r="J724" s="520" t="b">
        <f t="shared" si="23"/>
        <v>0</v>
      </c>
      <c r="K724" s="541"/>
      <c r="L724" s="541">
        <f>'Expense Jrnl'!$G228</f>
        <v>0</v>
      </c>
      <c r="M724" s="523"/>
      <c r="N724" s="539"/>
    </row>
    <row r="725" spans="2:14" s="1" customFormat="1" ht="30" hidden="1" customHeight="1" x14ac:dyDescent="0.2">
      <c r="B725" s="517">
        <f>IF(AND('Expense Jrnl'!$G229&lt;&gt;"",'Expense Jrnl'!$C229&lt;&gt;""),1,0)</f>
        <v>0</v>
      </c>
      <c r="C725" s="517">
        <f>'Expense Jrnl'!$C229</f>
        <v>0</v>
      </c>
      <c r="D725" s="540">
        <f>'Expense Jrnl'!$D229</f>
        <v>0</v>
      </c>
      <c r="E725" s="1523">
        <f>'Expense Jrnl'!$F229</f>
        <v>0</v>
      </c>
      <c r="F725" s="1523"/>
      <c r="G725" s="519" t="str">
        <f>IF('Expense Jrnl'!$E229="","",'Expense Jrnl'!$E229)</f>
        <v/>
      </c>
      <c r="H725" s="518">
        <f>'Expense Jrnl'!H229</f>
        <v>0</v>
      </c>
      <c r="I725" s="518" t="str">
        <f t="shared" si="22"/>
        <v>0</v>
      </c>
      <c r="J725" s="520" t="b">
        <f t="shared" si="23"/>
        <v>0</v>
      </c>
      <c r="K725" s="541"/>
      <c r="L725" s="541">
        <f>'Expense Jrnl'!$G229</f>
        <v>0</v>
      </c>
      <c r="M725" s="523"/>
      <c r="N725" s="539"/>
    </row>
    <row r="726" spans="2:14" s="1" customFormat="1" ht="30" hidden="1" customHeight="1" x14ac:dyDescent="0.2">
      <c r="B726" s="517">
        <f>IF(AND('Expense Jrnl'!$G230&lt;&gt;"",'Expense Jrnl'!$C230&lt;&gt;""),1,0)</f>
        <v>0</v>
      </c>
      <c r="C726" s="517">
        <f>'Expense Jrnl'!$C230</f>
        <v>0</v>
      </c>
      <c r="D726" s="540">
        <f>'Expense Jrnl'!$D230</f>
        <v>0</v>
      </c>
      <c r="E726" s="1523">
        <f>'Expense Jrnl'!$F230</f>
        <v>0</v>
      </c>
      <c r="F726" s="1523"/>
      <c r="G726" s="519" t="str">
        <f>IF('Expense Jrnl'!$E230="","",'Expense Jrnl'!$E230)</f>
        <v/>
      </c>
      <c r="H726" s="518">
        <f>'Expense Jrnl'!H230</f>
        <v>0</v>
      </c>
      <c r="I726" s="518" t="str">
        <f t="shared" si="22"/>
        <v>0</v>
      </c>
      <c r="J726" s="520" t="b">
        <f t="shared" si="23"/>
        <v>0</v>
      </c>
      <c r="K726" s="541"/>
      <c r="L726" s="541">
        <f>'Expense Jrnl'!$G230</f>
        <v>0</v>
      </c>
      <c r="M726" s="523"/>
      <c r="N726" s="539"/>
    </row>
    <row r="727" spans="2:14" s="1" customFormat="1" ht="30" hidden="1" customHeight="1" x14ac:dyDescent="0.2">
      <c r="B727" s="517">
        <f>IF(AND('Expense Jrnl'!$G231&lt;&gt;"",'Expense Jrnl'!$C231&lt;&gt;""),1,0)</f>
        <v>0</v>
      </c>
      <c r="C727" s="517">
        <f>'Expense Jrnl'!$C231</f>
        <v>0</v>
      </c>
      <c r="D727" s="540">
        <f>'Expense Jrnl'!$D231</f>
        <v>0</v>
      </c>
      <c r="E727" s="1523">
        <f>'Expense Jrnl'!$F231</f>
        <v>0</v>
      </c>
      <c r="F727" s="1523"/>
      <c r="G727" s="519" t="str">
        <f>IF('Expense Jrnl'!$E231="","",'Expense Jrnl'!$E231)</f>
        <v/>
      </c>
      <c r="H727" s="518">
        <f>'Expense Jrnl'!H231</f>
        <v>0</v>
      </c>
      <c r="I727" s="518" t="str">
        <f t="shared" si="22"/>
        <v>0</v>
      </c>
      <c r="J727" s="520" t="b">
        <f t="shared" si="23"/>
        <v>0</v>
      </c>
      <c r="K727" s="541"/>
      <c r="L727" s="541">
        <f>'Expense Jrnl'!$G231</f>
        <v>0</v>
      </c>
      <c r="M727" s="523"/>
      <c r="N727" s="539"/>
    </row>
    <row r="728" spans="2:14" s="1" customFormat="1" ht="30" hidden="1" customHeight="1" x14ac:dyDescent="0.2">
      <c r="B728" s="517">
        <f>IF(AND('Expense Jrnl'!$G232&lt;&gt;"",'Expense Jrnl'!$C232&lt;&gt;""),1,0)</f>
        <v>0</v>
      </c>
      <c r="C728" s="517">
        <f>'Expense Jrnl'!$C232</f>
        <v>0</v>
      </c>
      <c r="D728" s="540">
        <f>'Expense Jrnl'!$D232</f>
        <v>0</v>
      </c>
      <c r="E728" s="1523">
        <f>'Expense Jrnl'!$F232</f>
        <v>0</v>
      </c>
      <c r="F728" s="1523"/>
      <c r="G728" s="519" t="str">
        <f>IF('Expense Jrnl'!$E232="","",'Expense Jrnl'!$E232)</f>
        <v/>
      </c>
      <c r="H728" s="518">
        <f>'Expense Jrnl'!H232</f>
        <v>0</v>
      </c>
      <c r="I728" s="518" t="str">
        <f t="shared" si="22"/>
        <v>0</v>
      </c>
      <c r="J728" s="520" t="b">
        <f t="shared" si="23"/>
        <v>0</v>
      </c>
      <c r="K728" s="541"/>
      <c r="L728" s="541">
        <f>'Expense Jrnl'!$G232</f>
        <v>0</v>
      </c>
      <c r="M728" s="523"/>
      <c r="N728" s="539"/>
    </row>
    <row r="729" spans="2:14" s="1" customFormat="1" ht="30" hidden="1" customHeight="1" x14ac:dyDescent="0.2">
      <c r="B729" s="517">
        <f>IF(AND('Expense Jrnl'!$G233&lt;&gt;"",'Expense Jrnl'!$C233&lt;&gt;""),1,0)</f>
        <v>0</v>
      </c>
      <c r="C729" s="517">
        <f>'Expense Jrnl'!$C233</f>
        <v>0</v>
      </c>
      <c r="D729" s="540">
        <f>'Expense Jrnl'!$D233</f>
        <v>0</v>
      </c>
      <c r="E729" s="1523">
        <f>'Expense Jrnl'!$F233</f>
        <v>0</v>
      </c>
      <c r="F729" s="1523"/>
      <c r="G729" s="519" t="str">
        <f>IF('Expense Jrnl'!$E233="","",'Expense Jrnl'!$E233)</f>
        <v/>
      </c>
      <c r="H729" s="518">
        <f>'Expense Jrnl'!H233</f>
        <v>0</v>
      </c>
      <c r="I729" s="518" t="str">
        <f t="shared" si="22"/>
        <v>0</v>
      </c>
      <c r="J729" s="520" t="b">
        <f t="shared" si="23"/>
        <v>0</v>
      </c>
      <c r="K729" s="541"/>
      <c r="L729" s="541">
        <f>'Expense Jrnl'!$G233</f>
        <v>0</v>
      </c>
      <c r="M729" s="523"/>
      <c r="N729" s="539"/>
    </row>
    <row r="730" spans="2:14" s="1" customFormat="1" ht="30" hidden="1" customHeight="1" x14ac:dyDescent="0.2">
      <c r="B730" s="517">
        <f>IF(AND('Expense Jrnl'!$G234&lt;&gt;"",'Expense Jrnl'!$C234&lt;&gt;""),1,0)</f>
        <v>0</v>
      </c>
      <c r="C730" s="517">
        <f>'Expense Jrnl'!$C234</f>
        <v>0</v>
      </c>
      <c r="D730" s="540">
        <f>'Expense Jrnl'!$D234</f>
        <v>0</v>
      </c>
      <c r="E730" s="1523">
        <f>'Expense Jrnl'!$F234</f>
        <v>0</v>
      </c>
      <c r="F730" s="1523"/>
      <c r="G730" s="519" t="str">
        <f>IF('Expense Jrnl'!$E234="","",'Expense Jrnl'!$E234)</f>
        <v/>
      </c>
      <c r="H730" s="518">
        <f>'Expense Jrnl'!H234</f>
        <v>0</v>
      </c>
      <c r="I730" s="518" t="str">
        <f t="shared" si="22"/>
        <v>0</v>
      </c>
      <c r="J730" s="520" t="b">
        <f t="shared" si="23"/>
        <v>0</v>
      </c>
      <c r="K730" s="541"/>
      <c r="L730" s="541">
        <f>'Expense Jrnl'!$G234</f>
        <v>0</v>
      </c>
      <c r="M730" s="523"/>
      <c r="N730" s="539"/>
    </row>
    <row r="731" spans="2:14" s="1" customFormat="1" ht="30" hidden="1" customHeight="1" x14ac:dyDescent="0.2">
      <c r="B731" s="517">
        <f>IF(AND('Expense Jrnl'!$G235&lt;&gt;"",'Expense Jrnl'!$C235&lt;&gt;""),1,0)</f>
        <v>0</v>
      </c>
      <c r="C731" s="517">
        <f>'Expense Jrnl'!$C235</f>
        <v>0</v>
      </c>
      <c r="D731" s="540">
        <f>'Expense Jrnl'!$D235</f>
        <v>0</v>
      </c>
      <c r="E731" s="1523">
        <f>'Expense Jrnl'!$F235</f>
        <v>0</v>
      </c>
      <c r="F731" s="1523"/>
      <c r="G731" s="519" t="str">
        <f>IF('Expense Jrnl'!$E235="","",'Expense Jrnl'!$E235)</f>
        <v/>
      </c>
      <c r="H731" s="518">
        <f>'Expense Jrnl'!H235</f>
        <v>0</v>
      </c>
      <c r="I731" s="518" t="str">
        <f t="shared" si="22"/>
        <v>0</v>
      </c>
      <c r="J731" s="520" t="b">
        <f t="shared" si="23"/>
        <v>0</v>
      </c>
      <c r="K731" s="541"/>
      <c r="L731" s="541">
        <f>'Expense Jrnl'!$G235</f>
        <v>0</v>
      </c>
      <c r="M731" s="523"/>
      <c r="N731" s="539"/>
    </row>
    <row r="732" spans="2:14" s="1" customFormat="1" ht="30" hidden="1" customHeight="1" x14ac:dyDescent="0.2">
      <c r="B732" s="517">
        <f>IF(AND('Expense Jrnl'!$G236&lt;&gt;"",'Expense Jrnl'!$C236&lt;&gt;""),1,0)</f>
        <v>0</v>
      </c>
      <c r="C732" s="517">
        <f>'Expense Jrnl'!$C236</f>
        <v>0</v>
      </c>
      <c r="D732" s="540">
        <f>'Expense Jrnl'!$D236</f>
        <v>0</v>
      </c>
      <c r="E732" s="1523">
        <f>'Expense Jrnl'!$F236</f>
        <v>0</v>
      </c>
      <c r="F732" s="1523"/>
      <c r="G732" s="519" t="str">
        <f>IF('Expense Jrnl'!$E236="","",'Expense Jrnl'!$E236)</f>
        <v/>
      </c>
      <c r="H732" s="518">
        <f>'Expense Jrnl'!H236</f>
        <v>0</v>
      </c>
      <c r="I732" s="518" t="str">
        <f t="shared" si="22"/>
        <v>0</v>
      </c>
      <c r="J732" s="520" t="b">
        <f t="shared" si="23"/>
        <v>0</v>
      </c>
      <c r="K732" s="541"/>
      <c r="L732" s="541">
        <f>'Expense Jrnl'!$G236</f>
        <v>0</v>
      </c>
      <c r="M732" s="523"/>
      <c r="N732" s="539"/>
    </row>
    <row r="733" spans="2:14" s="1" customFormat="1" ht="30" hidden="1" customHeight="1" x14ac:dyDescent="0.2">
      <c r="B733" s="517">
        <f>IF(AND('Expense Jrnl'!$G237&lt;&gt;"",'Expense Jrnl'!$C237&lt;&gt;""),1,0)</f>
        <v>0</v>
      </c>
      <c r="C733" s="517">
        <f>'Expense Jrnl'!$C237</f>
        <v>0</v>
      </c>
      <c r="D733" s="540">
        <f>'Expense Jrnl'!$D237</f>
        <v>0</v>
      </c>
      <c r="E733" s="1523">
        <f>'Expense Jrnl'!$F237</f>
        <v>0</v>
      </c>
      <c r="F733" s="1523"/>
      <c r="G733" s="519" t="str">
        <f>IF('Expense Jrnl'!$E237="","",'Expense Jrnl'!$E237)</f>
        <v/>
      </c>
      <c r="H733" s="518">
        <f>'Expense Jrnl'!H237</f>
        <v>0</v>
      </c>
      <c r="I733" s="518" t="str">
        <f t="shared" si="22"/>
        <v>0</v>
      </c>
      <c r="J733" s="520" t="b">
        <f t="shared" si="23"/>
        <v>0</v>
      </c>
      <c r="K733" s="541"/>
      <c r="L733" s="541">
        <f>'Expense Jrnl'!$G237</f>
        <v>0</v>
      </c>
      <c r="M733" s="523"/>
      <c r="N733" s="539"/>
    </row>
    <row r="734" spans="2:14" s="1" customFormat="1" ht="30" hidden="1" customHeight="1" x14ac:dyDescent="0.2">
      <c r="B734" s="517">
        <f>IF(AND('Expense Jrnl'!$G238&lt;&gt;"",'Expense Jrnl'!$C238&lt;&gt;""),1,0)</f>
        <v>0</v>
      </c>
      <c r="C734" s="517">
        <f>'Expense Jrnl'!$C238</f>
        <v>0</v>
      </c>
      <c r="D734" s="540">
        <f>'Expense Jrnl'!$D238</f>
        <v>0</v>
      </c>
      <c r="E734" s="1523">
        <f>'Expense Jrnl'!$F238</f>
        <v>0</v>
      </c>
      <c r="F734" s="1523"/>
      <c r="G734" s="519" t="str">
        <f>IF('Expense Jrnl'!$E238="","",'Expense Jrnl'!$E238)</f>
        <v/>
      </c>
      <c r="H734" s="518">
        <f>'Expense Jrnl'!H238</f>
        <v>0</v>
      </c>
      <c r="I734" s="518" t="str">
        <f t="shared" si="22"/>
        <v>0</v>
      </c>
      <c r="J734" s="520" t="b">
        <f t="shared" si="23"/>
        <v>0</v>
      </c>
      <c r="K734" s="541"/>
      <c r="L734" s="541">
        <f>'Expense Jrnl'!$G238</f>
        <v>0</v>
      </c>
      <c r="M734" s="523"/>
      <c r="N734" s="539"/>
    </row>
    <row r="735" spans="2:14" s="1" customFormat="1" ht="30" hidden="1" customHeight="1" x14ac:dyDescent="0.2">
      <c r="B735" s="517">
        <f>IF(AND('Expense Jrnl'!$G239&lt;&gt;"",'Expense Jrnl'!$C239&lt;&gt;""),1,0)</f>
        <v>0</v>
      </c>
      <c r="C735" s="517">
        <f>'Expense Jrnl'!$C239</f>
        <v>0</v>
      </c>
      <c r="D735" s="540">
        <f>'Expense Jrnl'!$D239</f>
        <v>0</v>
      </c>
      <c r="E735" s="1523">
        <f>'Expense Jrnl'!$F239</f>
        <v>0</v>
      </c>
      <c r="F735" s="1523"/>
      <c r="G735" s="519" t="str">
        <f>IF('Expense Jrnl'!$E239="","",'Expense Jrnl'!$E239)</f>
        <v/>
      </c>
      <c r="H735" s="518">
        <f>'Expense Jrnl'!H239</f>
        <v>0</v>
      </c>
      <c r="I735" s="518" t="str">
        <f t="shared" si="22"/>
        <v>0</v>
      </c>
      <c r="J735" s="520" t="b">
        <f t="shared" si="23"/>
        <v>0</v>
      </c>
      <c r="K735" s="541"/>
      <c r="L735" s="541">
        <f>'Expense Jrnl'!$G239</f>
        <v>0</v>
      </c>
      <c r="M735" s="523"/>
      <c r="N735" s="539"/>
    </row>
    <row r="736" spans="2:14" s="1" customFormat="1" ht="30" hidden="1" customHeight="1" x14ac:dyDescent="0.2">
      <c r="B736" s="517">
        <f>IF(AND('Expense Jrnl'!$G240&lt;&gt;"",'Expense Jrnl'!$C240&lt;&gt;""),1,0)</f>
        <v>0</v>
      </c>
      <c r="C736" s="517">
        <f>'Expense Jrnl'!$C240</f>
        <v>0</v>
      </c>
      <c r="D736" s="540">
        <f>'Expense Jrnl'!$D240</f>
        <v>0</v>
      </c>
      <c r="E736" s="1523">
        <f>'Expense Jrnl'!$F240</f>
        <v>0</v>
      </c>
      <c r="F736" s="1523"/>
      <c r="G736" s="519" t="str">
        <f>IF('Expense Jrnl'!$E240="","",'Expense Jrnl'!$E240)</f>
        <v/>
      </c>
      <c r="H736" s="518">
        <f>'Expense Jrnl'!H240</f>
        <v>0</v>
      </c>
      <c r="I736" s="518" t="str">
        <f t="shared" si="22"/>
        <v>0</v>
      </c>
      <c r="J736" s="520" t="b">
        <f t="shared" si="23"/>
        <v>0</v>
      </c>
      <c r="K736" s="541"/>
      <c r="L736" s="541">
        <f>'Expense Jrnl'!$G240</f>
        <v>0</v>
      </c>
      <c r="M736" s="523"/>
      <c r="N736" s="539"/>
    </row>
    <row r="737" spans="2:14" s="1" customFormat="1" ht="30" hidden="1" customHeight="1" x14ac:dyDescent="0.2">
      <c r="B737" s="517">
        <f>IF(AND('Expense Jrnl'!$G241&lt;&gt;"",'Expense Jrnl'!$C241&lt;&gt;""),1,0)</f>
        <v>0</v>
      </c>
      <c r="C737" s="517">
        <f>'Expense Jrnl'!$C241</f>
        <v>0</v>
      </c>
      <c r="D737" s="540">
        <f>'Expense Jrnl'!$D241</f>
        <v>0</v>
      </c>
      <c r="E737" s="1523">
        <f>'Expense Jrnl'!$F241</f>
        <v>0</v>
      </c>
      <c r="F737" s="1523"/>
      <c r="G737" s="519" t="str">
        <f>IF('Expense Jrnl'!$E241="","",'Expense Jrnl'!$E241)</f>
        <v/>
      </c>
      <c r="H737" s="518">
        <f>'Expense Jrnl'!H241</f>
        <v>0</v>
      </c>
      <c r="I737" s="518" t="str">
        <f t="shared" si="22"/>
        <v>0</v>
      </c>
      <c r="J737" s="520" t="b">
        <f t="shared" si="23"/>
        <v>0</v>
      </c>
      <c r="K737" s="541"/>
      <c r="L737" s="541">
        <f>'Expense Jrnl'!$G241</f>
        <v>0</v>
      </c>
      <c r="M737" s="523"/>
      <c r="N737" s="539"/>
    </row>
    <row r="738" spans="2:14" s="1" customFormat="1" ht="30" hidden="1" customHeight="1" x14ac:dyDescent="0.2">
      <c r="B738" s="517">
        <f>IF(AND('Expense Jrnl'!$G242&lt;&gt;"",'Expense Jrnl'!$C242&lt;&gt;""),1,0)</f>
        <v>0</v>
      </c>
      <c r="C738" s="517">
        <f>'Expense Jrnl'!$C242</f>
        <v>0</v>
      </c>
      <c r="D738" s="540">
        <f>'Expense Jrnl'!$D242</f>
        <v>0</v>
      </c>
      <c r="E738" s="1523">
        <f>'Expense Jrnl'!$F242</f>
        <v>0</v>
      </c>
      <c r="F738" s="1523"/>
      <c r="G738" s="519" t="str">
        <f>IF('Expense Jrnl'!$E242="","",'Expense Jrnl'!$E242)</f>
        <v/>
      </c>
      <c r="H738" s="518">
        <f>'Expense Jrnl'!H242</f>
        <v>0</v>
      </c>
      <c r="I738" s="518" t="str">
        <f t="shared" si="22"/>
        <v>0</v>
      </c>
      <c r="J738" s="520" t="b">
        <f t="shared" si="23"/>
        <v>0</v>
      </c>
      <c r="K738" s="541"/>
      <c r="L738" s="541">
        <f>'Expense Jrnl'!$G242</f>
        <v>0</v>
      </c>
      <c r="M738" s="523"/>
      <c r="N738" s="539"/>
    </row>
    <row r="739" spans="2:14" s="1" customFormat="1" ht="30" hidden="1" customHeight="1" x14ac:dyDescent="0.2">
      <c r="B739" s="517">
        <f>IF(AND('Expense Jrnl'!$G243&lt;&gt;"",'Expense Jrnl'!$C243&lt;&gt;""),1,0)</f>
        <v>0</v>
      </c>
      <c r="C739" s="517">
        <f>'Expense Jrnl'!$C243</f>
        <v>0</v>
      </c>
      <c r="D739" s="540">
        <f>'Expense Jrnl'!$D243</f>
        <v>0</v>
      </c>
      <c r="E739" s="1523">
        <f>'Expense Jrnl'!$F243</f>
        <v>0</v>
      </c>
      <c r="F739" s="1523"/>
      <c r="G739" s="519" t="str">
        <f>IF('Expense Jrnl'!$E243="","",'Expense Jrnl'!$E243)</f>
        <v/>
      </c>
      <c r="H739" s="518">
        <f>'Expense Jrnl'!H243</f>
        <v>0</v>
      </c>
      <c r="I739" s="518" t="str">
        <f t="shared" si="22"/>
        <v>0</v>
      </c>
      <c r="J739" s="520" t="b">
        <f t="shared" si="23"/>
        <v>0</v>
      </c>
      <c r="K739" s="541"/>
      <c r="L739" s="541">
        <f>'Expense Jrnl'!$G243</f>
        <v>0</v>
      </c>
      <c r="M739" s="523"/>
      <c r="N739" s="539"/>
    </row>
    <row r="740" spans="2:14" s="1" customFormat="1" ht="30" hidden="1" customHeight="1" x14ac:dyDescent="0.2">
      <c r="B740" s="517">
        <f>IF(AND('Expense Jrnl'!$G244&lt;&gt;"",'Expense Jrnl'!$C244&lt;&gt;""),1,0)</f>
        <v>0</v>
      </c>
      <c r="C740" s="517">
        <f>'Expense Jrnl'!$C244</f>
        <v>0</v>
      </c>
      <c r="D740" s="540">
        <f>'Expense Jrnl'!$D244</f>
        <v>0</v>
      </c>
      <c r="E740" s="1523">
        <f>'Expense Jrnl'!$F244</f>
        <v>0</v>
      </c>
      <c r="F740" s="1523"/>
      <c r="G740" s="519" t="str">
        <f>IF('Expense Jrnl'!$E244="","",'Expense Jrnl'!$E244)</f>
        <v/>
      </c>
      <c r="H740" s="518">
        <f>'Expense Jrnl'!H244</f>
        <v>0</v>
      </c>
      <c r="I740" s="518" t="str">
        <f t="shared" si="22"/>
        <v>0</v>
      </c>
      <c r="J740" s="520" t="b">
        <f t="shared" si="23"/>
        <v>0</v>
      </c>
      <c r="K740" s="541"/>
      <c r="L740" s="541">
        <f>'Expense Jrnl'!$G244</f>
        <v>0</v>
      </c>
      <c r="M740" s="523"/>
      <c r="N740" s="539"/>
    </row>
    <row r="741" spans="2:14" s="1" customFormat="1" ht="30" hidden="1" customHeight="1" x14ac:dyDescent="0.2">
      <c r="B741" s="517">
        <f>IF(AND('Expense Jrnl'!$G245&lt;&gt;"",'Expense Jrnl'!$C245&lt;&gt;""),1,0)</f>
        <v>0</v>
      </c>
      <c r="C741" s="517">
        <f>'Expense Jrnl'!$C245</f>
        <v>0</v>
      </c>
      <c r="D741" s="540">
        <f>'Expense Jrnl'!$D245</f>
        <v>0</v>
      </c>
      <c r="E741" s="1523">
        <f>'Expense Jrnl'!$F245</f>
        <v>0</v>
      </c>
      <c r="F741" s="1523"/>
      <c r="G741" s="519" t="str">
        <f>IF('Expense Jrnl'!$E245="","",'Expense Jrnl'!$E245)</f>
        <v/>
      </c>
      <c r="H741" s="518">
        <f>'Expense Jrnl'!H245</f>
        <v>0</v>
      </c>
      <c r="I741" s="518" t="str">
        <f t="shared" si="22"/>
        <v>0</v>
      </c>
      <c r="J741" s="520" t="b">
        <f t="shared" si="23"/>
        <v>0</v>
      </c>
      <c r="K741" s="541"/>
      <c r="L741" s="541">
        <f>'Expense Jrnl'!$G245</f>
        <v>0</v>
      </c>
      <c r="M741" s="523"/>
      <c r="N741" s="539"/>
    </row>
    <row r="742" spans="2:14" s="1" customFormat="1" ht="30" hidden="1" customHeight="1" x14ac:dyDescent="0.2">
      <c r="B742" s="517">
        <f>IF(AND('Expense Jrnl'!$G246&lt;&gt;"",'Expense Jrnl'!$C246&lt;&gt;""),1,0)</f>
        <v>0</v>
      </c>
      <c r="C742" s="517">
        <f>'Expense Jrnl'!$C246</f>
        <v>0</v>
      </c>
      <c r="D742" s="540">
        <f>'Expense Jrnl'!$D246</f>
        <v>0</v>
      </c>
      <c r="E742" s="1523">
        <f>'Expense Jrnl'!$F246</f>
        <v>0</v>
      </c>
      <c r="F742" s="1523"/>
      <c r="G742" s="519" t="str">
        <f>IF('Expense Jrnl'!$E246="","",'Expense Jrnl'!$E246)</f>
        <v/>
      </c>
      <c r="H742" s="518">
        <f>'Expense Jrnl'!H246</f>
        <v>0</v>
      </c>
      <c r="I742" s="518" t="str">
        <f t="shared" si="22"/>
        <v>0</v>
      </c>
      <c r="J742" s="520" t="b">
        <f t="shared" si="23"/>
        <v>0</v>
      </c>
      <c r="K742" s="541"/>
      <c r="L742" s="541">
        <f>'Expense Jrnl'!$G246</f>
        <v>0</v>
      </c>
      <c r="M742" s="523"/>
      <c r="N742" s="539"/>
    </row>
    <row r="743" spans="2:14" s="1" customFormat="1" ht="30" hidden="1" customHeight="1" x14ac:dyDescent="0.2">
      <c r="B743" s="517">
        <f>IF(AND('Expense Jrnl'!$G247&lt;&gt;"",'Expense Jrnl'!$C247&lt;&gt;""),1,0)</f>
        <v>0</v>
      </c>
      <c r="C743" s="517">
        <f>'Expense Jrnl'!$C247</f>
        <v>0</v>
      </c>
      <c r="D743" s="540">
        <f>'Expense Jrnl'!$D247</f>
        <v>0</v>
      </c>
      <c r="E743" s="1523">
        <f>'Expense Jrnl'!$F247</f>
        <v>0</v>
      </c>
      <c r="F743" s="1523"/>
      <c r="G743" s="519" t="str">
        <f>IF('Expense Jrnl'!$E247="","",'Expense Jrnl'!$E247)</f>
        <v/>
      </c>
      <c r="H743" s="518">
        <f>'Expense Jrnl'!H247</f>
        <v>0</v>
      </c>
      <c r="I743" s="518" t="str">
        <f t="shared" si="22"/>
        <v>0</v>
      </c>
      <c r="J743" s="520" t="b">
        <f t="shared" si="23"/>
        <v>0</v>
      </c>
      <c r="K743" s="541"/>
      <c r="L743" s="541">
        <f>'Expense Jrnl'!$G247</f>
        <v>0</v>
      </c>
      <c r="M743" s="523"/>
      <c r="N743" s="539"/>
    </row>
    <row r="744" spans="2:14" s="1" customFormat="1" ht="30" hidden="1" customHeight="1" x14ac:dyDescent="0.2">
      <c r="B744" s="517">
        <f>IF(AND('Expense Jrnl'!$G248&lt;&gt;"",'Expense Jrnl'!$C248&lt;&gt;""),1,0)</f>
        <v>0</v>
      </c>
      <c r="C744" s="517">
        <f>'Expense Jrnl'!$C248</f>
        <v>0</v>
      </c>
      <c r="D744" s="540">
        <f>'Expense Jrnl'!$D248</f>
        <v>0</v>
      </c>
      <c r="E744" s="1523">
        <f>'Expense Jrnl'!$F248</f>
        <v>0</v>
      </c>
      <c r="F744" s="1523"/>
      <c r="G744" s="519" t="str">
        <f>IF('Expense Jrnl'!$E248="","",'Expense Jrnl'!$E248)</f>
        <v/>
      </c>
      <c r="H744" s="518">
        <f>'Expense Jrnl'!H248</f>
        <v>0</v>
      </c>
      <c r="I744" s="518" t="str">
        <f t="shared" si="22"/>
        <v>0</v>
      </c>
      <c r="J744" s="520" t="b">
        <f t="shared" si="23"/>
        <v>0</v>
      </c>
      <c r="K744" s="541"/>
      <c r="L744" s="541">
        <f>'Expense Jrnl'!$G248</f>
        <v>0</v>
      </c>
      <c r="M744" s="523"/>
      <c r="N744" s="539"/>
    </row>
    <row r="745" spans="2:14" s="1" customFormat="1" ht="30" hidden="1" customHeight="1" x14ac:dyDescent="0.2">
      <c r="B745" s="517">
        <f>IF(AND('Expense Jrnl'!$G249&lt;&gt;"",'Expense Jrnl'!$C249&lt;&gt;""),1,0)</f>
        <v>0</v>
      </c>
      <c r="C745" s="517">
        <f>'Expense Jrnl'!$C249</f>
        <v>0</v>
      </c>
      <c r="D745" s="540">
        <f>'Expense Jrnl'!$D249</f>
        <v>0</v>
      </c>
      <c r="E745" s="1523">
        <f>'Expense Jrnl'!$F249</f>
        <v>0</v>
      </c>
      <c r="F745" s="1523"/>
      <c r="G745" s="519" t="str">
        <f>IF('Expense Jrnl'!$E249="","",'Expense Jrnl'!$E249)</f>
        <v/>
      </c>
      <c r="H745" s="518">
        <f>'Expense Jrnl'!H249</f>
        <v>0</v>
      </c>
      <c r="I745" s="518" t="str">
        <f t="shared" si="22"/>
        <v>0</v>
      </c>
      <c r="J745" s="520" t="b">
        <f t="shared" si="23"/>
        <v>0</v>
      </c>
      <c r="K745" s="541"/>
      <c r="L745" s="541">
        <f>'Expense Jrnl'!$G249</f>
        <v>0</v>
      </c>
      <c r="M745" s="523"/>
      <c r="N745" s="539"/>
    </row>
    <row r="746" spans="2:14" s="1" customFormat="1" ht="30" hidden="1" customHeight="1" x14ac:dyDescent="0.2">
      <c r="B746" s="517">
        <f>IF(AND('Expense Jrnl'!$G250&lt;&gt;"",'Expense Jrnl'!$C250&lt;&gt;""),1,0)</f>
        <v>0</v>
      </c>
      <c r="C746" s="517">
        <f>'Expense Jrnl'!$C250</f>
        <v>0</v>
      </c>
      <c r="D746" s="540">
        <f>'Expense Jrnl'!$D250</f>
        <v>0</v>
      </c>
      <c r="E746" s="1523">
        <f>'Expense Jrnl'!$F250</f>
        <v>0</v>
      </c>
      <c r="F746" s="1523"/>
      <c r="G746" s="519" t="str">
        <f>IF('Expense Jrnl'!$E250="","",'Expense Jrnl'!$E250)</f>
        <v/>
      </c>
      <c r="H746" s="518">
        <f>'Expense Jrnl'!H250</f>
        <v>0</v>
      </c>
      <c r="I746" s="518" t="str">
        <f t="shared" si="22"/>
        <v>0</v>
      </c>
      <c r="J746" s="520" t="b">
        <f t="shared" si="23"/>
        <v>0</v>
      </c>
      <c r="K746" s="541"/>
      <c r="L746" s="541">
        <f>'Expense Jrnl'!$G250</f>
        <v>0</v>
      </c>
      <c r="M746" s="523"/>
      <c r="N746" s="539"/>
    </row>
    <row r="747" spans="2:14" s="1" customFormat="1" ht="30" hidden="1" customHeight="1" x14ac:dyDescent="0.2">
      <c r="B747" s="517">
        <f>IF(AND('Expense Jrnl'!$G251&lt;&gt;"",'Expense Jrnl'!$C251&lt;&gt;""),1,0)</f>
        <v>0</v>
      </c>
      <c r="C747" s="517">
        <f>'Expense Jrnl'!$C251</f>
        <v>0</v>
      </c>
      <c r="D747" s="540">
        <f>'Expense Jrnl'!$D251</f>
        <v>0</v>
      </c>
      <c r="E747" s="1523">
        <f>'Expense Jrnl'!$F251</f>
        <v>0</v>
      </c>
      <c r="F747" s="1523"/>
      <c r="G747" s="519" t="str">
        <f>IF('Expense Jrnl'!$E251="","",'Expense Jrnl'!$E251)</f>
        <v/>
      </c>
      <c r="H747" s="518">
        <f>'Expense Jrnl'!H251</f>
        <v>0</v>
      </c>
      <c r="I747" s="518" t="str">
        <f t="shared" si="22"/>
        <v>0</v>
      </c>
      <c r="J747" s="520" t="b">
        <f t="shared" si="23"/>
        <v>0</v>
      </c>
      <c r="K747" s="541"/>
      <c r="L747" s="541">
        <f>'Expense Jrnl'!$G251</f>
        <v>0</v>
      </c>
      <c r="M747" s="523"/>
      <c r="N747" s="539"/>
    </row>
    <row r="748" spans="2:14" s="1" customFormat="1" ht="30" hidden="1" customHeight="1" x14ac:dyDescent="0.2">
      <c r="B748" s="517">
        <f>IF(AND('Expense Jrnl'!$G252&lt;&gt;"",'Expense Jrnl'!$C252&lt;&gt;""),1,0)</f>
        <v>0</v>
      </c>
      <c r="C748" s="517">
        <f>'Expense Jrnl'!$C252</f>
        <v>0</v>
      </c>
      <c r="D748" s="540">
        <f>'Expense Jrnl'!$D252</f>
        <v>0</v>
      </c>
      <c r="E748" s="1523">
        <f>'Expense Jrnl'!$F252</f>
        <v>0</v>
      </c>
      <c r="F748" s="1523"/>
      <c r="G748" s="519" t="str">
        <f>IF('Expense Jrnl'!$E252="","",'Expense Jrnl'!$E252)</f>
        <v/>
      </c>
      <c r="H748" s="518">
        <f>'Expense Jrnl'!H252</f>
        <v>0</v>
      </c>
      <c r="I748" s="518" t="str">
        <f t="shared" si="22"/>
        <v>0</v>
      </c>
      <c r="J748" s="520" t="b">
        <f t="shared" si="23"/>
        <v>0</v>
      </c>
      <c r="K748" s="541"/>
      <c r="L748" s="541">
        <f>'Expense Jrnl'!$G252</f>
        <v>0</v>
      </c>
      <c r="M748" s="523"/>
      <c r="N748" s="539"/>
    </row>
    <row r="749" spans="2:14" s="1" customFormat="1" ht="30" hidden="1" customHeight="1" x14ac:dyDescent="0.2">
      <c r="B749" s="517">
        <f>IF(AND('Expense Jrnl'!$G253&lt;&gt;"",'Expense Jrnl'!$C253&lt;&gt;""),1,0)</f>
        <v>0</v>
      </c>
      <c r="C749" s="517">
        <f>'Expense Jrnl'!$C253</f>
        <v>0</v>
      </c>
      <c r="D749" s="540">
        <f>'Expense Jrnl'!$D253</f>
        <v>0</v>
      </c>
      <c r="E749" s="1523">
        <f>'Expense Jrnl'!$F253</f>
        <v>0</v>
      </c>
      <c r="F749" s="1523"/>
      <c r="G749" s="519" t="str">
        <f>IF('Expense Jrnl'!$E253="","",'Expense Jrnl'!$E253)</f>
        <v/>
      </c>
      <c r="H749" s="518">
        <f>'Expense Jrnl'!H253</f>
        <v>0</v>
      </c>
      <c r="I749" s="518" t="str">
        <f t="shared" si="22"/>
        <v>0</v>
      </c>
      <c r="J749" s="520" t="b">
        <f t="shared" si="23"/>
        <v>0</v>
      </c>
      <c r="K749" s="541"/>
      <c r="L749" s="541">
        <f>'Expense Jrnl'!$G253</f>
        <v>0</v>
      </c>
      <c r="M749" s="523"/>
      <c r="N749" s="539"/>
    </row>
    <row r="750" spans="2:14" s="1" customFormat="1" ht="30" hidden="1" customHeight="1" x14ac:dyDescent="0.2">
      <c r="B750" s="517">
        <f>IF(AND('Expense Jrnl'!$G254&lt;&gt;"",'Expense Jrnl'!$C254&lt;&gt;""),1,0)</f>
        <v>0</v>
      </c>
      <c r="C750" s="517">
        <f>'Expense Jrnl'!$C254</f>
        <v>0</v>
      </c>
      <c r="D750" s="540">
        <f>'Expense Jrnl'!$D254</f>
        <v>0</v>
      </c>
      <c r="E750" s="1523">
        <f>'Expense Jrnl'!$F254</f>
        <v>0</v>
      </c>
      <c r="F750" s="1523"/>
      <c r="G750" s="519" t="str">
        <f>IF('Expense Jrnl'!$E254="","",'Expense Jrnl'!$E254)</f>
        <v/>
      </c>
      <c r="H750" s="518">
        <f>'Expense Jrnl'!H254</f>
        <v>0</v>
      </c>
      <c r="I750" s="518" t="str">
        <f t="shared" si="22"/>
        <v>0</v>
      </c>
      <c r="J750" s="520" t="b">
        <f t="shared" si="23"/>
        <v>0</v>
      </c>
      <c r="K750" s="541"/>
      <c r="L750" s="541">
        <f>'Expense Jrnl'!$G254</f>
        <v>0</v>
      </c>
      <c r="M750" s="523"/>
      <c r="N750" s="539"/>
    </row>
    <row r="751" spans="2:14" s="1" customFormat="1" ht="30" hidden="1" customHeight="1" x14ac:dyDescent="0.2">
      <c r="B751" s="517">
        <f>IF(AND('Expense Jrnl'!$G255&lt;&gt;"",'Expense Jrnl'!$C255&lt;&gt;""),1,0)</f>
        <v>0</v>
      </c>
      <c r="C751" s="517">
        <f>'Expense Jrnl'!$C255</f>
        <v>0</v>
      </c>
      <c r="D751" s="540">
        <f>'Expense Jrnl'!$D255</f>
        <v>0</v>
      </c>
      <c r="E751" s="1523">
        <f>'Expense Jrnl'!$F255</f>
        <v>0</v>
      </c>
      <c r="F751" s="1523"/>
      <c r="G751" s="519" t="str">
        <f>IF('Expense Jrnl'!$E255="","",'Expense Jrnl'!$E255)</f>
        <v/>
      </c>
      <c r="H751" s="518">
        <f>'Expense Jrnl'!H255</f>
        <v>0</v>
      </c>
      <c r="I751" s="518" t="str">
        <f t="shared" si="22"/>
        <v>0</v>
      </c>
      <c r="J751" s="520" t="b">
        <f t="shared" si="23"/>
        <v>0</v>
      </c>
      <c r="K751" s="541"/>
      <c r="L751" s="541">
        <f>'Expense Jrnl'!$G255</f>
        <v>0</v>
      </c>
      <c r="M751" s="523">
        <f>'Expense Jrnl'!E17</f>
        <v>0</v>
      </c>
      <c r="N751" s="539">
        <f>'Expense Jrnl'!$H17</f>
        <v>0</v>
      </c>
    </row>
    <row r="752" spans="2:14" s="1" customFormat="1" ht="30" hidden="1" customHeight="1" x14ac:dyDescent="0.2">
      <c r="B752" s="517">
        <f>IF(AND('Expense Jrnl'!$G256&lt;&gt;"",'Expense Jrnl'!$C256&lt;&gt;""),1,0)</f>
        <v>0</v>
      </c>
      <c r="C752" s="517">
        <f>'Expense Jrnl'!$C256</f>
        <v>0</v>
      </c>
      <c r="D752" s="540">
        <f>'Expense Jrnl'!$D256</f>
        <v>0</v>
      </c>
      <c r="E752" s="1523">
        <f>'Expense Jrnl'!$F256</f>
        <v>0</v>
      </c>
      <c r="F752" s="1523"/>
      <c r="G752" s="519" t="str">
        <f>IF('Expense Jrnl'!$E256="","",'Expense Jrnl'!$E256)</f>
        <v/>
      </c>
      <c r="H752" s="518">
        <f>'Expense Jrnl'!H256</f>
        <v>0</v>
      </c>
      <c r="I752" s="518" t="str">
        <f t="shared" si="22"/>
        <v>0</v>
      </c>
      <c r="J752" s="520" t="b">
        <f t="shared" si="23"/>
        <v>0</v>
      </c>
      <c r="K752" s="541"/>
      <c r="L752" s="541">
        <f>'Expense Jrnl'!$G256</f>
        <v>0</v>
      </c>
      <c r="M752" s="523">
        <f>'Expense Jrnl'!E18</f>
        <v>0</v>
      </c>
      <c r="N752" s="539">
        <f>'Expense Jrnl'!$H18</f>
        <v>0</v>
      </c>
    </row>
    <row r="753" spans="2:14" s="1" customFormat="1" ht="30" hidden="1" customHeight="1" x14ac:dyDescent="0.2">
      <c r="B753" s="517">
        <f>IF(AND('Expense Jrnl'!$G257&lt;&gt;"",'Expense Jrnl'!$C257&lt;&gt;""),1,0)</f>
        <v>0</v>
      </c>
      <c r="C753" s="517">
        <f>'Expense Jrnl'!$C257</f>
        <v>0</v>
      </c>
      <c r="D753" s="540">
        <f>'Expense Jrnl'!$D257</f>
        <v>0</v>
      </c>
      <c r="E753" s="1523">
        <f>'Expense Jrnl'!$F257</f>
        <v>0</v>
      </c>
      <c r="F753" s="1523"/>
      <c r="G753" s="519" t="str">
        <f>IF('Expense Jrnl'!$E257="","",'Expense Jrnl'!$E257)</f>
        <v/>
      </c>
      <c r="H753" s="518">
        <f>'Expense Jrnl'!H257</f>
        <v>0</v>
      </c>
      <c r="I753" s="518" t="str">
        <f t="shared" si="22"/>
        <v>0</v>
      </c>
      <c r="J753" s="520" t="b">
        <f t="shared" si="23"/>
        <v>0</v>
      </c>
      <c r="K753" s="541"/>
      <c r="L753" s="541">
        <f>'Expense Jrnl'!$G257</f>
        <v>0</v>
      </c>
      <c r="M753" s="523">
        <f>'Expense Jrnl'!E19</f>
        <v>0</v>
      </c>
      <c r="N753" s="539">
        <f>'Expense Jrnl'!$H19</f>
        <v>0</v>
      </c>
    </row>
    <row r="754" spans="2:14" s="1" customFormat="1" ht="30" hidden="1" customHeight="1" x14ac:dyDescent="0.2">
      <c r="B754" s="517">
        <f>IF(AND('Expense Jrnl'!$G258&lt;&gt;"",'Expense Jrnl'!$C258&lt;&gt;""),1,0)</f>
        <v>0</v>
      </c>
      <c r="C754" s="517">
        <f>'Expense Jrnl'!$C258</f>
        <v>0</v>
      </c>
      <c r="D754" s="540">
        <f>'Expense Jrnl'!$D258</f>
        <v>0</v>
      </c>
      <c r="E754" s="1523">
        <f>'Expense Jrnl'!$F258</f>
        <v>0</v>
      </c>
      <c r="F754" s="1523"/>
      <c r="G754" s="519" t="str">
        <f>IF('Expense Jrnl'!$E258="","",'Expense Jrnl'!$E258)</f>
        <v/>
      </c>
      <c r="H754" s="518">
        <f>'Expense Jrnl'!H258</f>
        <v>0</v>
      </c>
      <c r="I754" s="518" t="str">
        <f t="shared" si="22"/>
        <v>0</v>
      </c>
      <c r="J754" s="520" t="b">
        <f t="shared" si="23"/>
        <v>0</v>
      </c>
      <c r="K754" s="541"/>
      <c r="L754" s="541">
        <f>'Expense Jrnl'!$G258</f>
        <v>0</v>
      </c>
      <c r="M754" s="523">
        <f>'Expense Jrnl'!E20</f>
        <v>0</v>
      </c>
      <c r="N754" s="539">
        <f>'Expense Jrnl'!$H20</f>
        <v>0</v>
      </c>
    </row>
    <row r="755" spans="2:14" s="1" customFormat="1" ht="30" hidden="1" customHeight="1" x14ac:dyDescent="0.2">
      <c r="B755" s="517">
        <f>IF(AND('Expense Jrnl'!$G259&lt;&gt;"",'Expense Jrnl'!$C259&lt;&gt;""),1,0)</f>
        <v>0</v>
      </c>
      <c r="C755" s="517">
        <f>'Expense Jrnl'!$C259</f>
        <v>0</v>
      </c>
      <c r="D755" s="540">
        <f>'Expense Jrnl'!$D259</f>
        <v>0</v>
      </c>
      <c r="E755" s="1523">
        <f>'Expense Jrnl'!$F259</f>
        <v>0</v>
      </c>
      <c r="F755" s="1523"/>
      <c r="G755" s="519" t="str">
        <f>IF('Expense Jrnl'!$E259="","",'Expense Jrnl'!$E259)</f>
        <v/>
      </c>
      <c r="H755" s="518">
        <f>'Expense Jrnl'!H259</f>
        <v>0</v>
      </c>
      <c r="I755" s="518" t="str">
        <f t="shared" si="22"/>
        <v>0</v>
      </c>
      <c r="J755" s="520" t="b">
        <f t="shared" si="23"/>
        <v>0</v>
      </c>
      <c r="K755" s="541"/>
      <c r="L755" s="541">
        <f>'Expense Jrnl'!$G259</f>
        <v>0</v>
      </c>
      <c r="M755" s="523">
        <f>'Expense Jrnl'!E21</f>
        <v>0</v>
      </c>
      <c r="N755" s="539">
        <f>'Expense Jrnl'!$H21</f>
        <v>0</v>
      </c>
    </row>
    <row r="756" spans="2:14" s="1" customFormat="1" ht="30" hidden="1" customHeight="1" x14ac:dyDescent="0.2">
      <c r="B756" s="517">
        <f>IF(AND('Expense Jrnl'!$G260&lt;&gt;"",'Expense Jrnl'!$C260&lt;&gt;""),1,0)</f>
        <v>0</v>
      </c>
      <c r="C756" s="517">
        <f>'Expense Jrnl'!$C260</f>
        <v>0</v>
      </c>
      <c r="D756" s="540">
        <f>'Expense Jrnl'!$D260</f>
        <v>0</v>
      </c>
      <c r="E756" s="1523">
        <f>'Expense Jrnl'!$F260</f>
        <v>0</v>
      </c>
      <c r="F756" s="1523"/>
      <c r="G756" s="519" t="str">
        <f>IF('Expense Jrnl'!$E260="","",'Expense Jrnl'!$E260)</f>
        <v/>
      </c>
      <c r="H756" s="518">
        <f>'Expense Jrnl'!H260</f>
        <v>0</v>
      </c>
      <c r="I756" s="518" t="str">
        <f t="shared" si="22"/>
        <v>0</v>
      </c>
      <c r="J756" s="520" t="b">
        <f t="shared" si="23"/>
        <v>0</v>
      </c>
      <c r="K756" s="541"/>
      <c r="L756" s="541">
        <f>'Expense Jrnl'!$G260</f>
        <v>0</v>
      </c>
      <c r="M756" s="523">
        <f>'Expense Jrnl'!E22</f>
        <v>0</v>
      </c>
      <c r="N756" s="539">
        <f>'Expense Jrnl'!$H22</f>
        <v>0</v>
      </c>
    </row>
    <row r="757" spans="2:14" s="1" customFormat="1" ht="30" hidden="1" customHeight="1" x14ac:dyDescent="0.2">
      <c r="B757" s="517">
        <f>IF(AND('Expense Jrnl'!$G261&lt;&gt;"",'Expense Jrnl'!$C261&lt;&gt;""),1,0)</f>
        <v>0</v>
      </c>
      <c r="C757" s="517">
        <f>'Expense Jrnl'!$C261</f>
        <v>0</v>
      </c>
      <c r="D757" s="540">
        <f>'Expense Jrnl'!$D261</f>
        <v>0</v>
      </c>
      <c r="E757" s="1523">
        <f>'Expense Jrnl'!$F261</f>
        <v>0</v>
      </c>
      <c r="F757" s="1523"/>
      <c r="G757" s="519" t="str">
        <f>IF('Expense Jrnl'!$E261="","",'Expense Jrnl'!$E261)</f>
        <v/>
      </c>
      <c r="H757" s="518">
        <f>'Expense Jrnl'!H261</f>
        <v>0</v>
      </c>
      <c r="I757" s="518" t="str">
        <f t="shared" si="22"/>
        <v>0</v>
      </c>
      <c r="J757" s="520" t="b">
        <f t="shared" si="23"/>
        <v>0</v>
      </c>
      <c r="K757" s="541"/>
      <c r="L757" s="541">
        <f>'Expense Jrnl'!$G261</f>
        <v>0</v>
      </c>
      <c r="M757" s="523">
        <f>'Expense Jrnl'!E23</f>
        <v>0</v>
      </c>
      <c r="N757" s="539">
        <f>'Expense Jrnl'!$H23</f>
        <v>0</v>
      </c>
    </row>
    <row r="758" spans="2:14" s="1" customFormat="1" ht="30" hidden="1" customHeight="1" x14ac:dyDescent="0.2">
      <c r="B758" s="517">
        <f>IF(AND('Expense Jrnl'!$G262&lt;&gt;"",'Expense Jrnl'!$C262&lt;&gt;""),1,0)</f>
        <v>0</v>
      </c>
      <c r="C758" s="517">
        <f>'Expense Jrnl'!$C262</f>
        <v>0</v>
      </c>
      <c r="D758" s="540">
        <f>'Expense Jrnl'!$D262</f>
        <v>0</v>
      </c>
      <c r="E758" s="1523">
        <f>'Expense Jrnl'!$F262</f>
        <v>0</v>
      </c>
      <c r="F758" s="1523"/>
      <c r="G758" s="519" t="str">
        <f>IF('Expense Jrnl'!$E262="","",'Expense Jrnl'!$E262)</f>
        <v/>
      </c>
      <c r="H758" s="518">
        <f>'Expense Jrnl'!H262</f>
        <v>0</v>
      </c>
      <c r="I758" s="518" t="str">
        <f t="shared" si="22"/>
        <v>0</v>
      </c>
      <c r="J758" s="520" t="b">
        <f t="shared" si="23"/>
        <v>0</v>
      </c>
      <c r="K758" s="541"/>
      <c r="L758" s="541">
        <f>'Expense Jrnl'!$G262</f>
        <v>0</v>
      </c>
      <c r="M758" s="523">
        <f>'Expense Jrnl'!E24</f>
        <v>0</v>
      </c>
      <c r="N758" s="539">
        <f>'Expense Jrnl'!$H24</f>
        <v>0</v>
      </c>
    </row>
    <row r="759" spans="2:14" s="1" customFormat="1" ht="30" hidden="1" customHeight="1" x14ac:dyDescent="0.2">
      <c r="B759" s="517">
        <f>IF(AND('Expense Jrnl'!$G263&lt;&gt;"",'Expense Jrnl'!$C263&lt;&gt;""),1,0)</f>
        <v>0</v>
      </c>
      <c r="C759" s="517">
        <f>'Expense Jrnl'!$C263</f>
        <v>0</v>
      </c>
      <c r="D759" s="540">
        <f>'Expense Jrnl'!$D263</f>
        <v>0</v>
      </c>
      <c r="E759" s="1523">
        <f>'Expense Jrnl'!$F263</f>
        <v>0</v>
      </c>
      <c r="F759" s="1523"/>
      <c r="G759" s="519" t="str">
        <f>IF('Expense Jrnl'!$E263="","",'Expense Jrnl'!$E263)</f>
        <v/>
      </c>
      <c r="H759" s="518">
        <f>'Expense Jrnl'!H263</f>
        <v>0</v>
      </c>
      <c r="I759" s="518" t="str">
        <f t="shared" si="22"/>
        <v>0</v>
      </c>
      <c r="J759" s="520" t="b">
        <f t="shared" si="23"/>
        <v>0</v>
      </c>
      <c r="K759" s="541"/>
      <c r="L759" s="541">
        <f>'Expense Jrnl'!$G263</f>
        <v>0</v>
      </c>
      <c r="M759" s="523">
        <f>'Expense Jrnl'!E25</f>
        <v>0</v>
      </c>
      <c r="N759" s="539">
        <f>'Expense Jrnl'!$H25</f>
        <v>0</v>
      </c>
    </row>
    <row r="760" spans="2:14" s="1" customFormat="1" ht="30" hidden="1" customHeight="1" x14ac:dyDescent="0.2">
      <c r="B760" s="517">
        <f>IF(AND('Expense Jrnl'!$G264&lt;&gt;"",'Expense Jrnl'!$C264&lt;&gt;""),1,0)</f>
        <v>0</v>
      </c>
      <c r="C760" s="517">
        <f>'Expense Jrnl'!$C264</f>
        <v>0</v>
      </c>
      <c r="D760" s="540">
        <f>'Expense Jrnl'!$D264</f>
        <v>0</v>
      </c>
      <c r="E760" s="1523">
        <f>'Expense Jrnl'!$F264</f>
        <v>0</v>
      </c>
      <c r="F760" s="1523"/>
      <c r="G760" s="519" t="str">
        <f>IF('Expense Jrnl'!$E264="","",'Expense Jrnl'!$E264)</f>
        <v/>
      </c>
      <c r="H760" s="518">
        <f>'Expense Jrnl'!H264</f>
        <v>0</v>
      </c>
      <c r="I760" s="518" t="str">
        <f t="shared" si="22"/>
        <v>0</v>
      </c>
      <c r="J760" s="520" t="b">
        <f t="shared" si="23"/>
        <v>0</v>
      </c>
      <c r="K760" s="541"/>
      <c r="L760" s="541">
        <f>'Expense Jrnl'!$G264</f>
        <v>0</v>
      </c>
      <c r="M760" s="523">
        <f>'Expense Jrnl'!E26</f>
        <v>0</v>
      </c>
      <c r="N760" s="539">
        <f>'Expense Jrnl'!$H26</f>
        <v>0</v>
      </c>
    </row>
    <row r="761" spans="2:14" s="1" customFormat="1" ht="30" hidden="1" customHeight="1" x14ac:dyDescent="0.2">
      <c r="B761" s="517">
        <f>IF(AND('Expense Jrnl'!$G265&lt;&gt;"",'Expense Jrnl'!$C265&lt;&gt;""),1,0)</f>
        <v>0</v>
      </c>
      <c r="C761" s="517">
        <f>'Expense Jrnl'!$C265</f>
        <v>0</v>
      </c>
      <c r="D761" s="540">
        <f>'Expense Jrnl'!$D265</f>
        <v>0</v>
      </c>
      <c r="E761" s="1523">
        <f>'Expense Jrnl'!$F265</f>
        <v>0</v>
      </c>
      <c r="F761" s="1523"/>
      <c r="G761" s="519" t="str">
        <f>IF('Expense Jrnl'!$E265="","",'Expense Jrnl'!$E265)</f>
        <v/>
      </c>
      <c r="H761" s="518">
        <f>'Expense Jrnl'!H265</f>
        <v>0</v>
      </c>
      <c r="I761" s="518" t="str">
        <f t="shared" si="22"/>
        <v>0</v>
      </c>
      <c r="J761" s="520" t="b">
        <f t="shared" si="23"/>
        <v>0</v>
      </c>
      <c r="K761" s="541"/>
      <c r="L761" s="541">
        <f>'Expense Jrnl'!$G265</f>
        <v>0</v>
      </c>
      <c r="M761" s="523">
        <f>'Expense Jrnl'!E27</f>
        <v>0</v>
      </c>
      <c r="N761" s="539">
        <f>'Expense Jrnl'!$H27</f>
        <v>0</v>
      </c>
    </row>
    <row r="762" spans="2:14" s="1" customFormat="1" ht="30" hidden="1" customHeight="1" x14ac:dyDescent="0.2">
      <c r="B762" s="517">
        <f>IF(AND('Expense Jrnl'!$G266&lt;&gt;"",'Expense Jrnl'!$C266&lt;&gt;""),1,0)</f>
        <v>0</v>
      </c>
      <c r="C762" s="517">
        <f>'Expense Jrnl'!$C266</f>
        <v>0</v>
      </c>
      <c r="D762" s="540">
        <f>'Expense Jrnl'!$D266</f>
        <v>0</v>
      </c>
      <c r="E762" s="1523">
        <f>'Expense Jrnl'!$F266</f>
        <v>0</v>
      </c>
      <c r="F762" s="1523"/>
      <c r="G762" s="519" t="str">
        <f>IF('Expense Jrnl'!$E266="","",'Expense Jrnl'!$E266)</f>
        <v/>
      </c>
      <c r="H762" s="518">
        <f>'Expense Jrnl'!H266</f>
        <v>0</v>
      </c>
      <c r="I762" s="518" t="str">
        <f t="shared" si="22"/>
        <v>0</v>
      </c>
      <c r="J762" s="520" t="b">
        <f t="shared" si="23"/>
        <v>0</v>
      </c>
      <c r="K762" s="541"/>
      <c r="L762" s="541">
        <f>'Expense Jrnl'!$G266</f>
        <v>0</v>
      </c>
      <c r="M762" s="523">
        <f>'Expense Jrnl'!E28</f>
        <v>0</v>
      </c>
      <c r="N762" s="539">
        <f>'Expense Jrnl'!$H28</f>
        <v>0</v>
      </c>
    </row>
    <row r="763" spans="2:14" s="1" customFormat="1" ht="30" hidden="1" customHeight="1" x14ac:dyDescent="0.2">
      <c r="B763" s="517">
        <f>IF(AND('Expense Jrnl'!$G267&lt;&gt;"",'Expense Jrnl'!$C267&lt;&gt;""),1,0)</f>
        <v>0</v>
      </c>
      <c r="C763" s="517">
        <f>'Expense Jrnl'!$C267</f>
        <v>0</v>
      </c>
      <c r="D763" s="540">
        <f>'Expense Jrnl'!$D267</f>
        <v>0</v>
      </c>
      <c r="E763" s="1523">
        <f>'Expense Jrnl'!$F267</f>
        <v>0</v>
      </c>
      <c r="F763" s="1523"/>
      <c r="G763" s="519" t="str">
        <f>IF('Expense Jrnl'!$E267="","",'Expense Jrnl'!$E267)</f>
        <v/>
      </c>
      <c r="H763" s="518">
        <f>'Expense Jrnl'!H267</f>
        <v>0</v>
      </c>
      <c r="I763" s="518" t="str">
        <f t="shared" si="22"/>
        <v>0</v>
      </c>
      <c r="J763" s="520" t="b">
        <f t="shared" si="23"/>
        <v>0</v>
      </c>
      <c r="K763" s="541"/>
      <c r="L763" s="541">
        <f>'Expense Jrnl'!$G267</f>
        <v>0</v>
      </c>
      <c r="M763" s="523">
        <f>'Expense Jrnl'!E29</f>
        <v>0</v>
      </c>
      <c r="N763" s="539">
        <f>'Expense Jrnl'!$H29</f>
        <v>0</v>
      </c>
    </row>
    <row r="764" spans="2:14" s="1" customFormat="1" ht="30" hidden="1" customHeight="1" x14ac:dyDescent="0.2">
      <c r="B764" s="517">
        <f>IF(AND('Expense Jrnl'!$G268&lt;&gt;"",'Expense Jrnl'!$C268&lt;&gt;""),1,0)</f>
        <v>0</v>
      </c>
      <c r="C764" s="517">
        <f>'Expense Jrnl'!$C268</f>
        <v>0</v>
      </c>
      <c r="D764" s="540">
        <f>'Expense Jrnl'!$D268</f>
        <v>0</v>
      </c>
      <c r="E764" s="1523">
        <f>'Expense Jrnl'!$F268</f>
        <v>0</v>
      </c>
      <c r="F764" s="1523"/>
      <c r="G764" s="519" t="str">
        <f>IF('Expense Jrnl'!$E268="","",'Expense Jrnl'!$E268)</f>
        <v/>
      </c>
      <c r="H764" s="518">
        <f>'Expense Jrnl'!H268</f>
        <v>0</v>
      </c>
      <c r="I764" s="518" t="str">
        <f t="shared" si="22"/>
        <v>0</v>
      </c>
      <c r="J764" s="520" t="b">
        <f t="shared" si="23"/>
        <v>0</v>
      </c>
      <c r="K764" s="541"/>
      <c r="L764" s="541">
        <f>'Expense Jrnl'!$G268</f>
        <v>0</v>
      </c>
      <c r="M764" s="523">
        <f>'Expense Jrnl'!E30</f>
        <v>0</v>
      </c>
      <c r="N764" s="539">
        <f>'Expense Jrnl'!$H30</f>
        <v>0</v>
      </c>
    </row>
    <row r="765" spans="2:14" s="1" customFormat="1" ht="30" hidden="1" customHeight="1" x14ac:dyDescent="0.2">
      <c r="B765" s="517">
        <f>IF(AND('Expense Jrnl'!$G269&lt;&gt;"",'Expense Jrnl'!$C269&lt;&gt;""),1,0)</f>
        <v>0</v>
      </c>
      <c r="C765" s="517">
        <f>'Expense Jrnl'!$C269</f>
        <v>0</v>
      </c>
      <c r="D765" s="540">
        <f>'Expense Jrnl'!$D269</f>
        <v>0</v>
      </c>
      <c r="E765" s="1523">
        <f>'Expense Jrnl'!$F269</f>
        <v>0</v>
      </c>
      <c r="F765" s="1523"/>
      <c r="G765" s="519" t="str">
        <f>IF('Expense Jrnl'!$E269="","",'Expense Jrnl'!$E269)</f>
        <v/>
      </c>
      <c r="H765" s="518">
        <f>'Expense Jrnl'!H269</f>
        <v>0</v>
      </c>
      <c r="I765" s="518" t="str">
        <f t="shared" si="22"/>
        <v>0</v>
      </c>
      <c r="J765" s="520" t="b">
        <f t="shared" si="23"/>
        <v>0</v>
      </c>
      <c r="K765" s="541"/>
      <c r="L765" s="541">
        <f>'Expense Jrnl'!$G269</f>
        <v>0</v>
      </c>
      <c r="M765" s="523">
        <f>'Expense Jrnl'!E31</f>
        <v>0</v>
      </c>
      <c r="N765" s="539">
        <f>'Expense Jrnl'!$H31</f>
        <v>0</v>
      </c>
    </row>
    <row r="766" spans="2:14" s="1" customFormat="1" ht="30" hidden="1" customHeight="1" x14ac:dyDescent="0.2">
      <c r="B766" s="517">
        <f>IF(AND('Expense Jrnl'!$G270&lt;&gt;"",'Expense Jrnl'!$C270&lt;&gt;""),1,0)</f>
        <v>0</v>
      </c>
      <c r="C766" s="517">
        <f>'Expense Jrnl'!$C270</f>
        <v>0</v>
      </c>
      <c r="D766" s="540">
        <f>'Expense Jrnl'!$D270</f>
        <v>0</v>
      </c>
      <c r="E766" s="1523">
        <f>'Expense Jrnl'!$F270</f>
        <v>0</v>
      </c>
      <c r="F766" s="1523"/>
      <c r="G766" s="519" t="str">
        <f>IF('Expense Jrnl'!$E270="","",'Expense Jrnl'!$E270)</f>
        <v/>
      </c>
      <c r="H766" s="518">
        <f>'Expense Jrnl'!H270</f>
        <v>0</v>
      </c>
      <c r="I766" s="518" t="str">
        <f t="shared" si="22"/>
        <v>0</v>
      </c>
      <c r="J766" s="520" t="b">
        <f t="shared" si="23"/>
        <v>0</v>
      </c>
      <c r="K766" s="541"/>
      <c r="L766" s="541">
        <f>'Expense Jrnl'!$G270</f>
        <v>0</v>
      </c>
      <c r="M766" s="523">
        <f>'Expense Jrnl'!E32</f>
        <v>0</v>
      </c>
      <c r="N766" s="539">
        <f>'Expense Jrnl'!$H32</f>
        <v>0</v>
      </c>
    </row>
    <row r="767" spans="2:14" s="1" customFormat="1" ht="30" hidden="1" customHeight="1" x14ac:dyDescent="0.2">
      <c r="B767" s="517">
        <f>IF(AND('Expense Jrnl'!$G271&lt;&gt;"",'Expense Jrnl'!$C271&lt;&gt;""),1,0)</f>
        <v>0</v>
      </c>
      <c r="C767" s="517">
        <f>'Expense Jrnl'!$C271</f>
        <v>0</v>
      </c>
      <c r="D767" s="540">
        <f>'Expense Jrnl'!$D271</f>
        <v>0</v>
      </c>
      <c r="E767" s="1523">
        <f>'Expense Jrnl'!$F271</f>
        <v>0</v>
      </c>
      <c r="F767" s="1523"/>
      <c r="G767" s="519" t="str">
        <f>IF('Expense Jrnl'!$E271="","",'Expense Jrnl'!$E271)</f>
        <v/>
      </c>
      <c r="H767" s="518">
        <f>'Expense Jrnl'!H271</f>
        <v>0</v>
      </c>
      <c r="I767" s="518" t="str">
        <f t="shared" si="22"/>
        <v>0</v>
      </c>
      <c r="J767" s="520" t="b">
        <f t="shared" si="23"/>
        <v>0</v>
      </c>
      <c r="K767" s="541"/>
      <c r="L767" s="541">
        <f>'Expense Jrnl'!$G271</f>
        <v>0</v>
      </c>
      <c r="M767" s="523">
        <f>'Expense Jrnl'!E33</f>
        <v>0</v>
      </c>
      <c r="N767" s="539">
        <f>'Expense Jrnl'!$H33</f>
        <v>0</v>
      </c>
    </row>
    <row r="768" spans="2:14" s="1" customFormat="1" ht="30" hidden="1" customHeight="1" x14ac:dyDescent="0.2">
      <c r="B768" s="517">
        <f>IF(AND('Expense Jrnl'!$G272&lt;&gt;"",'Expense Jrnl'!$C272&lt;&gt;""),1,0)</f>
        <v>0</v>
      </c>
      <c r="C768" s="517">
        <f>'Expense Jrnl'!$C272</f>
        <v>0</v>
      </c>
      <c r="D768" s="540">
        <f>'Expense Jrnl'!$D272</f>
        <v>0</v>
      </c>
      <c r="E768" s="1523">
        <f>'Expense Jrnl'!$F272</f>
        <v>0</v>
      </c>
      <c r="F768" s="1523"/>
      <c r="G768" s="519" t="str">
        <f>IF('Expense Jrnl'!$E272="","",'Expense Jrnl'!$E272)</f>
        <v/>
      </c>
      <c r="H768" s="518">
        <f>'Expense Jrnl'!H272</f>
        <v>0</v>
      </c>
      <c r="I768" s="518" t="str">
        <f t="shared" ref="I768:I831" si="24">LEFT(H768,4)</f>
        <v>0</v>
      </c>
      <c r="J768" s="520" t="b">
        <f t="shared" ref="J768:J831" si="25">IF(I768="1020",IF(G768&gt;=$E$3,IF(G768&lt;=$G$3,L768,0)))</f>
        <v>0</v>
      </c>
      <c r="K768" s="541"/>
      <c r="L768" s="541">
        <f>'Expense Jrnl'!$G272</f>
        <v>0</v>
      </c>
      <c r="M768" s="523">
        <f>'Expense Jrnl'!E34</f>
        <v>0</v>
      </c>
      <c r="N768" s="539">
        <f>'Expense Jrnl'!$H34</f>
        <v>0</v>
      </c>
    </row>
    <row r="769" spans="2:14" s="1" customFormat="1" ht="30" hidden="1" customHeight="1" x14ac:dyDescent="0.2">
      <c r="B769" s="517">
        <f>IF(AND('Expense Jrnl'!$G273&lt;&gt;"",'Expense Jrnl'!$C273&lt;&gt;""),1,0)</f>
        <v>0</v>
      </c>
      <c r="C769" s="517">
        <f>'Expense Jrnl'!$C273</f>
        <v>0</v>
      </c>
      <c r="D769" s="540">
        <f>'Expense Jrnl'!$D273</f>
        <v>0</v>
      </c>
      <c r="E769" s="1523">
        <f>'Expense Jrnl'!$F273</f>
        <v>0</v>
      </c>
      <c r="F769" s="1523"/>
      <c r="G769" s="519" t="str">
        <f>IF('Expense Jrnl'!$E273="","",'Expense Jrnl'!$E273)</f>
        <v/>
      </c>
      <c r="H769" s="518">
        <f>'Expense Jrnl'!H273</f>
        <v>0</v>
      </c>
      <c r="I769" s="518" t="str">
        <f t="shared" si="24"/>
        <v>0</v>
      </c>
      <c r="J769" s="520" t="b">
        <f t="shared" si="25"/>
        <v>0</v>
      </c>
      <c r="K769" s="541"/>
      <c r="L769" s="541">
        <f>'Expense Jrnl'!$G273</f>
        <v>0</v>
      </c>
      <c r="M769" s="523">
        <f>'Expense Jrnl'!E35</f>
        <v>0</v>
      </c>
      <c r="N769" s="539">
        <f>'Expense Jrnl'!$H35</f>
        <v>0</v>
      </c>
    </row>
    <row r="770" spans="2:14" s="1" customFormat="1" ht="30" hidden="1" customHeight="1" x14ac:dyDescent="0.2">
      <c r="B770" s="517">
        <f>IF(AND('Expense Jrnl'!$G274&lt;&gt;"",'Expense Jrnl'!$C274&lt;&gt;""),1,0)</f>
        <v>0</v>
      </c>
      <c r="C770" s="517">
        <f>'Expense Jrnl'!$C274</f>
        <v>0</v>
      </c>
      <c r="D770" s="540">
        <f>'Expense Jrnl'!$D274</f>
        <v>0</v>
      </c>
      <c r="E770" s="1523">
        <f>'Expense Jrnl'!$F274</f>
        <v>0</v>
      </c>
      <c r="F770" s="1523"/>
      <c r="G770" s="519" t="str">
        <f>IF('Expense Jrnl'!$E274="","",'Expense Jrnl'!$E274)</f>
        <v/>
      </c>
      <c r="H770" s="518">
        <f>'Expense Jrnl'!H274</f>
        <v>0</v>
      </c>
      <c r="I770" s="518" t="str">
        <f t="shared" si="24"/>
        <v>0</v>
      </c>
      <c r="J770" s="520" t="b">
        <f t="shared" si="25"/>
        <v>0</v>
      </c>
      <c r="K770" s="541"/>
      <c r="L770" s="541">
        <f>'Expense Jrnl'!$G274</f>
        <v>0</v>
      </c>
      <c r="M770" s="523">
        <f>'Expense Jrnl'!E36</f>
        <v>0</v>
      </c>
      <c r="N770" s="539">
        <f>'Expense Jrnl'!$H36</f>
        <v>0</v>
      </c>
    </row>
    <row r="771" spans="2:14" s="1" customFormat="1" ht="30" hidden="1" customHeight="1" x14ac:dyDescent="0.2">
      <c r="B771" s="517">
        <f>IF(AND('Expense Jrnl'!$G275&lt;&gt;"",'Expense Jrnl'!$C275&lt;&gt;""),1,0)</f>
        <v>0</v>
      </c>
      <c r="C771" s="517">
        <f>'Expense Jrnl'!$C275</f>
        <v>0</v>
      </c>
      <c r="D771" s="540">
        <f>'Expense Jrnl'!$D275</f>
        <v>0</v>
      </c>
      <c r="E771" s="1523">
        <f>'Expense Jrnl'!$F275</f>
        <v>0</v>
      </c>
      <c r="F771" s="1523"/>
      <c r="G771" s="519" t="str">
        <f>IF('Expense Jrnl'!$E275="","",'Expense Jrnl'!$E275)</f>
        <v/>
      </c>
      <c r="H771" s="518">
        <f>'Expense Jrnl'!H275</f>
        <v>0</v>
      </c>
      <c r="I771" s="518" t="str">
        <f t="shared" si="24"/>
        <v>0</v>
      </c>
      <c r="J771" s="520" t="b">
        <f t="shared" si="25"/>
        <v>0</v>
      </c>
      <c r="K771" s="541"/>
      <c r="L771" s="541">
        <f>'Expense Jrnl'!$G275</f>
        <v>0</v>
      </c>
      <c r="M771" s="523">
        <f>'Expense Jrnl'!E37</f>
        <v>0</v>
      </c>
      <c r="N771" s="539">
        <f>'Expense Jrnl'!$H37</f>
        <v>0</v>
      </c>
    </row>
    <row r="772" spans="2:14" s="1" customFormat="1" ht="30" hidden="1" customHeight="1" x14ac:dyDescent="0.2">
      <c r="B772" s="517">
        <f>IF(AND('Expense Jrnl'!$G276&lt;&gt;"",'Expense Jrnl'!$C276&lt;&gt;""),1,0)</f>
        <v>0</v>
      </c>
      <c r="C772" s="517">
        <f>'Expense Jrnl'!$C276</f>
        <v>0</v>
      </c>
      <c r="D772" s="540">
        <f>'Expense Jrnl'!$D276</f>
        <v>0</v>
      </c>
      <c r="E772" s="1523">
        <f>'Expense Jrnl'!$F276</f>
        <v>0</v>
      </c>
      <c r="F772" s="1523"/>
      <c r="G772" s="519" t="str">
        <f>IF('Expense Jrnl'!$E276="","",'Expense Jrnl'!$E276)</f>
        <v/>
      </c>
      <c r="H772" s="518">
        <f>'Expense Jrnl'!H276</f>
        <v>0</v>
      </c>
      <c r="I772" s="518" t="str">
        <f t="shared" si="24"/>
        <v>0</v>
      </c>
      <c r="J772" s="520" t="b">
        <f t="shared" si="25"/>
        <v>0</v>
      </c>
      <c r="K772" s="541"/>
      <c r="L772" s="541">
        <f>'Expense Jrnl'!$G276</f>
        <v>0</v>
      </c>
      <c r="M772" s="523">
        <f>'Expense Jrnl'!E38</f>
        <v>0</v>
      </c>
      <c r="N772" s="539">
        <f>'Expense Jrnl'!$H38</f>
        <v>0</v>
      </c>
    </row>
    <row r="773" spans="2:14" s="1" customFormat="1" ht="30" hidden="1" customHeight="1" x14ac:dyDescent="0.2">
      <c r="B773" s="517">
        <f>IF(AND('Expense Jrnl'!$G277&lt;&gt;"",'Expense Jrnl'!$C277&lt;&gt;""),1,0)</f>
        <v>0</v>
      </c>
      <c r="C773" s="517">
        <f>'Expense Jrnl'!$C277</f>
        <v>0</v>
      </c>
      <c r="D773" s="540">
        <f>'Expense Jrnl'!$D277</f>
        <v>0</v>
      </c>
      <c r="E773" s="1523">
        <f>'Expense Jrnl'!$F277</f>
        <v>0</v>
      </c>
      <c r="F773" s="1523"/>
      <c r="G773" s="519" t="str">
        <f>IF('Expense Jrnl'!$E277="","",'Expense Jrnl'!$E277)</f>
        <v/>
      </c>
      <c r="H773" s="518">
        <f>'Expense Jrnl'!H277</f>
        <v>0</v>
      </c>
      <c r="I773" s="518" t="str">
        <f t="shared" si="24"/>
        <v>0</v>
      </c>
      <c r="J773" s="520" t="b">
        <f t="shared" si="25"/>
        <v>0</v>
      </c>
      <c r="K773" s="541"/>
      <c r="L773" s="541">
        <f>'Expense Jrnl'!$G277</f>
        <v>0</v>
      </c>
      <c r="M773" s="523">
        <f>'Expense Jrnl'!E39</f>
        <v>0</v>
      </c>
      <c r="N773" s="539">
        <f>'Expense Jrnl'!$H39</f>
        <v>0</v>
      </c>
    </row>
    <row r="774" spans="2:14" s="1" customFormat="1" ht="30" hidden="1" customHeight="1" x14ac:dyDescent="0.2">
      <c r="B774" s="517">
        <f>IF(AND('Expense Jrnl'!$G278&lt;&gt;"",'Expense Jrnl'!$C278&lt;&gt;""),1,0)</f>
        <v>0</v>
      </c>
      <c r="C774" s="517">
        <f>'Expense Jrnl'!$C278</f>
        <v>0</v>
      </c>
      <c r="D774" s="540">
        <f>'Expense Jrnl'!$D278</f>
        <v>0</v>
      </c>
      <c r="E774" s="1523">
        <f>'Expense Jrnl'!$F278</f>
        <v>0</v>
      </c>
      <c r="F774" s="1523"/>
      <c r="G774" s="519" t="str">
        <f>IF('Expense Jrnl'!$E278="","",'Expense Jrnl'!$E278)</f>
        <v/>
      </c>
      <c r="H774" s="518">
        <f>'Expense Jrnl'!H278</f>
        <v>0</v>
      </c>
      <c r="I774" s="518" t="str">
        <f t="shared" si="24"/>
        <v>0</v>
      </c>
      <c r="J774" s="520" t="b">
        <f t="shared" si="25"/>
        <v>0</v>
      </c>
      <c r="K774" s="541"/>
      <c r="L774" s="541">
        <f>'Expense Jrnl'!$G278</f>
        <v>0</v>
      </c>
      <c r="M774" s="523">
        <f>'Expense Jrnl'!E40</f>
        <v>0</v>
      </c>
      <c r="N774" s="539">
        <f>'Expense Jrnl'!$H40</f>
        <v>0</v>
      </c>
    </row>
    <row r="775" spans="2:14" s="1" customFormat="1" ht="30" hidden="1" customHeight="1" x14ac:dyDescent="0.2">
      <c r="B775" s="517">
        <f>IF(AND('Expense Jrnl'!$G279&lt;&gt;"",'Expense Jrnl'!$C279&lt;&gt;""),1,0)</f>
        <v>0</v>
      </c>
      <c r="C775" s="517">
        <f>'Expense Jrnl'!$C279</f>
        <v>0</v>
      </c>
      <c r="D775" s="540">
        <f>'Expense Jrnl'!$D279</f>
        <v>0</v>
      </c>
      <c r="E775" s="1523">
        <f>'Expense Jrnl'!$F279</f>
        <v>0</v>
      </c>
      <c r="F775" s="1523"/>
      <c r="G775" s="519" t="str">
        <f>IF('Expense Jrnl'!$E279="","",'Expense Jrnl'!$E279)</f>
        <v/>
      </c>
      <c r="H775" s="518">
        <f>'Expense Jrnl'!H279</f>
        <v>0</v>
      </c>
      <c r="I775" s="518" t="str">
        <f t="shared" si="24"/>
        <v>0</v>
      </c>
      <c r="J775" s="520" t="b">
        <f t="shared" si="25"/>
        <v>0</v>
      </c>
      <c r="K775" s="541"/>
      <c r="L775" s="541">
        <f>'Expense Jrnl'!$G279</f>
        <v>0</v>
      </c>
      <c r="M775" s="523">
        <f>'Expense Jrnl'!E41</f>
        <v>0</v>
      </c>
      <c r="N775" s="539">
        <f>'Expense Jrnl'!$H41</f>
        <v>0</v>
      </c>
    </row>
    <row r="776" spans="2:14" s="1" customFormat="1" ht="30" hidden="1" customHeight="1" x14ac:dyDescent="0.2">
      <c r="B776" s="517">
        <f>IF(AND('Expense Jrnl'!$G280&lt;&gt;"",'Expense Jrnl'!$C280&lt;&gt;""),1,0)</f>
        <v>0</v>
      </c>
      <c r="C776" s="517">
        <f>'Expense Jrnl'!$C280</f>
        <v>0</v>
      </c>
      <c r="D776" s="540">
        <f>'Expense Jrnl'!$D280</f>
        <v>0</v>
      </c>
      <c r="E776" s="1523">
        <f>'Expense Jrnl'!$F280</f>
        <v>0</v>
      </c>
      <c r="F776" s="1523"/>
      <c r="G776" s="519" t="str">
        <f>IF('Expense Jrnl'!$E280="","",'Expense Jrnl'!$E280)</f>
        <v/>
      </c>
      <c r="H776" s="518">
        <f>'Expense Jrnl'!H280</f>
        <v>0</v>
      </c>
      <c r="I776" s="518" t="str">
        <f t="shared" si="24"/>
        <v>0</v>
      </c>
      <c r="J776" s="520" t="b">
        <f t="shared" si="25"/>
        <v>0</v>
      </c>
      <c r="K776" s="541"/>
      <c r="L776" s="541">
        <f>'Expense Jrnl'!$G280</f>
        <v>0</v>
      </c>
      <c r="M776" s="523">
        <f>'Expense Jrnl'!E42</f>
        <v>0</v>
      </c>
      <c r="N776" s="539">
        <f>'Expense Jrnl'!$H42</f>
        <v>0</v>
      </c>
    </row>
    <row r="777" spans="2:14" s="1" customFormat="1" ht="30" hidden="1" customHeight="1" x14ac:dyDescent="0.2">
      <c r="B777" s="517">
        <f>IF(AND('Expense Jrnl'!$G281&lt;&gt;"",'Expense Jrnl'!$C281&lt;&gt;""),1,0)</f>
        <v>0</v>
      </c>
      <c r="C777" s="517">
        <f>'Expense Jrnl'!$C281</f>
        <v>0</v>
      </c>
      <c r="D777" s="540">
        <f>'Expense Jrnl'!$D281</f>
        <v>0</v>
      </c>
      <c r="E777" s="1523">
        <f>'Expense Jrnl'!$F281</f>
        <v>0</v>
      </c>
      <c r="F777" s="1523"/>
      <c r="G777" s="519" t="str">
        <f>IF('Expense Jrnl'!$E281="","",'Expense Jrnl'!$E281)</f>
        <v/>
      </c>
      <c r="H777" s="518">
        <f>'Expense Jrnl'!H281</f>
        <v>0</v>
      </c>
      <c r="I777" s="518" t="str">
        <f t="shared" si="24"/>
        <v>0</v>
      </c>
      <c r="J777" s="520" t="b">
        <f t="shared" si="25"/>
        <v>0</v>
      </c>
      <c r="K777" s="541"/>
      <c r="L777" s="541">
        <f>'Expense Jrnl'!$G281</f>
        <v>0</v>
      </c>
      <c r="M777" s="523">
        <f>'Expense Jrnl'!E43</f>
        <v>0</v>
      </c>
      <c r="N777" s="539">
        <f>'Expense Jrnl'!$H43</f>
        <v>0</v>
      </c>
    </row>
    <row r="778" spans="2:14" s="1" customFormat="1" ht="30" hidden="1" customHeight="1" x14ac:dyDescent="0.2">
      <c r="B778" s="517">
        <f>IF(AND('Expense Jrnl'!$G282&lt;&gt;"",'Expense Jrnl'!$C282&lt;&gt;""),1,0)</f>
        <v>0</v>
      </c>
      <c r="C778" s="517">
        <f>'Expense Jrnl'!$C282</f>
        <v>0</v>
      </c>
      <c r="D778" s="540">
        <f>'Expense Jrnl'!$D282</f>
        <v>0</v>
      </c>
      <c r="E778" s="1523">
        <f>'Expense Jrnl'!$F282</f>
        <v>0</v>
      </c>
      <c r="F778" s="1523"/>
      <c r="G778" s="519" t="str">
        <f>IF('Expense Jrnl'!$E282="","",'Expense Jrnl'!$E282)</f>
        <v/>
      </c>
      <c r="H778" s="518">
        <f>'Expense Jrnl'!H282</f>
        <v>0</v>
      </c>
      <c r="I778" s="518" t="str">
        <f t="shared" si="24"/>
        <v>0</v>
      </c>
      <c r="J778" s="520" t="b">
        <f t="shared" si="25"/>
        <v>0</v>
      </c>
      <c r="K778" s="541"/>
      <c r="L778" s="541">
        <f>'Expense Jrnl'!$G282</f>
        <v>0</v>
      </c>
      <c r="M778" s="523">
        <f>'Expense Jrnl'!E44</f>
        <v>0</v>
      </c>
      <c r="N778" s="539">
        <f>'Expense Jrnl'!$H44</f>
        <v>0</v>
      </c>
    </row>
    <row r="779" spans="2:14" s="1" customFormat="1" ht="30" hidden="1" customHeight="1" x14ac:dyDescent="0.2">
      <c r="B779" s="517">
        <f>IF(AND('Expense Jrnl'!$G283&lt;&gt;"",'Expense Jrnl'!$C283&lt;&gt;""),1,0)</f>
        <v>0</v>
      </c>
      <c r="C779" s="517">
        <f>'Expense Jrnl'!$C283</f>
        <v>0</v>
      </c>
      <c r="D779" s="540">
        <f>'Expense Jrnl'!$D283</f>
        <v>0</v>
      </c>
      <c r="E779" s="1523">
        <f>'Expense Jrnl'!$F283</f>
        <v>0</v>
      </c>
      <c r="F779" s="1523"/>
      <c r="G779" s="519" t="str">
        <f>IF('Expense Jrnl'!$E283="","",'Expense Jrnl'!$E283)</f>
        <v/>
      </c>
      <c r="H779" s="518">
        <f>'Expense Jrnl'!H283</f>
        <v>0</v>
      </c>
      <c r="I779" s="518" t="str">
        <f t="shared" si="24"/>
        <v>0</v>
      </c>
      <c r="J779" s="520" t="b">
        <f t="shared" si="25"/>
        <v>0</v>
      </c>
      <c r="K779" s="541"/>
      <c r="L779" s="541">
        <f>'Expense Jrnl'!$G283</f>
        <v>0</v>
      </c>
      <c r="M779" s="523">
        <f>'Expense Jrnl'!E45</f>
        <v>0</v>
      </c>
      <c r="N779" s="539">
        <f>'Expense Jrnl'!$H45</f>
        <v>0</v>
      </c>
    </row>
    <row r="780" spans="2:14" s="1" customFormat="1" ht="30" hidden="1" customHeight="1" x14ac:dyDescent="0.2">
      <c r="B780" s="517">
        <f>IF(AND('Expense Jrnl'!$G284&lt;&gt;"",'Expense Jrnl'!$C284&lt;&gt;""),1,0)</f>
        <v>0</v>
      </c>
      <c r="C780" s="517">
        <f>'Expense Jrnl'!$C284</f>
        <v>0</v>
      </c>
      <c r="D780" s="540">
        <f>'Expense Jrnl'!$D284</f>
        <v>0</v>
      </c>
      <c r="E780" s="1523">
        <f>'Expense Jrnl'!$F284</f>
        <v>0</v>
      </c>
      <c r="F780" s="1523"/>
      <c r="G780" s="519" t="str">
        <f>IF('Expense Jrnl'!$E284="","",'Expense Jrnl'!$E284)</f>
        <v/>
      </c>
      <c r="H780" s="518">
        <f>'Expense Jrnl'!H284</f>
        <v>0</v>
      </c>
      <c r="I780" s="518" t="str">
        <f t="shared" si="24"/>
        <v>0</v>
      </c>
      <c r="J780" s="520" t="b">
        <f t="shared" si="25"/>
        <v>0</v>
      </c>
      <c r="K780" s="541"/>
      <c r="L780" s="541">
        <f>'Expense Jrnl'!$G284</f>
        <v>0</v>
      </c>
      <c r="M780" s="523">
        <f>'Expense Jrnl'!E46</f>
        <v>0</v>
      </c>
      <c r="N780" s="539">
        <f>'Expense Jrnl'!$H46</f>
        <v>0</v>
      </c>
    </row>
    <row r="781" spans="2:14" s="1" customFormat="1" ht="30" hidden="1" customHeight="1" x14ac:dyDescent="0.2">
      <c r="B781" s="517">
        <f>IF(AND('Expense Jrnl'!$G285&lt;&gt;"",'Expense Jrnl'!$C285&lt;&gt;""),1,0)</f>
        <v>0</v>
      </c>
      <c r="C781" s="517">
        <f>'Expense Jrnl'!$C285</f>
        <v>0</v>
      </c>
      <c r="D781" s="540">
        <f>'Expense Jrnl'!$D285</f>
        <v>0</v>
      </c>
      <c r="E781" s="1523">
        <f>'Expense Jrnl'!$F285</f>
        <v>0</v>
      </c>
      <c r="F781" s="1523"/>
      <c r="G781" s="519" t="str">
        <f>IF('Expense Jrnl'!$E285="","",'Expense Jrnl'!$E285)</f>
        <v/>
      </c>
      <c r="H781" s="518">
        <f>'Expense Jrnl'!H285</f>
        <v>0</v>
      </c>
      <c r="I781" s="518" t="str">
        <f t="shared" si="24"/>
        <v>0</v>
      </c>
      <c r="J781" s="520" t="b">
        <f t="shared" si="25"/>
        <v>0</v>
      </c>
      <c r="K781" s="541"/>
      <c r="L781" s="541">
        <f>'Expense Jrnl'!$G285</f>
        <v>0</v>
      </c>
      <c r="M781" s="523">
        <f>'Expense Jrnl'!E47</f>
        <v>0</v>
      </c>
      <c r="N781" s="539">
        <f>'Expense Jrnl'!$H47</f>
        <v>0</v>
      </c>
    </row>
    <row r="782" spans="2:14" s="1" customFormat="1" ht="30" hidden="1" customHeight="1" x14ac:dyDescent="0.2">
      <c r="B782" s="517">
        <f>IF(AND('Expense Jrnl'!$G286&lt;&gt;"",'Expense Jrnl'!$C286&lt;&gt;""),1,0)</f>
        <v>0</v>
      </c>
      <c r="C782" s="517">
        <f>'Expense Jrnl'!$C286</f>
        <v>0</v>
      </c>
      <c r="D782" s="540">
        <f>'Expense Jrnl'!$D286</f>
        <v>0</v>
      </c>
      <c r="E782" s="1523">
        <f>'Expense Jrnl'!$F286</f>
        <v>0</v>
      </c>
      <c r="F782" s="1523"/>
      <c r="G782" s="519" t="str">
        <f>IF('Expense Jrnl'!$E286="","",'Expense Jrnl'!$E286)</f>
        <v/>
      </c>
      <c r="H782" s="518">
        <f>'Expense Jrnl'!H286</f>
        <v>0</v>
      </c>
      <c r="I782" s="518" t="str">
        <f t="shared" si="24"/>
        <v>0</v>
      </c>
      <c r="J782" s="520" t="b">
        <f t="shared" si="25"/>
        <v>0</v>
      </c>
      <c r="K782" s="541"/>
      <c r="L782" s="541">
        <f>'Expense Jrnl'!$G286</f>
        <v>0</v>
      </c>
      <c r="M782" s="523">
        <f>'Expense Jrnl'!E48</f>
        <v>0</v>
      </c>
      <c r="N782" s="539">
        <f>'Expense Jrnl'!$H48</f>
        <v>0</v>
      </c>
    </row>
    <row r="783" spans="2:14" s="1" customFormat="1" ht="30" hidden="1" customHeight="1" x14ac:dyDescent="0.2">
      <c r="B783" s="517">
        <f>IF(AND('Expense Jrnl'!$G287&lt;&gt;"",'Expense Jrnl'!$C287&lt;&gt;""),1,0)</f>
        <v>0</v>
      </c>
      <c r="C783" s="517">
        <f>'Expense Jrnl'!$C287</f>
        <v>0</v>
      </c>
      <c r="D783" s="540">
        <f>'Expense Jrnl'!$D287</f>
        <v>0</v>
      </c>
      <c r="E783" s="1523">
        <f>'Expense Jrnl'!$F287</f>
        <v>0</v>
      </c>
      <c r="F783" s="1523"/>
      <c r="G783" s="519" t="str">
        <f>IF('Expense Jrnl'!$E287="","",'Expense Jrnl'!$E287)</f>
        <v/>
      </c>
      <c r="H783" s="518">
        <f>'Expense Jrnl'!H287</f>
        <v>0</v>
      </c>
      <c r="I783" s="518" t="str">
        <f t="shared" si="24"/>
        <v>0</v>
      </c>
      <c r="J783" s="520" t="b">
        <f t="shared" si="25"/>
        <v>0</v>
      </c>
      <c r="K783" s="541"/>
      <c r="L783" s="541">
        <f>'Expense Jrnl'!$G287</f>
        <v>0</v>
      </c>
      <c r="M783" s="523">
        <f>'Expense Jrnl'!E49</f>
        <v>0</v>
      </c>
      <c r="N783" s="539">
        <f>'Expense Jrnl'!$H49</f>
        <v>0</v>
      </c>
    </row>
    <row r="784" spans="2:14" s="1" customFormat="1" ht="30" hidden="1" customHeight="1" x14ac:dyDescent="0.2">
      <c r="B784" s="517">
        <f>IF(AND('Expense Jrnl'!$G288&lt;&gt;"",'Expense Jrnl'!$C288&lt;&gt;""),1,0)</f>
        <v>0</v>
      </c>
      <c r="C784" s="517">
        <f>'Expense Jrnl'!$C288</f>
        <v>0</v>
      </c>
      <c r="D784" s="540">
        <f>'Expense Jrnl'!$D288</f>
        <v>0</v>
      </c>
      <c r="E784" s="1523">
        <f>'Expense Jrnl'!$F288</f>
        <v>0</v>
      </c>
      <c r="F784" s="1523"/>
      <c r="G784" s="519" t="str">
        <f>IF('Expense Jrnl'!$E288="","",'Expense Jrnl'!$E288)</f>
        <v/>
      </c>
      <c r="H784" s="518">
        <f>'Expense Jrnl'!H288</f>
        <v>0</v>
      </c>
      <c r="I784" s="518" t="str">
        <f t="shared" si="24"/>
        <v>0</v>
      </c>
      <c r="J784" s="520" t="b">
        <f t="shared" si="25"/>
        <v>0</v>
      </c>
      <c r="K784" s="541"/>
      <c r="L784" s="541">
        <f>'Expense Jrnl'!$G288</f>
        <v>0</v>
      </c>
      <c r="M784" s="523">
        <f>'Expense Jrnl'!E50</f>
        <v>0</v>
      </c>
      <c r="N784" s="539">
        <f>'Expense Jrnl'!$H50</f>
        <v>0</v>
      </c>
    </row>
    <row r="785" spans="2:14" s="1" customFormat="1" ht="30" hidden="1" customHeight="1" x14ac:dyDescent="0.2">
      <c r="B785" s="517">
        <f>IF(AND('Expense Jrnl'!$G289&lt;&gt;"",'Expense Jrnl'!$C289&lt;&gt;""),1,0)</f>
        <v>0</v>
      </c>
      <c r="C785" s="517">
        <f>'Expense Jrnl'!$C289</f>
        <v>0</v>
      </c>
      <c r="D785" s="540">
        <f>'Expense Jrnl'!$D289</f>
        <v>0</v>
      </c>
      <c r="E785" s="1523">
        <f>'Expense Jrnl'!$F289</f>
        <v>0</v>
      </c>
      <c r="F785" s="1523"/>
      <c r="G785" s="519" t="str">
        <f>IF('Expense Jrnl'!$E289="","",'Expense Jrnl'!$E289)</f>
        <v/>
      </c>
      <c r="H785" s="518">
        <f>'Expense Jrnl'!H289</f>
        <v>0</v>
      </c>
      <c r="I785" s="518" t="str">
        <f t="shared" si="24"/>
        <v>0</v>
      </c>
      <c r="J785" s="520" t="b">
        <f t="shared" si="25"/>
        <v>0</v>
      </c>
      <c r="K785" s="541"/>
      <c r="L785" s="541">
        <f>'Expense Jrnl'!$G289</f>
        <v>0</v>
      </c>
      <c r="M785" s="523">
        <f>'Expense Jrnl'!E51</f>
        <v>0</v>
      </c>
      <c r="N785" s="539">
        <f>'Expense Jrnl'!$H51</f>
        <v>0</v>
      </c>
    </row>
    <row r="786" spans="2:14" s="1" customFormat="1" ht="30" hidden="1" customHeight="1" x14ac:dyDescent="0.2">
      <c r="B786" s="517">
        <f>IF(AND('Expense Jrnl'!$G290&lt;&gt;"",'Expense Jrnl'!$C290&lt;&gt;""),1,0)</f>
        <v>0</v>
      </c>
      <c r="C786" s="517">
        <f>'Expense Jrnl'!$C290</f>
        <v>0</v>
      </c>
      <c r="D786" s="540">
        <f>'Expense Jrnl'!$D290</f>
        <v>0</v>
      </c>
      <c r="E786" s="1523">
        <f>'Expense Jrnl'!$F290</f>
        <v>0</v>
      </c>
      <c r="F786" s="1523"/>
      <c r="G786" s="519" t="str">
        <f>IF('Expense Jrnl'!$E290="","",'Expense Jrnl'!$E290)</f>
        <v/>
      </c>
      <c r="H786" s="518">
        <f>'Expense Jrnl'!H290</f>
        <v>0</v>
      </c>
      <c r="I786" s="518" t="str">
        <f t="shared" si="24"/>
        <v>0</v>
      </c>
      <c r="J786" s="520" t="b">
        <f t="shared" si="25"/>
        <v>0</v>
      </c>
      <c r="K786" s="541"/>
      <c r="L786" s="541">
        <f>'Expense Jrnl'!$G290</f>
        <v>0</v>
      </c>
      <c r="M786" s="523">
        <f>'Expense Jrnl'!E52</f>
        <v>0</v>
      </c>
      <c r="N786" s="539">
        <f>'Expense Jrnl'!$H52</f>
        <v>0</v>
      </c>
    </row>
    <row r="787" spans="2:14" s="1" customFormat="1" ht="30" hidden="1" customHeight="1" x14ac:dyDescent="0.2">
      <c r="B787" s="517">
        <f>IF(AND('Expense Jrnl'!$G291&lt;&gt;"",'Expense Jrnl'!$C291&lt;&gt;""),1,0)</f>
        <v>0</v>
      </c>
      <c r="C787" s="517">
        <f>'Expense Jrnl'!$C291</f>
        <v>0</v>
      </c>
      <c r="D787" s="540">
        <f>'Expense Jrnl'!$D291</f>
        <v>0</v>
      </c>
      <c r="E787" s="1523">
        <f>'Expense Jrnl'!$F291</f>
        <v>0</v>
      </c>
      <c r="F787" s="1523"/>
      <c r="G787" s="519" t="str">
        <f>IF('Expense Jrnl'!$E291="","",'Expense Jrnl'!$E291)</f>
        <v/>
      </c>
      <c r="H787" s="518">
        <f>'Expense Jrnl'!H291</f>
        <v>0</v>
      </c>
      <c r="I787" s="518" t="str">
        <f t="shared" si="24"/>
        <v>0</v>
      </c>
      <c r="J787" s="520" t="b">
        <f t="shared" si="25"/>
        <v>0</v>
      </c>
      <c r="K787" s="541"/>
      <c r="L787" s="541">
        <f>'Expense Jrnl'!$G291</f>
        <v>0</v>
      </c>
      <c r="M787" s="523">
        <f>'Expense Jrnl'!E53</f>
        <v>0</v>
      </c>
      <c r="N787" s="539">
        <f>'Expense Jrnl'!$H53</f>
        <v>0</v>
      </c>
    </row>
    <row r="788" spans="2:14" s="1" customFormat="1" ht="30" hidden="1" customHeight="1" x14ac:dyDescent="0.2">
      <c r="B788" s="517">
        <f>IF(AND('Expense Jrnl'!$G292&lt;&gt;"",'Expense Jrnl'!$C292&lt;&gt;""),1,0)</f>
        <v>0</v>
      </c>
      <c r="C788" s="517">
        <f>'Expense Jrnl'!$C292</f>
        <v>0</v>
      </c>
      <c r="D788" s="540">
        <f>'Expense Jrnl'!$D292</f>
        <v>0</v>
      </c>
      <c r="E788" s="1523">
        <f>'Expense Jrnl'!$F292</f>
        <v>0</v>
      </c>
      <c r="F788" s="1523"/>
      <c r="G788" s="519" t="str">
        <f>IF('Expense Jrnl'!$E292="","",'Expense Jrnl'!$E292)</f>
        <v/>
      </c>
      <c r="H788" s="518">
        <f>'Expense Jrnl'!H292</f>
        <v>0</v>
      </c>
      <c r="I788" s="518" t="str">
        <f t="shared" si="24"/>
        <v>0</v>
      </c>
      <c r="J788" s="520" t="b">
        <f t="shared" si="25"/>
        <v>0</v>
      </c>
      <c r="K788" s="541"/>
      <c r="L788" s="541">
        <f>'Expense Jrnl'!$G292</f>
        <v>0</v>
      </c>
      <c r="M788" s="523">
        <f>'Expense Jrnl'!E54</f>
        <v>0</v>
      </c>
      <c r="N788" s="539">
        <f>'Expense Jrnl'!$H54</f>
        <v>0</v>
      </c>
    </row>
    <row r="789" spans="2:14" s="1" customFormat="1" ht="30" hidden="1" customHeight="1" x14ac:dyDescent="0.2">
      <c r="B789" s="517">
        <f>IF(AND('Expense Jrnl'!$G293&lt;&gt;"",'Expense Jrnl'!$C293&lt;&gt;""),1,0)</f>
        <v>0</v>
      </c>
      <c r="C789" s="517">
        <f>'Expense Jrnl'!$C293</f>
        <v>0</v>
      </c>
      <c r="D789" s="540">
        <f>'Expense Jrnl'!$D293</f>
        <v>0</v>
      </c>
      <c r="E789" s="1523">
        <f>'Expense Jrnl'!$F293</f>
        <v>0</v>
      </c>
      <c r="F789" s="1523"/>
      <c r="G789" s="519" t="str">
        <f>IF('Expense Jrnl'!$E293="","",'Expense Jrnl'!$E293)</f>
        <v/>
      </c>
      <c r="H789" s="518">
        <f>'Expense Jrnl'!H293</f>
        <v>0</v>
      </c>
      <c r="I789" s="518" t="str">
        <f t="shared" si="24"/>
        <v>0</v>
      </c>
      <c r="J789" s="520" t="b">
        <f t="shared" si="25"/>
        <v>0</v>
      </c>
      <c r="K789" s="541"/>
      <c r="L789" s="541">
        <f>'Expense Jrnl'!$G293</f>
        <v>0</v>
      </c>
      <c r="M789" s="523">
        <f>'Expense Jrnl'!E55</f>
        <v>0</v>
      </c>
      <c r="N789" s="539">
        <f>'Expense Jrnl'!$H55</f>
        <v>0</v>
      </c>
    </row>
    <row r="790" spans="2:14" s="1" customFormat="1" ht="30" hidden="1" customHeight="1" x14ac:dyDescent="0.2">
      <c r="B790" s="517">
        <f>IF(AND('Expense Jrnl'!$G294&lt;&gt;"",'Expense Jrnl'!$C294&lt;&gt;""),1,0)</f>
        <v>0</v>
      </c>
      <c r="C790" s="517">
        <f>'Expense Jrnl'!$C294</f>
        <v>0</v>
      </c>
      <c r="D790" s="540">
        <f>'Expense Jrnl'!$D294</f>
        <v>0</v>
      </c>
      <c r="E790" s="1523">
        <f>'Expense Jrnl'!$F294</f>
        <v>0</v>
      </c>
      <c r="F790" s="1523"/>
      <c r="G790" s="519" t="str">
        <f>IF('Expense Jrnl'!$E294="","",'Expense Jrnl'!$E294)</f>
        <v/>
      </c>
      <c r="H790" s="518">
        <f>'Expense Jrnl'!H294</f>
        <v>0</v>
      </c>
      <c r="I790" s="518" t="str">
        <f t="shared" si="24"/>
        <v>0</v>
      </c>
      <c r="J790" s="520" t="b">
        <f t="shared" si="25"/>
        <v>0</v>
      </c>
      <c r="K790" s="541"/>
      <c r="L790" s="541">
        <f>'Expense Jrnl'!$G294</f>
        <v>0</v>
      </c>
      <c r="M790" s="523">
        <f>'Expense Jrnl'!E56</f>
        <v>0</v>
      </c>
      <c r="N790" s="539">
        <f>'Expense Jrnl'!$H56</f>
        <v>0</v>
      </c>
    </row>
    <row r="791" spans="2:14" s="1" customFormat="1" ht="30" hidden="1" customHeight="1" x14ac:dyDescent="0.2">
      <c r="B791" s="517">
        <f>IF(AND('Expense Jrnl'!$G295&lt;&gt;"",'Expense Jrnl'!$C295&lt;&gt;""),1,0)</f>
        <v>0</v>
      </c>
      <c r="C791" s="517">
        <f>'Expense Jrnl'!$C295</f>
        <v>0</v>
      </c>
      <c r="D791" s="540">
        <f>'Expense Jrnl'!$D295</f>
        <v>0</v>
      </c>
      <c r="E791" s="1523">
        <f>'Expense Jrnl'!$F295</f>
        <v>0</v>
      </c>
      <c r="F791" s="1523"/>
      <c r="G791" s="519" t="str">
        <f>IF('Expense Jrnl'!$E295="","",'Expense Jrnl'!$E295)</f>
        <v/>
      </c>
      <c r="H791" s="518">
        <f>'Expense Jrnl'!H295</f>
        <v>0</v>
      </c>
      <c r="I791" s="518" t="str">
        <f t="shared" si="24"/>
        <v>0</v>
      </c>
      <c r="J791" s="520" t="b">
        <f t="shared" si="25"/>
        <v>0</v>
      </c>
      <c r="K791" s="541"/>
      <c r="L791" s="541">
        <f>'Expense Jrnl'!$G295</f>
        <v>0</v>
      </c>
      <c r="M791" s="523">
        <f>'Expense Jrnl'!E57</f>
        <v>0</v>
      </c>
      <c r="N791" s="539">
        <f>'Expense Jrnl'!$H57</f>
        <v>0</v>
      </c>
    </row>
    <row r="792" spans="2:14" s="1" customFormat="1" ht="30" hidden="1" customHeight="1" x14ac:dyDescent="0.2">
      <c r="B792" s="517">
        <f>IF(AND('Expense Jrnl'!$G296&lt;&gt;"",'Expense Jrnl'!$C296&lt;&gt;""),1,0)</f>
        <v>0</v>
      </c>
      <c r="C792" s="517">
        <f>'Expense Jrnl'!$C296</f>
        <v>0</v>
      </c>
      <c r="D792" s="540">
        <f>'Expense Jrnl'!$D296</f>
        <v>0</v>
      </c>
      <c r="E792" s="1523">
        <f>'Expense Jrnl'!$F296</f>
        <v>0</v>
      </c>
      <c r="F792" s="1523"/>
      <c r="G792" s="519" t="str">
        <f>IF('Expense Jrnl'!$E296="","",'Expense Jrnl'!$E296)</f>
        <v/>
      </c>
      <c r="H792" s="518">
        <f>'Expense Jrnl'!H296</f>
        <v>0</v>
      </c>
      <c r="I792" s="518" t="str">
        <f t="shared" si="24"/>
        <v>0</v>
      </c>
      <c r="J792" s="520" t="b">
        <f t="shared" si="25"/>
        <v>0</v>
      </c>
      <c r="K792" s="541"/>
      <c r="L792" s="541">
        <f>'Expense Jrnl'!$G296</f>
        <v>0</v>
      </c>
      <c r="M792" s="523">
        <f>'Expense Jrnl'!E58</f>
        <v>0</v>
      </c>
      <c r="N792" s="539">
        <f>'Expense Jrnl'!$H58</f>
        <v>0</v>
      </c>
    </row>
    <row r="793" spans="2:14" s="1" customFormat="1" ht="30" hidden="1" customHeight="1" x14ac:dyDescent="0.2">
      <c r="B793" s="517">
        <f>IF(AND('Expense Jrnl'!$G297&lt;&gt;"",'Expense Jrnl'!$C297&lt;&gt;""),1,0)</f>
        <v>0</v>
      </c>
      <c r="C793" s="517">
        <f>'Expense Jrnl'!$C297</f>
        <v>0</v>
      </c>
      <c r="D793" s="540">
        <f>'Expense Jrnl'!$D297</f>
        <v>0</v>
      </c>
      <c r="E793" s="1523">
        <f>'Expense Jrnl'!$F297</f>
        <v>0</v>
      </c>
      <c r="F793" s="1523"/>
      <c r="G793" s="519" t="str">
        <f>IF('Expense Jrnl'!$E297="","",'Expense Jrnl'!$E297)</f>
        <v/>
      </c>
      <c r="H793" s="518">
        <f>'Expense Jrnl'!H297</f>
        <v>0</v>
      </c>
      <c r="I793" s="518" t="str">
        <f t="shared" si="24"/>
        <v>0</v>
      </c>
      <c r="J793" s="520" t="b">
        <f t="shared" si="25"/>
        <v>0</v>
      </c>
      <c r="K793" s="541"/>
      <c r="L793" s="541">
        <f>'Expense Jrnl'!$G297</f>
        <v>0</v>
      </c>
      <c r="M793" s="523">
        <f>'Expense Jrnl'!E59</f>
        <v>0</v>
      </c>
      <c r="N793" s="539">
        <f>'Expense Jrnl'!$H59</f>
        <v>0</v>
      </c>
    </row>
    <row r="794" spans="2:14" s="1" customFormat="1" ht="30" hidden="1" customHeight="1" x14ac:dyDescent="0.2">
      <c r="B794" s="517">
        <f>IF(AND('Expense Jrnl'!$G298&lt;&gt;"",'Expense Jrnl'!$C298&lt;&gt;""),1,0)</f>
        <v>0</v>
      </c>
      <c r="C794" s="517">
        <f>'Expense Jrnl'!$C298</f>
        <v>0</v>
      </c>
      <c r="D794" s="540">
        <f>'Expense Jrnl'!$D298</f>
        <v>0</v>
      </c>
      <c r="E794" s="1523">
        <f>'Expense Jrnl'!$F298</f>
        <v>0</v>
      </c>
      <c r="F794" s="1523"/>
      <c r="G794" s="519" t="str">
        <f>IF('Expense Jrnl'!$E298="","",'Expense Jrnl'!$E298)</f>
        <v/>
      </c>
      <c r="H794" s="518">
        <f>'Expense Jrnl'!H298</f>
        <v>0</v>
      </c>
      <c r="I794" s="518" t="str">
        <f t="shared" si="24"/>
        <v>0</v>
      </c>
      <c r="J794" s="520" t="b">
        <f t="shared" si="25"/>
        <v>0</v>
      </c>
      <c r="K794" s="541"/>
      <c r="L794" s="541">
        <f>'Expense Jrnl'!$G298</f>
        <v>0</v>
      </c>
      <c r="M794" s="523">
        <f>'Expense Jrnl'!E60</f>
        <v>0</v>
      </c>
      <c r="N794" s="539">
        <f>'Expense Jrnl'!$H60</f>
        <v>0</v>
      </c>
    </row>
    <row r="795" spans="2:14" s="1" customFormat="1" ht="30" hidden="1" customHeight="1" x14ac:dyDescent="0.2">
      <c r="B795" s="517">
        <f>IF(AND('Expense Jrnl'!$G299&lt;&gt;"",'Expense Jrnl'!$C299&lt;&gt;""),1,0)</f>
        <v>0</v>
      </c>
      <c r="C795" s="517">
        <f>'Expense Jrnl'!$C299</f>
        <v>0</v>
      </c>
      <c r="D795" s="540">
        <f>'Expense Jrnl'!$D299</f>
        <v>0</v>
      </c>
      <c r="E795" s="1523">
        <f>'Expense Jrnl'!$F299</f>
        <v>0</v>
      </c>
      <c r="F795" s="1523"/>
      <c r="G795" s="519" t="str">
        <f>IF('Expense Jrnl'!$E299="","",'Expense Jrnl'!$E299)</f>
        <v/>
      </c>
      <c r="H795" s="518">
        <f>'Expense Jrnl'!H299</f>
        <v>0</v>
      </c>
      <c r="I795" s="518" t="str">
        <f t="shared" si="24"/>
        <v>0</v>
      </c>
      <c r="J795" s="520" t="b">
        <f t="shared" si="25"/>
        <v>0</v>
      </c>
      <c r="K795" s="541"/>
      <c r="L795" s="541">
        <f>'Expense Jrnl'!$G299</f>
        <v>0</v>
      </c>
      <c r="M795" s="523">
        <f>'Expense Jrnl'!E61</f>
        <v>0</v>
      </c>
      <c r="N795" s="539">
        <f>'Expense Jrnl'!$H61</f>
        <v>0</v>
      </c>
    </row>
    <row r="796" spans="2:14" s="1" customFormat="1" ht="30" hidden="1" customHeight="1" x14ac:dyDescent="0.2">
      <c r="B796" s="517">
        <f>IF(AND('Expense Jrnl'!$G300&lt;&gt;"",'Expense Jrnl'!$C300&lt;&gt;""),1,0)</f>
        <v>0</v>
      </c>
      <c r="C796" s="517">
        <f>'Expense Jrnl'!$C300</f>
        <v>0</v>
      </c>
      <c r="D796" s="540">
        <f>'Expense Jrnl'!$D300</f>
        <v>0</v>
      </c>
      <c r="E796" s="1523">
        <f>'Expense Jrnl'!$F300</f>
        <v>0</v>
      </c>
      <c r="F796" s="1523"/>
      <c r="G796" s="519" t="str">
        <f>IF('Expense Jrnl'!$E300="","",'Expense Jrnl'!$E300)</f>
        <v/>
      </c>
      <c r="H796" s="518">
        <f>'Expense Jrnl'!H300</f>
        <v>0</v>
      </c>
      <c r="I796" s="518" t="str">
        <f t="shared" si="24"/>
        <v>0</v>
      </c>
      <c r="J796" s="520" t="b">
        <f t="shared" si="25"/>
        <v>0</v>
      </c>
      <c r="K796" s="541"/>
      <c r="L796" s="541">
        <f>'Expense Jrnl'!$G300</f>
        <v>0</v>
      </c>
      <c r="M796" s="523">
        <f>'Expense Jrnl'!E62</f>
        <v>0</v>
      </c>
      <c r="N796" s="539">
        <f>'Expense Jrnl'!$H62</f>
        <v>0</v>
      </c>
    </row>
    <row r="797" spans="2:14" s="1" customFormat="1" ht="30" hidden="1" customHeight="1" x14ac:dyDescent="0.2">
      <c r="B797" s="517">
        <f>IF(AND('Expense Jrnl'!$G301&lt;&gt;"",'Expense Jrnl'!$C301&lt;&gt;""),1,0)</f>
        <v>0</v>
      </c>
      <c r="C797" s="517">
        <f>'Expense Jrnl'!$C301</f>
        <v>0</v>
      </c>
      <c r="D797" s="540">
        <f>'Expense Jrnl'!$D301</f>
        <v>0</v>
      </c>
      <c r="E797" s="1523">
        <f>'Expense Jrnl'!$F301</f>
        <v>0</v>
      </c>
      <c r="F797" s="1523"/>
      <c r="G797" s="519" t="str">
        <f>IF('Expense Jrnl'!$E301="","",'Expense Jrnl'!$E301)</f>
        <v/>
      </c>
      <c r="H797" s="518">
        <f>'Expense Jrnl'!H301</f>
        <v>0</v>
      </c>
      <c r="I797" s="518" t="str">
        <f t="shared" si="24"/>
        <v>0</v>
      </c>
      <c r="J797" s="520" t="b">
        <f t="shared" si="25"/>
        <v>0</v>
      </c>
      <c r="K797" s="541"/>
      <c r="L797" s="541">
        <f>'Expense Jrnl'!$G301</f>
        <v>0</v>
      </c>
      <c r="M797" s="523">
        <f>'Expense Jrnl'!E63</f>
        <v>0</v>
      </c>
      <c r="N797" s="539">
        <f>'Expense Jrnl'!$H63</f>
        <v>0</v>
      </c>
    </row>
    <row r="798" spans="2:14" s="1" customFormat="1" ht="30" hidden="1" customHeight="1" x14ac:dyDescent="0.2">
      <c r="B798" s="517">
        <f>IF(AND('Expense Jrnl'!$G302&lt;&gt;"",'Expense Jrnl'!$C302&lt;&gt;""),1,0)</f>
        <v>0</v>
      </c>
      <c r="C798" s="517">
        <f>'Expense Jrnl'!$C302</f>
        <v>0</v>
      </c>
      <c r="D798" s="540">
        <f>'Expense Jrnl'!$D302</f>
        <v>0</v>
      </c>
      <c r="E798" s="1523">
        <f>'Expense Jrnl'!$F302</f>
        <v>0</v>
      </c>
      <c r="F798" s="1523"/>
      <c r="G798" s="519" t="str">
        <f>IF('Expense Jrnl'!$E302="","",'Expense Jrnl'!$E302)</f>
        <v/>
      </c>
      <c r="H798" s="518">
        <f>'Expense Jrnl'!H302</f>
        <v>0</v>
      </c>
      <c r="I798" s="518" t="str">
        <f t="shared" si="24"/>
        <v>0</v>
      </c>
      <c r="J798" s="520" t="b">
        <f t="shared" si="25"/>
        <v>0</v>
      </c>
      <c r="K798" s="541"/>
      <c r="L798" s="541">
        <f>'Expense Jrnl'!$G302</f>
        <v>0</v>
      </c>
      <c r="M798" s="523">
        <f>'Expense Jrnl'!E64</f>
        <v>0</v>
      </c>
      <c r="N798" s="539">
        <f>'Expense Jrnl'!$H64</f>
        <v>0</v>
      </c>
    </row>
    <row r="799" spans="2:14" s="1" customFormat="1" ht="30" hidden="1" customHeight="1" x14ac:dyDescent="0.2">
      <c r="B799" s="517">
        <f>IF(AND('Expense Jrnl'!$G303&lt;&gt;"",'Expense Jrnl'!$C303&lt;&gt;""),1,0)</f>
        <v>0</v>
      </c>
      <c r="C799" s="517">
        <f>'Expense Jrnl'!$C303</f>
        <v>0</v>
      </c>
      <c r="D799" s="540">
        <f>'Expense Jrnl'!$D303</f>
        <v>0</v>
      </c>
      <c r="E799" s="1523">
        <f>'Expense Jrnl'!$F303</f>
        <v>0</v>
      </c>
      <c r="F799" s="1523"/>
      <c r="G799" s="519" t="str">
        <f>IF('Expense Jrnl'!$E303="","",'Expense Jrnl'!$E303)</f>
        <v/>
      </c>
      <c r="H799" s="518">
        <f>'Expense Jrnl'!H303</f>
        <v>0</v>
      </c>
      <c r="I799" s="518" t="str">
        <f t="shared" si="24"/>
        <v>0</v>
      </c>
      <c r="J799" s="520" t="b">
        <f t="shared" si="25"/>
        <v>0</v>
      </c>
      <c r="K799" s="541"/>
      <c r="L799" s="541">
        <f>'Expense Jrnl'!$G303</f>
        <v>0</v>
      </c>
      <c r="M799" s="523">
        <f>'Expense Jrnl'!E65</f>
        <v>0</v>
      </c>
      <c r="N799" s="539">
        <f>'Expense Jrnl'!$H65</f>
        <v>0</v>
      </c>
    </row>
    <row r="800" spans="2:14" s="1" customFormat="1" ht="30" hidden="1" customHeight="1" x14ac:dyDescent="0.2">
      <c r="B800" s="517">
        <f>IF(AND('Expense Jrnl'!$G304&lt;&gt;"",'Expense Jrnl'!$C304&lt;&gt;""),1,0)</f>
        <v>0</v>
      </c>
      <c r="C800" s="517">
        <f>'Expense Jrnl'!$C304</f>
        <v>0</v>
      </c>
      <c r="D800" s="540">
        <f>'Expense Jrnl'!$D304</f>
        <v>0</v>
      </c>
      <c r="E800" s="1523">
        <f>'Expense Jrnl'!$F304</f>
        <v>0</v>
      </c>
      <c r="F800" s="1523"/>
      <c r="G800" s="519" t="str">
        <f>IF('Expense Jrnl'!$E304="","",'Expense Jrnl'!$E304)</f>
        <v/>
      </c>
      <c r="H800" s="518">
        <f>'Expense Jrnl'!H304</f>
        <v>0</v>
      </c>
      <c r="I800" s="518" t="str">
        <f t="shared" si="24"/>
        <v>0</v>
      </c>
      <c r="J800" s="520" t="b">
        <f t="shared" si="25"/>
        <v>0</v>
      </c>
      <c r="K800" s="541"/>
      <c r="L800" s="541">
        <f>'Expense Jrnl'!$G304</f>
        <v>0</v>
      </c>
      <c r="M800" s="523">
        <f>'Expense Jrnl'!E66</f>
        <v>0</v>
      </c>
      <c r="N800" s="539">
        <f>'Expense Jrnl'!$H66</f>
        <v>0</v>
      </c>
    </row>
    <row r="801" spans="2:14" s="1" customFormat="1" ht="30" hidden="1" customHeight="1" x14ac:dyDescent="0.2">
      <c r="B801" s="517">
        <f>IF(AND('Expense Jrnl'!$G305&lt;&gt;"",'Expense Jrnl'!$C305&lt;&gt;""),1,0)</f>
        <v>0</v>
      </c>
      <c r="C801" s="517">
        <f>'Expense Jrnl'!$C305</f>
        <v>0</v>
      </c>
      <c r="D801" s="540">
        <f>'Expense Jrnl'!$D305</f>
        <v>0</v>
      </c>
      <c r="E801" s="1523">
        <f>'Expense Jrnl'!$F305</f>
        <v>0</v>
      </c>
      <c r="F801" s="1523"/>
      <c r="G801" s="519" t="str">
        <f>IF('Expense Jrnl'!$E305="","",'Expense Jrnl'!$E305)</f>
        <v/>
      </c>
      <c r="H801" s="518">
        <f>'Expense Jrnl'!H305</f>
        <v>0</v>
      </c>
      <c r="I801" s="518" t="str">
        <f t="shared" si="24"/>
        <v>0</v>
      </c>
      <c r="J801" s="520" t="b">
        <f t="shared" si="25"/>
        <v>0</v>
      </c>
      <c r="K801" s="541"/>
      <c r="L801" s="541">
        <f>'Expense Jrnl'!$G305</f>
        <v>0</v>
      </c>
      <c r="M801" s="523">
        <f>'Expense Jrnl'!E67</f>
        <v>0</v>
      </c>
      <c r="N801" s="539">
        <f>'Expense Jrnl'!$H67</f>
        <v>0</v>
      </c>
    </row>
    <row r="802" spans="2:14" s="1" customFormat="1" ht="30" hidden="1" customHeight="1" x14ac:dyDescent="0.2">
      <c r="B802" s="517">
        <f>IF(AND('Expense Jrnl'!$G306&lt;&gt;"",'Expense Jrnl'!$C306&lt;&gt;""),1,0)</f>
        <v>0</v>
      </c>
      <c r="C802" s="517">
        <f>'Expense Jrnl'!$C306</f>
        <v>0</v>
      </c>
      <c r="D802" s="540">
        <f>'Expense Jrnl'!$D306</f>
        <v>0</v>
      </c>
      <c r="E802" s="1523">
        <f>'Expense Jrnl'!$F306</f>
        <v>0</v>
      </c>
      <c r="F802" s="1523"/>
      <c r="G802" s="519" t="str">
        <f>IF('Expense Jrnl'!$E306="","",'Expense Jrnl'!$E306)</f>
        <v/>
      </c>
      <c r="H802" s="518">
        <f>'Expense Jrnl'!H306</f>
        <v>0</v>
      </c>
      <c r="I802" s="518" t="str">
        <f t="shared" si="24"/>
        <v>0</v>
      </c>
      <c r="J802" s="520" t="b">
        <f t="shared" si="25"/>
        <v>0</v>
      </c>
      <c r="K802" s="541"/>
      <c r="L802" s="541">
        <f>'Expense Jrnl'!$G306</f>
        <v>0</v>
      </c>
      <c r="M802" s="523">
        <f>'Expense Jrnl'!E68</f>
        <v>0</v>
      </c>
      <c r="N802" s="539">
        <f>'Expense Jrnl'!$H68</f>
        <v>0</v>
      </c>
    </row>
    <row r="803" spans="2:14" s="1" customFormat="1" ht="30" hidden="1" customHeight="1" x14ac:dyDescent="0.2">
      <c r="B803" s="517">
        <f>IF(AND('Expense Jrnl'!$G307&lt;&gt;"",'Expense Jrnl'!$C307&lt;&gt;""),1,0)</f>
        <v>0</v>
      </c>
      <c r="C803" s="517">
        <f>'Expense Jrnl'!$C307</f>
        <v>0</v>
      </c>
      <c r="D803" s="540">
        <f>'Expense Jrnl'!$D307</f>
        <v>0</v>
      </c>
      <c r="E803" s="1523">
        <f>'Expense Jrnl'!$F307</f>
        <v>0</v>
      </c>
      <c r="F803" s="1523"/>
      <c r="G803" s="519" t="str">
        <f>IF('Expense Jrnl'!$E307="","",'Expense Jrnl'!$E307)</f>
        <v/>
      </c>
      <c r="H803" s="518">
        <f>'Expense Jrnl'!H307</f>
        <v>0</v>
      </c>
      <c r="I803" s="518" t="str">
        <f t="shared" si="24"/>
        <v>0</v>
      </c>
      <c r="J803" s="520" t="b">
        <f t="shared" si="25"/>
        <v>0</v>
      </c>
      <c r="K803" s="541"/>
      <c r="L803" s="541">
        <f>'Expense Jrnl'!$G307</f>
        <v>0</v>
      </c>
      <c r="M803" s="523">
        <f>'Expense Jrnl'!E69</f>
        <v>0</v>
      </c>
      <c r="N803" s="539">
        <f>'Expense Jrnl'!$H69</f>
        <v>0</v>
      </c>
    </row>
    <row r="804" spans="2:14" s="1" customFormat="1" ht="30" hidden="1" customHeight="1" x14ac:dyDescent="0.2">
      <c r="B804" s="517">
        <f>IF(AND('Expense Jrnl'!$G308&lt;&gt;"",'Expense Jrnl'!$C308&lt;&gt;""),1,0)</f>
        <v>0</v>
      </c>
      <c r="C804" s="517">
        <f>'Expense Jrnl'!$C308</f>
        <v>0</v>
      </c>
      <c r="D804" s="540">
        <f>'Expense Jrnl'!$D308</f>
        <v>0</v>
      </c>
      <c r="E804" s="1523">
        <f>'Expense Jrnl'!$F308</f>
        <v>0</v>
      </c>
      <c r="F804" s="1523"/>
      <c r="G804" s="519" t="str">
        <f>IF('Expense Jrnl'!$E308="","",'Expense Jrnl'!$E308)</f>
        <v/>
      </c>
      <c r="H804" s="518">
        <f>'Expense Jrnl'!H308</f>
        <v>0</v>
      </c>
      <c r="I804" s="518" t="str">
        <f t="shared" si="24"/>
        <v>0</v>
      </c>
      <c r="J804" s="520" t="b">
        <f t="shared" si="25"/>
        <v>0</v>
      </c>
      <c r="K804" s="541"/>
      <c r="L804" s="541">
        <f>'Expense Jrnl'!$G308</f>
        <v>0</v>
      </c>
      <c r="M804" s="523">
        <f>'Expense Jrnl'!E70</f>
        <v>0</v>
      </c>
      <c r="N804" s="539">
        <f>'Expense Jrnl'!$H70</f>
        <v>0</v>
      </c>
    </row>
    <row r="805" spans="2:14" s="1" customFormat="1" ht="30" hidden="1" customHeight="1" x14ac:dyDescent="0.2">
      <c r="B805" s="517">
        <f>IF(AND('Expense Jrnl'!$G309&lt;&gt;"",'Expense Jrnl'!$C309&lt;&gt;""),1,0)</f>
        <v>0</v>
      </c>
      <c r="C805" s="517">
        <f>'Expense Jrnl'!$C309</f>
        <v>0</v>
      </c>
      <c r="D805" s="540">
        <f>'Expense Jrnl'!$D309</f>
        <v>0</v>
      </c>
      <c r="E805" s="1523">
        <f>'Expense Jrnl'!$F309</f>
        <v>0</v>
      </c>
      <c r="F805" s="1523"/>
      <c r="G805" s="519" t="str">
        <f>IF('Expense Jrnl'!$E309="","",'Expense Jrnl'!$E309)</f>
        <v/>
      </c>
      <c r="H805" s="518">
        <f>'Expense Jrnl'!H309</f>
        <v>0</v>
      </c>
      <c r="I805" s="518" t="str">
        <f t="shared" si="24"/>
        <v>0</v>
      </c>
      <c r="J805" s="520" t="b">
        <f t="shared" si="25"/>
        <v>0</v>
      </c>
      <c r="K805" s="541"/>
      <c r="L805" s="541">
        <f>'Expense Jrnl'!$G309</f>
        <v>0</v>
      </c>
      <c r="M805" s="523">
        <f>'Expense Jrnl'!E71</f>
        <v>0</v>
      </c>
      <c r="N805" s="539">
        <f>'Expense Jrnl'!$H71</f>
        <v>0</v>
      </c>
    </row>
    <row r="806" spans="2:14" s="1" customFormat="1" ht="30" hidden="1" customHeight="1" x14ac:dyDescent="0.2">
      <c r="B806" s="517">
        <f>IF(AND('Expense Jrnl'!$G310&lt;&gt;"",'Expense Jrnl'!$C310&lt;&gt;""),1,0)</f>
        <v>0</v>
      </c>
      <c r="C806" s="517">
        <f>'Expense Jrnl'!$C310</f>
        <v>0</v>
      </c>
      <c r="D806" s="540">
        <f>'Expense Jrnl'!$D310</f>
        <v>0</v>
      </c>
      <c r="E806" s="1523">
        <f>'Expense Jrnl'!$F310</f>
        <v>0</v>
      </c>
      <c r="F806" s="1523"/>
      <c r="G806" s="519" t="str">
        <f>IF('Expense Jrnl'!$E310="","",'Expense Jrnl'!$E310)</f>
        <v/>
      </c>
      <c r="H806" s="518">
        <f>'Expense Jrnl'!H310</f>
        <v>0</v>
      </c>
      <c r="I806" s="518" t="str">
        <f t="shared" si="24"/>
        <v>0</v>
      </c>
      <c r="J806" s="520" t="b">
        <f t="shared" si="25"/>
        <v>0</v>
      </c>
      <c r="K806" s="541"/>
      <c r="L806" s="541">
        <f>'Expense Jrnl'!$G310</f>
        <v>0</v>
      </c>
      <c r="M806" s="523">
        <f>'Expense Jrnl'!E72</f>
        <v>0</v>
      </c>
      <c r="N806" s="539">
        <f>'Expense Jrnl'!$H72</f>
        <v>0</v>
      </c>
    </row>
    <row r="807" spans="2:14" s="1" customFormat="1" ht="30" hidden="1" customHeight="1" x14ac:dyDescent="0.2">
      <c r="B807" s="517">
        <f>IF(AND('Expense Jrnl'!$G311&lt;&gt;"",'Expense Jrnl'!$C311&lt;&gt;""),1,0)</f>
        <v>0</v>
      </c>
      <c r="C807" s="517">
        <f>'Expense Jrnl'!$C311</f>
        <v>0</v>
      </c>
      <c r="D807" s="540">
        <f>'Expense Jrnl'!$D311</f>
        <v>0</v>
      </c>
      <c r="E807" s="1523">
        <f>'Expense Jrnl'!$F311</f>
        <v>0</v>
      </c>
      <c r="F807" s="1523"/>
      <c r="G807" s="519" t="str">
        <f>IF('Expense Jrnl'!$E311="","",'Expense Jrnl'!$E311)</f>
        <v/>
      </c>
      <c r="H807" s="518">
        <f>'Expense Jrnl'!H311</f>
        <v>0</v>
      </c>
      <c r="I807" s="518" t="str">
        <f t="shared" si="24"/>
        <v>0</v>
      </c>
      <c r="J807" s="520" t="b">
        <f t="shared" si="25"/>
        <v>0</v>
      </c>
      <c r="K807" s="541"/>
      <c r="L807" s="541">
        <f>'Expense Jrnl'!$G311</f>
        <v>0</v>
      </c>
      <c r="M807" s="523">
        <f>'Expense Jrnl'!E73</f>
        <v>0</v>
      </c>
      <c r="N807" s="539">
        <f>'Expense Jrnl'!$H73</f>
        <v>0</v>
      </c>
    </row>
    <row r="808" spans="2:14" s="1" customFormat="1" ht="30" hidden="1" customHeight="1" x14ac:dyDescent="0.2">
      <c r="B808" s="517">
        <f>IF(AND('Expense Jrnl'!$G312&lt;&gt;"",'Expense Jrnl'!$C312&lt;&gt;""),1,0)</f>
        <v>0</v>
      </c>
      <c r="C808" s="517">
        <f>'Expense Jrnl'!$C312</f>
        <v>0</v>
      </c>
      <c r="D808" s="540">
        <f>'Expense Jrnl'!$D312</f>
        <v>0</v>
      </c>
      <c r="E808" s="1523">
        <f>'Expense Jrnl'!$F312</f>
        <v>0</v>
      </c>
      <c r="F808" s="1523"/>
      <c r="G808" s="519" t="str">
        <f>IF('Expense Jrnl'!$E312="","",'Expense Jrnl'!$E312)</f>
        <v/>
      </c>
      <c r="H808" s="518">
        <f>'Expense Jrnl'!H312</f>
        <v>0</v>
      </c>
      <c r="I808" s="518" t="str">
        <f t="shared" si="24"/>
        <v>0</v>
      </c>
      <c r="J808" s="520" t="b">
        <f t="shared" si="25"/>
        <v>0</v>
      </c>
      <c r="K808" s="541"/>
      <c r="L808" s="541">
        <f>'Expense Jrnl'!$G312</f>
        <v>0</v>
      </c>
      <c r="M808" s="523">
        <f>'Expense Jrnl'!E74</f>
        <v>0</v>
      </c>
      <c r="N808" s="539">
        <f>'Expense Jrnl'!$H74</f>
        <v>0</v>
      </c>
    </row>
    <row r="809" spans="2:14" s="1" customFormat="1" ht="30" hidden="1" customHeight="1" x14ac:dyDescent="0.2">
      <c r="B809" s="517">
        <f>IF(AND('Expense Jrnl'!$G313&lt;&gt;"",'Expense Jrnl'!$C313&lt;&gt;""),1,0)</f>
        <v>0</v>
      </c>
      <c r="C809" s="517">
        <f>'Expense Jrnl'!$C313</f>
        <v>0</v>
      </c>
      <c r="D809" s="540">
        <f>'Expense Jrnl'!$D313</f>
        <v>0</v>
      </c>
      <c r="E809" s="1523">
        <f>'Expense Jrnl'!$F313</f>
        <v>0</v>
      </c>
      <c r="F809" s="1523"/>
      <c r="G809" s="519" t="str">
        <f>IF('Expense Jrnl'!$E313="","",'Expense Jrnl'!$E313)</f>
        <v/>
      </c>
      <c r="H809" s="518">
        <f>'Expense Jrnl'!H313</f>
        <v>0</v>
      </c>
      <c r="I809" s="518" t="str">
        <f t="shared" si="24"/>
        <v>0</v>
      </c>
      <c r="J809" s="520" t="b">
        <f t="shared" si="25"/>
        <v>0</v>
      </c>
      <c r="K809" s="541"/>
      <c r="L809" s="541">
        <f>'Expense Jrnl'!$G313</f>
        <v>0</v>
      </c>
      <c r="M809" s="523">
        <f>'Expense Jrnl'!E75</f>
        <v>0</v>
      </c>
      <c r="N809" s="539">
        <f>'Expense Jrnl'!$H75</f>
        <v>0</v>
      </c>
    </row>
    <row r="810" spans="2:14" s="1" customFormat="1" ht="30" hidden="1" customHeight="1" x14ac:dyDescent="0.2">
      <c r="B810" s="517">
        <f>IF(AND('Expense Jrnl'!$G314&lt;&gt;"",'Expense Jrnl'!$C314&lt;&gt;""),1,0)</f>
        <v>0</v>
      </c>
      <c r="C810" s="517">
        <f>'Expense Jrnl'!$C314</f>
        <v>0</v>
      </c>
      <c r="D810" s="540">
        <f>'Expense Jrnl'!$D314</f>
        <v>0</v>
      </c>
      <c r="E810" s="1523">
        <f>'Expense Jrnl'!$F314</f>
        <v>0</v>
      </c>
      <c r="F810" s="1523"/>
      <c r="G810" s="519" t="str">
        <f>IF('Expense Jrnl'!$E314="","",'Expense Jrnl'!$E314)</f>
        <v/>
      </c>
      <c r="H810" s="518">
        <f>'Expense Jrnl'!H314</f>
        <v>0</v>
      </c>
      <c r="I810" s="518" t="str">
        <f t="shared" si="24"/>
        <v>0</v>
      </c>
      <c r="J810" s="520" t="b">
        <f t="shared" si="25"/>
        <v>0</v>
      </c>
      <c r="K810" s="541"/>
      <c r="L810" s="541">
        <f>'Expense Jrnl'!$G314</f>
        <v>0</v>
      </c>
      <c r="M810" s="523">
        <f>'Expense Jrnl'!E76</f>
        <v>0</v>
      </c>
      <c r="N810" s="539">
        <f>'Expense Jrnl'!$H76</f>
        <v>0</v>
      </c>
    </row>
    <row r="811" spans="2:14" s="1" customFormat="1" ht="30" hidden="1" customHeight="1" x14ac:dyDescent="0.2">
      <c r="B811" s="517">
        <f>IF(AND('Expense Jrnl'!$G315&lt;&gt;"",'Expense Jrnl'!$C315&lt;&gt;""),1,0)</f>
        <v>0</v>
      </c>
      <c r="C811" s="517">
        <f>'Expense Jrnl'!$C315</f>
        <v>0</v>
      </c>
      <c r="D811" s="540">
        <f>'Expense Jrnl'!$D315</f>
        <v>0</v>
      </c>
      <c r="E811" s="1523">
        <f>'Expense Jrnl'!$F315</f>
        <v>0</v>
      </c>
      <c r="F811" s="1523"/>
      <c r="G811" s="519" t="str">
        <f>IF('Expense Jrnl'!$E315="","",'Expense Jrnl'!$E315)</f>
        <v/>
      </c>
      <c r="H811" s="518">
        <f>'Expense Jrnl'!H315</f>
        <v>0</v>
      </c>
      <c r="I811" s="518" t="str">
        <f t="shared" si="24"/>
        <v>0</v>
      </c>
      <c r="J811" s="520" t="b">
        <f t="shared" si="25"/>
        <v>0</v>
      </c>
      <c r="K811" s="541"/>
      <c r="L811" s="541">
        <f>'Expense Jrnl'!$G315</f>
        <v>0</v>
      </c>
      <c r="M811" s="523">
        <f>'Expense Jrnl'!E77</f>
        <v>0</v>
      </c>
      <c r="N811" s="539">
        <f>'Expense Jrnl'!$H77</f>
        <v>0</v>
      </c>
    </row>
    <row r="812" spans="2:14" s="1" customFormat="1" ht="30" hidden="1" customHeight="1" x14ac:dyDescent="0.2">
      <c r="B812" s="517">
        <f>IF(AND('Expense Jrnl'!$G316&lt;&gt;"",'Expense Jrnl'!$C316&lt;&gt;""),1,0)</f>
        <v>0</v>
      </c>
      <c r="C812" s="517">
        <f>'Expense Jrnl'!$C316</f>
        <v>0</v>
      </c>
      <c r="D812" s="540">
        <f>'Expense Jrnl'!$D316</f>
        <v>0</v>
      </c>
      <c r="E812" s="1523">
        <f>'Expense Jrnl'!$F316</f>
        <v>0</v>
      </c>
      <c r="F812" s="1523"/>
      <c r="G812" s="519" t="str">
        <f>IF('Expense Jrnl'!$E316="","",'Expense Jrnl'!$E316)</f>
        <v/>
      </c>
      <c r="H812" s="518">
        <f>'Expense Jrnl'!H316</f>
        <v>0</v>
      </c>
      <c r="I812" s="518" t="str">
        <f t="shared" si="24"/>
        <v>0</v>
      </c>
      <c r="J812" s="520" t="b">
        <f t="shared" si="25"/>
        <v>0</v>
      </c>
      <c r="K812" s="541"/>
      <c r="L812" s="541">
        <f>'Expense Jrnl'!$G316</f>
        <v>0</v>
      </c>
      <c r="M812" s="523">
        <f>'Expense Jrnl'!E78</f>
        <v>0</v>
      </c>
      <c r="N812" s="539">
        <f>'Expense Jrnl'!$H78</f>
        <v>0</v>
      </c>
    </row>
    <row r="813" spans="2:14" s="1" customFormat="1" ht="30" hidden="1" customHeight="1" x14ac:dyDescent="0.2">
      <c r="B813" s="517">
        <f>IF(AND('Expense Jrnl'!$G317&lt;&gt;"",'Expense Jrnl'!$C317&lt;&gt;""),1,0)</f>
        <v>0</v>
      </c>
      <c r="C813" s="517">
        <f>'Expense Jrnl'!$C317</f>
        <v>0</v>
      </c>
      <c r="D813" s="540">
        <f>'Expense Jrnl'!$D317</f>
        <v>0</v>
      </c>
      <c r="E813" s="1523">
        <f>'Expense Jrnl'!$F317</f>
        <v>0</v>
      </c>
      <c r="F813" s="1523"/>
      <c r="G813" s="519" t="str">
        <f>IF('Expense Jrnl'!$E317="","",'Expense Jrnl'!$E317)</f>
        <v/>
      </c>
      <c r="H813" s="518">
        <f>'Expense Jrnl'!H317</f>
        <v>0</v>
      </c>
      <c r="I813" s="518" t="str">
        <f t="shared" si="24"/>
        <v>0</v>
      </c>
      <c r="J813" s="520" t="b">
        <f t="shared" si="25"/>
        <v>0</v>
      </c>
      <c r="K813" s="541"/>
      <c r="L813" s="541">
        <f>'Expense Jrnl'!$G317</f>
        <v>0</v>
      </c>
      <c r="M813" s="523">
        <f>'Expense Jrnl'!E79</f>
        <v>0</v>
      </c>
      <c r="N813" s="539">
        <f>'Expense Jrnl'!$H79</f>
        <v>0</v>
      </c>
    </row>
    <row r="814" spans="2:14" s="1" customFormat="1" ht="30" hidden="1" customHeight="1" x14ac:dyDescent="0.2">
      <c r="B814" s="517">
        <f>IF(AND('Expense Jrnl'!$G318&lt;&gt;"",'Expense Jrnl'!$C318&lt;&gt;""),1,0)</f>
        <v>0</v>
      </c>
      <c r="C814" s="517">
        <f>'Expense Jrnl'!$C318</f>
        <v>0</v>
      </c>
      <c r="D814" s="540">
        <f>'Expense Jrnl'!$D318</f>
        <v>0</v>
      </c>
      <c r="E814" s="1523">
        <f>'Expense Jrnl'!$F318</f>
        <v>0</v>
      </c>
      <c r="F814" s="1523"/>
      <c r="G814" s="519" t="str">
        <f>IF('Expense Jrnl'!$E318="","",'Expense Jrnl'!$E318)</f>
        <v/>
      </c>
      <c r="H814" s="518">
        <f>'Expense Jrnl'!H318</f>
        <v>0</v>
      </c>
      <c r="I814" s="518" t="str">
        <f t="shared" si="24"/>
        <v>0</v>
      </c>
      <c r="J814" s="520" t="b">
        <f t="shared" si="25"/>
        <v>0</v>
      </c>
      <c r="K814" s="541"/>
      <c r="L814" s="541">
        <f>'Expense Jrnl'!$G318</f>
        <v>0</v>
      </c>
      <c r="M814" s="523">
        <f>'Expense Jrnl'!E80</f>
        <v>0</v>
      </c>
      <c r="N814" s="539">
        <f>'Expense Jrnl'!$H80</f>
        <v>0</v>
      </c>
    </row>
    <row r="815" spans="2:14" s="1" customFormat="1" ht="30" hidden="1" customHeight="1" x14ac:dyDescent="0.2">
      <c r="B815" s="517">
        <f>IF(AND('Expense Jrnl'!$G319&lt;&gt;"",'Expense Jrnl'!$C319&lt;&gt;""),1,0)</f>
        <v>0</v>
      </c>
      <c r="C815" s="517">
        <f>'Expense Jrnl'!$C319</f>
        <v>0</v>
      </c>
      <c r="D815" s="540">
        <f>'Expense Jrnl'!$D319</f>
        <v>0</v>
      </c>
      <c r="E815" s="1523">
        <f>'Expense Jrnl'!$F319</f>
        <v>0</v>
      </c>
      <c r="F815" s="1523"/>
      <c r="G815" s="519" t="str">
        <f>IF('Expense Jrnl'!$E319="","",'Expense Jrnl'!$E319)</f>
        <v/>
      </c>
      <c r="H815" s="518">
        <f>'Expense Jrnl'!H319</f>
        <v>0</v>
      </c>
      <c r="I815" s="518" t="str">
        <f t="shared" si="24"/>
        <v>0</v>
      </c>
      <c r="J815" s="520" t="b">
        <f t="shared" si="25"/>
        <v>0</v>
      </c>
      <c r="K815" s="541"/>
      <c r="L815" s="541">
        <f>'Expense Jrnl'!$G319</f>
        <v>0</v>
      </c>
      <c r="M815" s="523">
        <f>'Expense Jrnl'!E81</f>
        <v>0</v>
      </c>
      <c r="N815" s="539">
        <f>'Expense Jrnl'!$H81</f>
        <v>0</v>
      </c>
    </row>
    <row r="816" spans="2:14" s="1" customFormat="1" ht="30" hidden="1" customHeight="1" x14ac:dyDescent="0.2">
      <c r="B816" s="517">
        <f>IF(AND('Expense Jrnl'!$G320&lt;&gt;"",'Expense Jrnl'!$C320&lt;&gt;""),1,0)</f>
        <v>0</v>
      </c>
      <c r="C816" s="517">
        <f>'Expense Jrnl'!$C320</f>
        <v>0</v>
      </c>
      <c r="D816" s="540">
        <f>'Expense Jrnl'!$D320</f>
        <v>0</v>
      </c>
      <c r="E816" s="1523">
        <f>'Expense Jrnl'!$F320</f>
        <v>0</v>
      </c>
      <c r="F816" s="1523"/>
      <c r="G816" s="519" t="str">
        <f>IF('Expense Jrnl'!$E320="","",'Expense Jrnl'!$E320)</f>
        <v/>
      </c>
      <c r="H816" s="518">
        <f>'Expense Jrnl'!H320</f>
        <v>0</v>
      </c>
      <c r="I816" s="518" t="str">
        <f t="shared" si="24"/>
        <v>0</v>
      </c>
      <c r="J816" s="520" t="b">
        <f t="shared" si="25"/>
        <v>0</v>
      </c>
      <c r="K816" s="541"/>
      <c r="L816" s="541">
        <f>'Expense Jrnl'!$G320</f>
        <v>0</v>
      </c>
      <c r="M816" s="523">
        <f>'Expense Jrnl'!E82</f>
        <v>0</v>
      </c>
      <c r="N816" s="539">
        <f>'Expense Jrnl'!$H82</f>
        <v>0</v>
      </c>
    </row>
    <row r="817" spans="2:14" s="1" customFormat="1" ht="30" hidden="1" customHeight="1" x14ac:dyDescent="0.2">
      <c r="B817" s="517">
        <f>IF(AND('Expense Jrnl'!$G321&lt;&gt;"",'Expense Jrnl'!$C321&lt;&gt;""),1,0)</f>
        <v>0</v>
      </c>
      <c r="C817" s="517">
        <f>'Expense Jrnl'!$C321</f>
        <v>0</v>
      </c>
      <c r="D817" s="540">
        <f>'Expense Jrnl'!$D321</f>
        <v>0</v>
      </c>
      <c r="E817" s="1523">
        <f>'Expense Jrnl'!$F321</f>
        <v>0</v>
      </c>
      <c r="F817" s="1523"/>
      <c r="G817" s="519" t="str">
        <f>IF('Expense Jrnl'!$E321="","",'Expense Jrnl'!$E321)</f>
        <v/>
      </c>
      <c r="H817" s="518">
        <f>'Expense Jrnl'!H321</f>
        <v>0</v>
      </c>
      <c r="I817" s="518" t="str">
        <f t="shared" si="24"/>
        <v>0</v>
      </c>
      <c r="J817" s="520" t="b">
        <f t="shared" si="25"/>
        <v>0</v>
      </c>
      <c r="K817" s="541"/>
      <c r="L817" s="541">
        <f>'Expense Jrnl'!$G321</f>
        <v>0</v>
      </c>
      <c r="M817" s="523">
        <f>'Expense Jrnl'!E83</f>
        <v>0</v>
      </c>
      <c r="N817" s="539">
        <f>'Expense Jrnl'!$H83</f>
        <v>0</v>
      </c>
    </row>
    <row r="818" spans="2:14" s="1" customFormat="1" ht="30" hidden="1" customHeight="1" x14ac:dyDescent="0.2">
      <c r="B818" s="517">
        <f>IF(AND('Expense Jrnl'!$G322&lt;&gt;"",'Expense Jrnl'!$C322&lt;&gt;""),1,0)</f>
        <v>0</v>
      </c>
      <c r="C818" s="517">
        <f>'Expense Jrnl'!$C322</f>
        <v>0</v>
      </c>
      <c r="D818" s="540">
        <f>'Expense Jrnl'!$D322</f>
        <v>0</v>
      </c>
      <c r="E818" s="1523">
        <f>'Expense Jrnl'!$F322</f>
        <v>0</v>
      </c>
      <c r="F818" s="1523"/>
      <c r="G818" s="519" t="str">
        <f>IF('Expense Jrnl'!$E322="","",'Expense Jrnl'!$E322)</f>
        <v/>
      </c>
      <c r="H818" s="518">
        <f>'Expense Jrnl'!H322</f>
        <v>0</v>
      </c>
      <c r="I818" s="518" t="str">
        <f t="shared" si="24"/>
        <v>0</v>
      </c>
      <c r="J818" s="520" t="b">
        <f t="shared" si="25"/>
        <v>0</v>
      </c>
      <c r="K818" s="541"/>
      <c r="L818" s="541">
        <f>'Expense Jrnl'!$G322</f>
        <v>0</v>
      </c>
      <c r="M818" s="523">
        <f>'Expense Jrnl'!E84</f>
        <v>0</v>
      </c>
      <c r="N818" s="539">
        <f>'Expense Jrnl'!$H84</f>
        <v>0</v>
      </c>
    </row>
    <row r="819" spans="2:14" s="1" customFormat="1" ht="30" hidden="1" customHeight="1" x14ac:dyDescent="0.2">
      <c r="B819" s="517">
        <f>IF(AND('Expense Jrnl'!$G323&lt;&gt;"",'Expense Jrnl'!$C323&lt;&gt;""),1,0)</f>
        <v>0</v>
      </c>
      <c r="C819" s="517">
        <f>'Expense Jrnl'!$C323</f>
        <v>0</v>
      </c>
      <c r="D819" s="540">
        <f>'Expense Jrnl'!$D323</f>
        <v>0</v>
      </c>
      <c r="E819" s="1523">
        <f>'Expense Jrnl'!$F323</f>
        <v>0</v>
      </c>
      <c r="F819" s="1523"/>
      <c r="G819" s="519" t="str">
        <f>IF('Expense Jrnl'!$E323="","",'Expense Jrnl'!$E323)</f>
        <v/>
      </c>
      <c r="H819" s="518">
        <f>'Expense Jrnl'!H323</f>
        <v>0</v>
      </c>
      <c r="I819" s="518" t="str">
        <f t="shared" si="24"/>
        <v>0</v>
      </c>
      <c r="J819" s="520" t="b">
        <f t="shared" si="25"/>
        <v>0</v>
      </c>
      <c r="K819" s="541"/>
      <c r="L819" s="541">
        <f>'Expense Jrnl'!$G323</f>
        <v>0</v>
      </c>
      <c r="M819" s="523">
        <f>'Expense Jrnl'!E85</f>
        <v>0</v>
      </c>
      <c r="N819" s="539">
        <f>'Expense Jrnl'!$H85</f>
        <v>0</v>
      </c>
    </row>
    <row r="820" spans="2:14" s="1" customFormat="1" ht="30" hidden="1" customHeight="1" x14ac:dyDescent="0.2">
      <c r="B820" s="517">
        <f>IF(AND('Expense Jrnl'!$G324&lt;&gt;"",'Expense Jrnl'!$C324&lt;&gt;""),1,0)</f>
        <v>0</v>
      </c>
      <c r="C820" s="517">
        <f>'Expense Jrnl'!$C324</f>
        <v>0</v>
      </c>
      <c r="D820" s="540">
        <f>'Expense Jrnl'!$D324</f>
        <v>0</v>
      </c>
      <c r="E820" s="1523">
        <f>'Expense Jrnl'!$F324</f>
        <v>0</v>
      </c>
      <c r="F820" s="1523"/>
      <c r="G820" s="519" t="str">
        <f>IF('Expense Jrnl'!$E324="","",'Expense Jrnl'!$E324)</f>
        <v/>
      </c>
      <c r="H820" s="518">
        <f>'Expense Jrnl'!H324</f>
        <v>0</v>
      </c>
      <c r="I820" s="518" t="str">
        <f t="shared" si="24"/>
        <v>0</v>
      </c>
      <c r="J820" s="520" t="b">
        <f t="shared" si="25"/>
        <v>0</v>
      </c>
      <c r="K820" s="541"/>
      <c r="L820" s="541">
        <f>'Expense Jrnl'!$G324</f>
        <v>0</v>
      </c>
      <c r="M820" s="523">
        <f>'Expense Jrnl'!E86</f>
        <v>0</v>
      </c>
      <c r="N820" s="539">
        <f>'Expense Jrnl'!$H86</f>
        <v>0</v>
      </c>
    </row>
    <row r="821" spans="2:14" s="1" customFormat="1" ht="30" hidden="1" customHeight="1" x14ac:dyDescent="0.2">
      <c r="B821" s="517">
        <f>IF(AND('Expense Jrnl'!$G325&lt;&gt;"",'Expense Jrnl'!$C325&lt;&gt;""),1,0)</f>
        <v>0</v>
      </c>
      <c r="C821" s="517">
        <f>'Expense Jrnl'!$C325</f>
        <v>0</v>
      </c>
      <c r="D821" s="540">
        <f>'Expense Jrnl'!$D325</f>
        <v>0</v>
      </c>
      <c r="E821" s="1523">
        <f>'Expense Jrnl'!$F325</f>
        <v>0</v>
      </c>
      <c r="F821" s="1523"/>
      <c r="G821" s="519" t="str">
        <f>IF('Expense Jrnl'!$E325="","",'Expense Jrnl'!$E325)</f>
        <v/>
      </c>
      <c r="H821" s="518">
        <f>'Expense Jrnl'!H325</f>
        <v>0</v>
      </c>
      <c r="I821" s="518" t="str">
        <f t="shared" si="24"/>
        <v>0</v>
      </c>
      <c r="J821" s="520" t="b">
        <f t="shared" si="25"/>
        <v>0</v>
      </c>
      <c r="K821" s="541"/>
      <c r="L821" s="541">
        <f>'Expense Jrnl'!$G325</f>
        <v>0</v>
      </c>
      <c r="M821" s="523">
        <f>'Expense Jrnl'!E87</f>
        <v>0</v>
      </c>
      <c r="N821" s="539">
        <f>'Expense Jrnl'!$H87</f>
        <v>0</v>
      </c>
    </row>
    <row r="822" spans="2:14" s="1" customFormat="1" ht="30" hidden="1" customHeight="1" x14ac:dyDescent="0.2">
      <c r="B822" s="517">
        <f>IF(AND('Expense Jrnl'!$G326&lt;&gt;"",'Expense Jrnl'!$C326&lt;&gt;""),1,0)</f>
        <v>0</v>
      </c>
      <c r="C822" s="517">
        <f>'Expense Jrnl'!$C326</f>
        <v>0</v>
      </c>
      <c r="D822" s="540">
        <f>'Expense Jrnl'!$D326</f>
        <v>0</v>
      </c>
      <c r="E822" s="1523">
        <f>'Expense Jrnl'!$F326</f>
        <v>0</v>
      </c>
      <c r="F822" s="1523"/>
      <c r="G822" s="519" t="str">
        <f>IF('Expense Jrnl'!$E326="","",'Expense Jrnl'!$E326)</f>
        <v/>
      </c>
      <c r="H822" s="518">
        <f>'Expense Jrnl'!H326</f>
        <v>0</v>
      </c>
      <c r="I822" s="518" t="str">
        <f t="shared" si="24"/>
        <v>0</v>
      </c>
      <c r="J822" s="520" t="b">
        <f t="shared" si="25"/>
        <v>0</v>
      </c>
      <c r="K822" s="541"/>
      <c r="L822" s="541">
        <f>'Expense Jrnl'!$G326</f>
        <v>0</v>
      </c>
      <c r="M822" s="523">
        <f>'Expense Jrnl'!E88</f>
        <v>0</v>
      </c>
      <c r="N822" s="539">
        <f>'Expense Jrnl'!$H88</f>
        <v>0</v>
      </c>
    </row>
    <row r="823" spans="2:14" s="1" customFormat="1" ht="30" hidden="1" customHeight="1" x14ac:dyDescent="0.2">
      <c r="B823" s="517">
        <f>IF(AND('Expense Jrnl'!$G327&lt;&gt;"",'Expense Jrnl'!$C327&lt;&gt;""),1,0)</f>
        <v>0</v>
      </c>
      <c r="C823" s="517">
        <f>'Expense Jrnl'!$C327</f>
        <v>0</v>
      </c>
      <c r="D823" s="540">
        <f>'Expense Jrnl'!$D327</f>
        <v>0</v>
      </c>
      <c r="E823" s="1523">
        <f>'Expense Jrnl'!$F327</f>
        <v>0</v>
      </c>
      <c r="F823" s="1523"/>
      <c r="G823" s="519" t="str">
        <f>IF('Expense Jrnl'!$E327="","",'Expense Jrnl'!$E327)</f>
        <v/>
      </c>
      <c r="H823" s="518">
        <f>'Expense Jrnl'!H327</f>
        <v>0</v>
      </c>
      <c r="I823" s="518" t="str">
        <f t="shared" si="24"/>
        <v>0</v>
      </c>
      <c r="J823" s="520" t="b">
        <f t="shared" si="25"/>
        <v>0</v>
      </c>
      <c r="K823" s="541"/>
      <c r="L823" s="541">
        <f>'Expense Jrnl'!$G327</f>
        <v>0</v>
      </c>
      <c r="M823" s="523">
        <f>'Expense Jrnl'!E89</f>
        <v>0</v>
      </c>
      <c r="N823" s="539">
        <f>'Expense Jrnl'!$H89</f>
        <v>0</v>
      </c>
    </row>
    <row r="824" spans="2:14" s="1" customFormat="1" ht="30" hidden="1" customHeight="1" x14ac:dyDescent="0.2">
      <c r="B824" s="517">
        <f>IF(AND('Expense Jrnl'!$G328&lt;&gt;"",'Expense Jrnl'!$C328&lt;&gt;""),1,0)</f>
        <v>0</v>
      </c>
      <c r="C824" s="517">
        <f>'Expense Jrnl'!$C328</f>
        <v>0</v>
      </c>
      <c r="D824" s="540">
        <f>'Expense Jrnl'!$D328</f>
        <v>0</v>
      </c>
      <c r="E824" s="1523">
        <f>'Expense Jrnl'!$F328</f>
        <v>0</v>
      </c>
      <c r="F824" s="1523"/>
      <c r="G824" s="519" t="str">
        <f>IF('Expense Jrnl'!$E328="","",'Expense Jrnl'!$E328)</f>
        <v/>
      </c>
      <c r="H824" s="518">
        <f>'Expense Jrnl'!H328</f>
        <v>0</v>
      </c>
      <c r="I824" s="518" t="str">
        <f t="shared" si="24"/>
        <v>0</v>
      </c>
      <c r="J824" s="520" t="b">
        <f t="shared" si="25"/>
        <v>0</v>
      </c>
      <c r="K824" s="541"/>
      <c r="L824" s="541">
        <f>'Expense Jrnl'!$G328</f>
        <v>0</v>
      </c>
      <c r="M824" s="523">
        <f>'Expense Jrnl'!E90</f>
        <v>0</v>
      </c>
      <c r="N824" s="539">
        <f>'Expense Jrnl'!$H90</f>
        <v>0</v>
      </c>
    </row>
    <row r="825" spans="2:14" s="1" customFormat="1" ht="30" hidden="1" customHeight="1" x14ac:dyDescent="0.2">
      <c r="B825" s="517">
        <f>IF(AND('Expense Jrnl'!$G329&lt;&gt;"",'Expense Jrnl'!$C329&lt;&gt;""),1,0)</f>
        <v>0</v>
      </c>
      <c r="C825" s="517">
        <f>'Expense Jrnl'!$C329</f>
        <v>0</v>
      </c>
      <c r="D825" s="540">
        <f>'Expense Jrnl'!$D329</f>
        <v>0</v>
      </c>
      <c r="E825" s="1523">
        <f>'Expense Jrnl'!$F329</f>
        <v>0</v>
      </c>
      <c r="F825" s="1523"/>
      <c r="G825" s="519" t="str">
        <f>IF('Expense Jrnl'!$E329="","",'Expense Jrnl'!$E329)</f>
        <v/>
      </c>
      <c r="H825" s="518">
        <f>'Expense Jrnl'!H329</f>
        <v>0</v>
      </c>
      <c r="I825" s="518" t="str">
        <f t="shared" si="24"/>
        <v>0</v>
      </c>
      <c r="J825" s="520" t="b">
        <f t="shared" si="25"/>
        <v>0</v>
      </c>
      <c r="K825" s="541"/>
      <c r="L825" s="541">
        <f>'Expense Jrnl'!$G329</f>
        <v>0</v>
      </c>
      <c r="M825" s="523">
        <f>'Expense Jrnl'!E91</f>
        <v>0</v>
      </c>
      <c r="N825" s="539">
        <f>'Expense Jrnl'!$H91</f>
        <v>0</v>
      </c>
    </row>
    <row r="826" spans="2:14" s="1" customFormat="1" ht="30" hidden="1" customHeight="1" x14ac:dyDescent="0.2">
      <c r="B826" s="517">
        <f>IF(AND('Expense Jrnl'!$G330&lt;&gt;"",'Expense Jrnl'!$C330&lt;&gt;""),1,0)</f>
        <v>0</v>
      </c>
      <c r="C826" s="517">
        <f>'Expense Jrnl'!$C330</f>
        <v>0</v>
      </c>
      <c r="D826" s="540">
        <f>'Expense Jrnl'!$D330</f>
        <v>0</v>
      </c>
      <c r="E826" s="1523">
        <f>'Expense Jrnl'!$F330</f>
        <v>0</v>
      </c>
      <c r="F826" s="1523"/>
      <c r="G826" s="519" t="str">
        <f>IF('Expense Jrnl'!$E330="","",'Expense Jrnl'!$E330)</f>
        <v/>
      </c>
      <c r="H826" s="518">
        <f>'Expense Jrnl'!H330</f>
        <v>0</v>
      </c>
      <c r="I826" s="518" t="str">
        <f t="shared" si="24"/>
        <v>0</v>
      </c>
      <c r="J826" s="520" t="b">
        <f t="shared" si="25"/>
        <v>0</v>
      </c>
      <c r="K826" s="541"/>
      <c r="L826" s="541">
        <f>'Expense Jrnl'!$G330</f>
        <v>0</v>
      </c>
      <c r="M826" s="523">
        <f>'Expense Jrnl'!E92</f>
        <v>0</v>
      </c>
      <c r="N826" s="539">
        <f>'Expense Jrnl'!$H92</f>
        <v>0</v>
      </c>
    </row>
    <row r="827" spans="2:14" s="1" customFormat="1" ht="30" hidden="1" customHeight="1" x14ac:dyDescent="0.2">
      <c r="B827" s="517">
        <f>IF(AND('Expense Jrnl'!$G331&lt;&gt;"",'Expense Jrnl'!$C331&lt;&gt;""),1,0)</f>
        <v>0</v>
      </c>
      <c r="C827" s="517">
        <f>'Expense Jrnl'!$C331</f>
        <v>0</v>
      </c>
      <c r="D827" s="540">
        <f>'Expense Jrnl'!$D331</f>
        <v>0</v>
      </c>
      <c r="E827" s="1523">
        <f>'Expense Jrnl'!$F331</f>
        <v>0</v>
      </c>
      <c r="F827" s="1523"/>
      <c r="G827" s="519" t="str">
        <f>IF('Expense Jrnl'!$E331="","",'Expense Jrnl'!$E331)</f>
        <v/>
      </c>
      <c r="H827" s="518">
        <f>'Expense Jrnl'!H331</f>
        <v>0</v>
      </c>
      <c r="I827" s="518" t="str">
        <f t="shared" si="24"/>
        <v>0</v>
      </c>
      <c r="J827" s="520" t="b">
        <f t="shared" si="25"/>
        <v>0</v>
      </c>
      <c r="K827" s="541"/>
      <c r="L827" s="541">
        <f>'Expense Jrnl'!$G331</f>
        <v>0</v>
      </c>
      <c r="M827" s="523">
        <f>'Expense Jrnl'!E93</f>
        <v>0</v>
      </c>
      <c r="N827" s="539">
        <f>'Expense Jrnl'!$H93</f>
        <v>0</v>
      </c>
    </row>
    <row r="828" spans="2:14" s="1" customFormat="1" ht="30" hidden="1" customHeight="1" x14ac:dyDescent="0.2">
      <c r="B828" s="517">
        <f>IF(AND('Expense Jrnl'!$G332&lt;&gt;"",'Expense Jrnl'!$C332&lt;&gt;""),1,0)</f>
        <v>0</v>
      </c>
      <c r="C828" s="517">
        <f>'Expense Jrnl'!$C332</f>
        <v>0</v>
      </c>
      <c r="D828" s="540">
        <f>'Expense Jrnl'!$D332</f>
        <v>0</v>
      </c>
      <c r="E828" s="1523">
        <f>'Expense Jrnl'!$F332</f>
        <v>0</v>
      </c>
      <c r="F828" s="1523"/>
      <c r="G828" s="519" t="str">
        <f>IF('Expense Jrnl'!$E332="","",'Expense Jrnl'!$E332)</f>
        <v/>
      </c>
      <c r="H828" s="518">
        <f>'Expense Jrnl'!H332</f>
        <v>0</v>
      </c>
      <c r="I828" s="518" t="str">
        <f t="shared" si="24"/>
        <v>0</v>
      </c>
      <c r="J828" s="520" t="b">
        <f t="shared" si="25"/>
        <v>0</v>
      </c>
      <c r="K828" s="541"/>
      <c r="L828" s="541">
        <f>'Expense Jrnl'!$G332</f>
        <v>0</v>
      </c>
      <c r="M828" s="523">
        <f>'Expense Jrnl'!E94</f>
        <v>0</v>
      </c>
      <c r="N828" s="539">
        <f>'Expense Jrnl'!$H94</f>
        <v>0</v>
      </c>
    </row>
    <row r="829" spans="2:14" s="1" customFormat="1" ht="30" hidden="1" customHeight="1" x14ac:dyDescent="0.2">
      <c r="B829" s="517">
        <f>IF(AND('Expense Jrnl'!$G333&lt;&gt;"",'Expense Jrnl'!$C333&lt;&gt;""),1,0)</f>
        <v>0</v>
      </c>
      <c r="C829" s="517">
        <f>'Expense Jrnl'!$C333</f>
        <v>0</v>
      </c>
      <c r="D829" s="540">
        <f>'Expense Jrnl'!$D333</f>
        <v>0</v>
      </c>
      <c r="E829" s="1523">
        <f>'Expense Jrnl'!$F333</f>
        <v>0</v>
      </c>
      <c r="F829" s="1523"/>
      <c r="G829" s="519" t="str">
        <f>IF('Expense Jrnl'!$E333="","",'Expense Jrnl'!$E333)</f>
        <v/>
      </c>
      <c r="H829" s="518">
        <f>'Expense Jrnl'!H333</f>
        <v>0</v>
      </c>
      <c r="I829" s="518" t="str">
        <f t="shared" si="24"/>
        <v>0</v>
      </c>
      <c r="J829" s="520" t="b">
        <f t="shared" si="25"/>
        <v>0</v>
      </c>
      <c r="K829" s="541"/>
      <c r="L829" s="541">
        <f>'Expense Jrnl'!$G333</f>
        <v>0</v>
      </c>
      <c r="M829" s="523">
        <f>'Expense Jrnl'!E95</f>
        <v>0</v>
      </c>
      <c r="N829" s="539">
        <f>'Expense Jrnl'!$H95</f>
        <v>0</v>
      </c>
    </row>
    <row r="830" spans="2:14" s="1" customFormat="1" ht="30" hidden="1" customHeight="1" x14ac:dyDescent="0.2">
      <c r="B830" s="517">
        <f>IF(AND('Expense Jrnl'!$G334&lt;&gt;"",'Expense Jrnl'!$C334&lt;&gt;""),1,0)</f>
        <v>0</v>
      </c>
      <c r="C830" s="517">
        <f>'Expense Jrnl'!$C334</f>
        <v>0</v>
      </c>
      <c r="D830" s="540">
        <f>'Expense Jrnl'!$D334</f>
        <v>0</v>
      </c>
      <c r="E830" s="1523">
        <f>'Expense Jrnl'!$F334</f>
        <v>0</v>
      </c>
      <c r="F830" s="1523"/>
      <c r="G830" s="519" t="str">
        <f>IF('Expense Jrnl'!$E334="","",'Expense Jrnl'!$E334)</f>
        <v/>
      </c>
      <c r="H830" s="518">
        <f>'Expense Jrnl'!H334</f>
        <v>0</v>
      </c>
      <c r="I830" s="518" t="str">
        <f t="shared" si="24"/>
        <v>0</v>
      </c>
      <c r="J830" s="520" t="b">
        <f t="shared" si="25"/>
        <v>0</v>
      </c>
      <c r="K830" s="541"/>
      <c r="L830" s="541">
        <f>'Expense Jrnl'!$G334</f>
        <v>0</v>
      </c>
      <c r="M830" s="523">
        <f>'Expense Jrnl'!E96</f>
        <v>0</v>
      </c>
      <c r="N830" s="539">
        <f>'Expense Jrnl'!$H96</f>
        <v>0</v>
      </c>
    </row>
    <row r="831" spans="2:14" s="1" customFormat="1" ht="30" hidden="1" customHeight="1" x14ac:dyDescent="0.2">
      <c r="B831" s="517">
        <f>IF(AND('Expense Jrnl'!$G335&lt;&gt;"",'Expense Jrnl'!$C335&lt;&gt;""),1,0)</f>
        <v>0</v>
      </c>
      <c r="C831" s="517">
        <f>'Expense Jrnl'!$C335</f>
        <v>0</v>
      </c>
      <c r="D831" s="540">
        <f>'Expense Jrnl'!$D335</f>
        <v>0</v>
      </c>
      <c r="E831" s="1523">
        <f>'Expense Jrnl'!$F335</f>
        <v>0</v>
      </c>
      <c r="F831" s="1523"/>
      <c r="G831" s="519" t="str">
        <f>IF('Expense Jrnl'!$E335="","",'Expense Jrnl'!$E335)</f>
        <v/>
      </c>
      <c r="H831" s="518">
        <f>'Expense Jrnl'!H335</f>
        <v>0</v>
      </c>
      <c r="I831" s="518" t="str">
        <f t="shared" si="24"/>
        <v>0</v>
      </c>
      <c r="J831" s="520" t="b">
        <f t="shared" si="25"/>
        <v>0</v>
      </c>
      <c r="K831" s="541"/>
      <c r="L831" s="541">
        <f>'Expense Jrnl'!$G335</f>
        <v>0</v>
      </c>
      <c r="M831" s="523">
        <f>'Expense Jrnl'!E97</f>
        <v>0</v>
      </c>
      <c r="N831" s="539">
        <f>'Expense Jrnl'!$H97</f>
        <v>0</v>
      </c>
    </row>
    <row r="832" spans="2:14" s="1" customFormat="1" ht="30" hidden="1" customHeight="1" x14ac:dyDescent="0.2">
      <c r="B832" s="517">
        <f>IF(AND('Expense Jrnl'!$G336&lt;&gt;"",'Expense Jrnl'!$C336&lt;&gt;""),1,0)</f>
        <v>0</v>
      </c>
      <c r="C832" s="517">
        <f>'Expense Jrnl'!$C336</f>
        <v>0</v>
      </c>
      <c r="D832" s="540">
        <f>'Expense Jrnl'!$D336</f>
        <v>0</v>
      </c>
      <c r="E832" s="1523">
        <f>'Expense Jrnl'!$F336</f>
        <v>0</v>
      </c>
      <c r="F832" s="1523"/>
      <c r="G832" s="519" t="str">
        <f>IF('Expense Jrnl'!$E336="","",'Expense Jrnl'!$E336)</f>
        <v/>
      </c>
      <c r="H832" s="518">
        <f>'Expense Jrnl'!H336</f>
        <v>0</v>
      </c>
      <c r="I832" s="518" t="str">
        <f t="shared" ref="I832:I895" si="26">LEFT(H832,4)</f>
        <v>0</v>
      </c>
      <c r="J832" s="520" t="b">
        <f t="shared" ref="J832:J895" si="27">IF(I832="1020",IF(G832&gt;=$E$3,IF(G832&lt;=$G$3,L832,0)))</f>
        <v>0</v>
      </c>
      <c r="K832" s="541"/>
      <c r="L832" s="541">
        <f>'Expense Jrnl'!$G336</f>
        <v>0</v>
      </c>
      <c r="M832" s="523">
        <f>'Expense Jrnl'!E98</f>
        <v>0</v>
      </c>
      <c r="N832" s="539">
        <f>'Expense Jrnl'!$H98</f>
        <v>0</v>
      </c>
    </row>
    <row r="833" spans="2:14" s="1" customFormat="1" ht="30" hidden="1" customHeight="1" x14ac:dyDescent="0.2">
      <c r="B833" s="517">
        <f>IF(AND('Expense Jrnl'!$G337&lt;&gt;"",'Expense Jrnl'!$C337&lt;&gt;""),1,0)</f>
        <v>0</v>
      </c>
      <c r="C833" s="517">
        <f>'Expense Jrnl'!$C337</f>
        <v>0</v>
      </c>
      <c r="D833" s="540">
        <f>'Expense Jrnl'!$D337</f>
        <v>0</v>
      </c>
      <c r="E833" s="1523">
        <f>'Expense Jrnl'!$F337</f>
        <v>0</v>
      </c>
      <c r="F833" s="1523"/>
      <c r="G833" s="519" t="str">
        <f>IF('Expense Jrnl'!$E337="","",'Expense Jrnl'!$E337)</f>
        <v/>
      </c>
      <c r="H833" s="518">
        <f>'Expense Jrnl'!H337</f>
        <v>0</v>
      </c>
      <c r="I833" s="518" t="str">
        <f t="shared" si="26"/>
        <v>0</v>
      </c>
      <c r="J833" s="520" t="b">
        <f t="shared" si="27"/>
        <v>0</v>
      </c>
      <c r="K833" s="541"/>
      <c r="L833" s="541">
        <f>'Expense Jrnl'!$G337</f>
        <v>0</v>
      </c>
      <c r="M833" s="523">
        <f>'Expense Jrnl'!E99</f>
        <v>0</v>
      </c>
      <c r="N833" s="539">
        <f>'Expense Jrnl'!$H99</f>
        <v>0</v>
      </c>
    </row>
    <row r="834" spans="2:14" s="1" customFormat="1" ht="30" hidden="1" customHeight="1" x14ac:dyDescent="0.2">
      <c r="B834" s="517">
        <f>IF(AND('Expense Jrnl'!$G338&lt;&gt;"",'Expense Jrnl'!$C338&lt;&gt;""),1,0)</f>
        <v>0</v>
      </c>
      <c r="C834" s="517">
        <f>'Expense Jrnl'!$C338</f>
        <v>0</v>
      </c>
      <c r="D834" s="540">
        <f>'Expense Jrnl'!$D338</f>
        <v>0</v>
      </c>
      <c r="E834" s="1523">
        <f>'Expense Jrnl'!$F338</f>
        <v>0</v>
      </c>
      <c r="F834" s="1523"/>
      <c r="G834" s="519" t="str">
        <f>IF('Expense Jrnl'!$E338="","",'Expense Jrnl'!$E338)</f>
        <v/>
      </c>
      <c r="H834" s="518">
        <f>'Expense Jrnl'!H338</f>
        <v>0</v>
      </c>
      <c r="I834" s="518" t="str">
        <f t="shared" si="26"/>
        <v>0</v>
      </c>
      <c r="J834" s="520" t="b">
        <f t="shared" si="27"/>
        <v>0</v>
      </c>
      <c r="K834" s="541"/>
      <c r="L834" s="541">
        <f>'Expense Jrnl'!$G338</f>
        <v>0</v>
      </c>
      <c r="M834" s="523">
        <f>'Expense Jrnl'!E100</f>
        <v>0</v>
      </c>
      <c r="N834" s="539">
        <f>'Expense Jrnl'!$H100</f>
        <v>0</v>
      </c>
    </row>
    <row r="835" spans="2:14" s="1" customFormat="1" ht="30" hidden="1" customHeight="1" x14ac:dyDescent="0.2">
      <c r="B835" s="517">
        <f>IF(AND('Expense Jrnl'!$G339&lt;&gt;"",'Expense Jrnl'!$C339&lt;&gt;""),1,0)</f>
        <v>0</v>
      </c>
      <c r="C835" s="517">
        <f>'Expense Jrnl'!$C339</f>
        <v>0</v>
      </c>
      <c r="D835" s="540">
        <f>'Expense Jrnl'!$D339</f>
        <v>0</v>
      </c>
      <c r="E835" s="1523">
        <f>'Expense Jrnl'!$F339</f>
        <v>0</v>
      </c>
      <c r="F835" s="1523"/>
      <c r="G835" s="519" t="str">
        <f>IF('Expense Jrnl'!$E339="","",'Expense Jrnl'!$E339)</f>
        <v/>
      </c>
      <c r="H835" s="518">
        <f>'Expense Jrnl'!H339</f>
        <v>0</v>
      </c>
      <c r="I835" s="518" t="str">
        <f t="shared" si="26"/>
        <v>0</v>
      </c>
      <c r="J835" s="520" t="b">
        <f t="shared" si="27"/>
        <v>0</v>
      </c>
      <c r="K835" s="541"/>
      <c r="L835" s="541">
        <f>'Expense Jrnl'!$G339</f>
        <v>0</v>
      </c>
      <c r="M835" s="523">
        <f>'Expense Jrnl'!E101</f>
        <v>0</v>
      </c>
      <c r="N835" s="539">
        <f>'Expense Jrnl'!$H101</f>
        <v>0</v>
      </c>
    </row>
    <row r="836" spans="2:14" s="1" customFormat="1" ht="30" hidden="1" customHeight="1" x14ac:dyDescent="0.2">
      <c r="B836" s="517">
        <f>IF(AND('Expense Jrnl'!$G340&lt;&gt;"",'Expense Jrnl'!$C340&lt;&gt;""),1,0)</f>
        <v>0</v>
      </c>
      <c r="C836" s="517">
        <f>'Expense Jrnl'!$C340</f>
        <v>0</v>
      </c>
      <c r="D836" s="540">
        <f>'Expense Jrnl'!$D340</f>
        <v>0</v>
      </c>
      <c r="E836" s="1523">
        <f>'Expense Jrnl'!$F340</f>
        <v>0</v>
      </c>
      <c r="F836" s="1523"/>
      <c r="G836" s="519" t="str">
        <f>IF('Expense Jrnl'!$E340="","",'Expense Jrnl'!$E340)</f>
        <v/>
      </c>
      <c r="H836" s="518">
        <f>'Expense Jrnl'!H340</f>
        <v>0</v>
      </c>
      <c r="I836" s="518" t="str">
        <f t="shared" si="26"/>
        <v>0</v>
      </c>
      <c r="J836" s="520" t="b">
        <f t="shared" si="27"/>
        <v>0</v>
      </c>
      <c r="K836" s="541"/>
      <c r="L836" s="541">
        <f>'Expense Jrnl'!$G340</f>
        <v>0</v>
      </c>
      <c r="M836" s="523">
        <f>'Expense Jrnl'!E102</f>
        <v>0</v>
      </c>
      <c r="N836" s="539">
        <f>'Expense Jrnl'!$H102</f>
        <v>0</v>
      </c>
    </row>
    <row r="837" spans="2:14" s="1" customFormat="1" ht="30" hidden="1" customHeight="1" x14ac:dyDescent="0.2">
      <c r="B837" s="517">
        <f>IF(AND('Expense Jrnl'!$G341&lt;&gt;"",'Expense Jrnl'!$C341&lt;&gt;""),1,0)</f>
        <v>0</v>
      </c>
      <c r="C837" s="517">
        <f>'Expense Jrnl'!$C341</f>
        <v>0</v>
      </c>
      <c r="D837" s="540">
        <f>'Expense Jrnl'!$D341</f>
        <v>0</v>
      </c>
      <c r="E837" s="1523">
        <f>'Expense Jrnl'!$F341</f>
        <v>0</v>
      </c>
      <c r="F837" s="1523"/>
      <c r="G837" s="519" t="str">
        <f>IF('Expense Jrnl'!$E341="","",'Expense Jrnl'!$E341)</f>
        <v/>
      </c>
      <c r="H837" s="518">
        <f>'Expense Jrnl'!H341</f>
        <v>0</v>
      </c>
      <c r="I837" s="518" t="str">
        <f t="shared" si="26"/>
        <v>0</v>
      </c>
      <c r="J837" s="520" t="b">
        <f t="shared" si="27"/>
        <v>0</v>
      </c>
      <c r="K837" s="541"/>
      <c r="L837" s="541">
        <f>'Expense Jrnl'!$G341</f>
        <v>0</v>
      </c>
      <c r="M837" s="523">
        <f>'Expense Jrnl'!E103</f>
        <v>0</v>
      </c>
      <c r="N837" s="539">
        <f>'Expense Jrnl'!$H103</f>
        <v>0</v>
      </c>
    </row>
    <row r="838" spans="2:14" s="1" customFormat="1" ht="30" hidden="1" customHeight="1" x14ac:dyDescent="0.2">
      <c r="B838" s="517">
        <f>IF(AND('Expense Jrnl'!$G342&lt;&gt;"",'Expense Jrnl'!$C342&lt;&gt;""),1,0)</f>
        <v>0</v>
      </c>
      <c r="C838" s="517">
        <f>'Expense Jrnl'!$C342</f>
        <v>0</v>
      </c>
      <c r="D838" s="540">
        <f>'Expense Jrnl'!$D342</f>
        <v>0</v>
      </c>
      <c r="E838" s="1523">
        <f>'Expense Jrnl'!$F342</f>
        <v>0</v>
      </c>
      <c r="F838" s="1523"/>
      <c r="G838" s="519" t="str">
        <f>IF('Expense Jrnl'!$E342="","",'Expense Jrnl'!$E342)</f>
        <v/>
      </c>
      <c r="H838" s="518">
        <f>'Expense Jrnl'!H342</f>
        <v>0</v>
      </c>
      <c r="I838" s="518" t="str">
        <f t="shared" si="26"/>
        <v>0</v>
      </c>
      <c r="J838" s="520" t="b">
        <f t="shared" si="27"/>
        <v>0</v>
      </c>
      <c r="K838" s="541"/>
      <c r="L838" s="541">
        <f>'Expense Jrnl'!$G342</f>
        <v>0</v>
      </c>
      <c r="M838" s="523">
        <f>'Expense Jrnl'!E104</f>
        <v>0</v>
      </c>
      <c r="N838" s="539">
        <f>'Expense Jrnl'!$H104</f>
        <v>0</v>
      </c>
    </row>
    <row r="839" spans="2:14" s="1" customFormat="1" ht="30" hidden="1" customHeight="1" x14ac:dyDescent="0.2">
      <c r="B839" s="517">
        <f>IF(AND('Expense Jrnl'!$G343&lt;&gt;"",'Expense Jrnl'!$C343&lt;&gt;""),1,0)</f>
        <v>0</v>
      </c>
      <c r="C839" s="517">
        <f>'Expense Jrnl'!$C343</f>
        <v>0</v>
      </c>
      <c r="D839" s="540">
        <f>'Expense Jrnl'!$D343</f>
        <v>0</v>
      </c>
      <c r="E839" s="1523">
        <f>'Expense Jrnl'!$F343</f>
        <v>0</v>
      </c>
      <c r="F839" s="1523"/>
      <c r="G839" s="519" t="str">
        <f>IF('Expense Jrnl'!$E343="","",'Expense Jrnl'!$E343)</f>
        <v/>
      </c>
      <c r="H839" s="518">
        <f>'Expense Jrnl'!H343</f>
        <v>0</v>
      </c>
      <c r="I839" s="518" t="str">
        <f t="shared" si="26"/>
        <v>0</v>
      </c>
      <c r="J839" s="520" t="b">
        <f t="shared" si="27"/>
        <v>0</v>
      </c>
      <c r="K839" s="541"/>
      <c r="L839" s="541">
        <f>'Expense Jrnl'!$G343</f>
        <v>0</v>
      </c>
      <c r="M839" s="523">
        <f>'Expense Jrnl'!E105</f>
        <v>0</v>
      </c>
      <c r="N839" s="539">
        <f>'Expense Jrnl'!$H105</f>
        <v>0</v>
      </c>
    </row>
    <row r="840" spans="2:14" s="1" customFormat="1" ht="30" hidden="1" customHeight="1" x14ac:dyDescent="0.2">
      <c r="B840" s="517">
        <f>IF(AND('Expense Jrnl'!$G344&lt;&gt;"",'Expense Jrnl'!$C344&lt;&gt;""),1,0)</f>
        <v>0</v>
      </c>
      <c r="C840" s="517">
        <f>'Expense Jrnl'!$C344</f>
        <v>0</v>
      </c>
      <c r="D840" s="540">
        <f>'Expense Jrnl'!$D344</f>
        <v>0</v>
      </c>
      <c r="E840" s="1523">
        <f>'Expense Jrnl'!$F344</f>
        <v>0</v>
      </c>
      <c r="F840" s="1523"/>
      <c r="G840" s="519" t="str">
        <f>IF('Expense Jrnl'!$E344="","",'Expense Jrnl'!$E344)</f>
        <v/>
      </c>
      <c r="H840" s="518">
        <f>'Expense Jrnl'!H344</f>
        <v>0</v>
      </c>
      <c r="I840" s="518" t="str">
        <f t="shared" si="26"/>
        <v>0</v>
      </c>
      <c r="J840" s="520" t="b">
        <f t="shared" si="27"/>
        <v>0</v>
      </c>
      <c r="K840" s="541"/>
      <c r="L840" s="541">
        <f>'Expense Jrnl'!$G344</f>
        <v>0</v>
      </c>
      <c r="M840" s="523">
        <f>'Expense Jrnl'!E106</f>
        <v>0</v>
      </c>
      <c r="N840" s="539">
        <f>'Expense Jrnl'!$H106</f>
        <v>0</v>
      </c>
    </row>
    <row r="841" spans="2:14" s="1" customFormat="1" ht="30" hidden="1" customHeight="1" x14ac:dyDescent="0.2">
      <c r="B841" s="517">
        <f>IF(AND('Expense Jrnl'!$G345&lt;&gt;"",'Expense Jrnl'!$C345&lt;&gt;""),1,0)</f>
        <v>0</v>
      </c>
      <c r="C841" s="517">
        <f>'Expense Jrnl'!$C345</f>
        <v>0</v>
      </c>
      <c r="D841" s="540">
        <f>'Expense Jrnl'!$D345</f>
        <v>0</v>
      </c>
      <c r="E841" s="1523">
        <f>'Expense Jrnl'!$F345</f>
        <v>0</v>
      </c>
      <c r="F841" s="1523"/>
      <c r="G841" s="519" t="str">
        <f>IF('Expense Jrnl'!$E345="","",'Expense Jrnl'!$E345)</f>
        <v/>
      </c>
      <c r="H841" s="518">
        <f>'Expense Jrnl'!H345</f>
        <v>0</v>
      </c>
      <c r="I841" s="518" t="str">
        <f t="shared" si="26"/>
        <v>0</v>
      </c>
      <c r="J841" s="520" t="b">
        <f t="shared" si="27"/>
        <v>0</v>
      </c>
      <c r="K841" s="541"/>
      <c r="L841" s="541">
        <f>'Expense Jrnl'!$G345</f>
        <v>0</v>
      </c>
      <c r="M841" s="523">
        <f>'Expense Jrnl'!E107</f>
        <v>0</v>
      </c>
      <c r="N841" s="539">
        <f>'Expense Jrnl'!$H107</f>
        <v>0</v>
      </c>
    </row>
    <row r="842" spans="2:14" s="1" customFormat="1" ht="30" hidden="1" customHeight="1" x14ac:dyDescent="0.2">
      <c r="B842" s="517">
        <f>IF(AND('Expense Jrnl'!$G346&lt;&gt;"",'Expense Jrnl'!$C346&lt;&gt;""),1,0)</f>
        <v>0</v>
      </c>
      <c r="C842" s="517">
        <f>'Expense Jrnl'!$C346</f>
        <v>0</v>
      </c>
      <c r="D842" s="540">
        <f>'Expense Jrnl'!$D346</f>
        <v>0</v>
      </c>
      <c r="E842" s="1523">
        <f>'Expense Jrnl'!$F346</f>
        <v>0</v>
      </c>
      <c r="F842" s="1523"/>
      <c r="G842" s="519" t="str">
        <f>IF('Expense Jrnl'!$E346="","",'Expense Jrnl'!$E346)</f>
        <v/>
      </c>
      <c r="H842" s="518">
        <f>'Expense Jrnl'!H346</f>
        <v>0</v>
      </c>
      <c r="I842" s="518" t="str">
        <f t="shared" si="26"/>
        <v>0</v>
      </c>
      <c r="J842" s="520" t="b">
        <f t="shared" si="27"/>
        <v>0</v>
      </c>
      <c r="K842" s="541"/>
      <c r="L842" s="541">
        <f>'Expense Jrnl'!$G346</f>
        <v>0</v>
      </c>
      <c r="M842" s="523">
        <f>'Expense Jrnl'!E108</f>
        <v>0</v>
      </c>
      <c r="N842" s="539">
        <f>'Expense Jrnl'!$H108</f>
        <v>0</v>
      </c>
    </row>
    <row r="843" spans="2:14" s="1" customFormat="1" ht="30" hidden="1" customHeight="1" x14ac:dyDescent="0.2">
      <c r="B843" s="517">
        <f>IF(AND('Expense Jrnl'!$G347&lt;&gt;"",'Expense Jrnl'!$C347&lt;&gt;""),1,0)</f>
        <v>0</v>
      </c>
      <c r="C843" s="517">
        <f>'Expense Jrnl'!$C347</f>
        <v>0</v>
      </c>
      <c r="D843" s="540">
        <f>'Expense Jrnl'!$D347</f>
        <v>0</v>
      </c>
      <c r="E843" s="1523">
        <f>'Expense Jrnl'!$F347</f>
        <v>0</v>
      </c>
      <c r="F843" s="1523"/>
      <c r="G843" s="519" t="str">
        <f>IF('Expense Jrnl'!$E347="","",'Expense Jrnl'!$E347)</f>
        <v/>
      </c>
      <c r="H843" s="518">
        <f>'Expense Jrnl'!H347</f>
        <v>0</v>
      </c>
      <c r="I843" s="518" t="str">
        <f t="shared" si="26"/>
        <v>0</v>
      </c>
      <c r="J843" s="520" t="b">
        <f t="shared" si="27"/>
        <v>0</v>
      </c>
      <c r="K843" s="541"/>
      <c r="L843" s="541">
        <f>'Expense Jrnl'!$G347</f>
        <v>0</v>
      </c>
      <c r="M843" s="523">
        <f>'Expense Jrnl'!E109</f>
        <v>0</v>
      </c>
      <c r="N843" s="539">
        <f>'Expense Jrnl'!$H109</f>
        <v>0</v>
      </c>
    </row>
    <row r="844" spans="2:14" s="1" customFormat="1" ht="30" hidden="1" customHeight="1" x14ac:dyDescent="0.2">
      <c r="B844" s="517">
        <f>IF(AND('Expense Jrnl'!$G348&lt;&gt;"",'Expense Jrnl'!$C348&lt;&gt;""),1,0)</f>
        <v>0</v>
      </c>
      <c r="C844" s="517">
        <f>'Expense Jrnl'!$C348</f>
        <v>0</v>
      </c>
      <c r="D844" s="540">
        <f>'Expense Jrnl'!$D348</f>
        <v>0</v>
      </c>
      <c r="E844" s="1523">
        <f>'Expense Jrnl'!$F348</f>
        <v>0</v>
      </c>
      <c r="F844" s="1523"/>
      <c r="G844" s="519" t="str">
        <f>IF('Expense Jrnl'!$E348="","",'Expense Jrnl'!$E348)</f>
        <v/>
      </c>
      <c r="H844" s="518">
        <f>'Expense Jrnl'!H348</f>
        <v>0</v>
      </c>
      <c r="I844" s="518" t="str">
        <f t="shared" si="26"/>
        <v>0</v>
      </c>
      <c r="J844" s="520" t="b">
        <f t="shared" si="27"/>
        <v>0</v>
      </c>
      <c r="K844" s="541"/>
      <c r="L844" s="541">
        <f>'Expense Jrnl'!$G348</f>
        <v>0</v>
      </c>
      <c r="M844" s="523">
        <f>'Expense Jrnl'!E110</f>
        <v>0</v>
      </c>
      <c r="N844" s="539">
        <f>'Expense Jrnl'!$H110</f>
        <v>0</v>
      </c>
    </row>
    <row r="845" spans="2:14" s="1" customFormat="1" ht="30" hidden="1" customHeight="1" x14ac:dyDescent="0.2">
      <c r="B845" s="517">
        <f>IF(AND('Expense Jrnl'!$G349&lt;&gt;"",'Expense Jrnl'!$C349&lt;&gt;""),1,0)</f>
        <v>0</v>
      </c>
      <c r="C845" s="517">
        <f>'Expense Jrnl'!$C349</f>
        <v>0</v>
      </c>
      <c r="D845" s="540">
        <f>'Expense Jrnl'!$D349</f>
        <v>0</v>
      </c>
      <c r="E845" s="1523">
        <f>'Expense Jrnl'!$F349</f>
        <v>0</v>
      </c>
      <c r="F845" s="1523"/>
      <c r="G845" s="519" t="str">
        <f>IF('Expense Jrnl'!$E349="","",'Expense Jrnl'!$E349)</f>
        <v/>
      </c>
      <c r="H845" s="518">
        <f>'Expense Jrnl'!H349</f>
        <v>0</v>
      </c>
      <c r="I845" s="518" t="str">
        <f t="shared" si="26"/>
        <v>0</v>
      </c>
      <c r="J845" s="520" t="b">
        <f t="shared" si="27"/>
        <v>0</v>
      </c>
      <c r="K845" s="541"/>
      <c r="L845" s="541">
        <f>'Expense Jrnl'!$G349</f>
        <v>0</v>
      </c>
      <c r="M845" s="523">
        <f>'Expense Jrnl'!E111</f>
        <v>0</v>
      </c>
      <c r="N845" s="539">
        <f>'Expense Jrnl'!$H111</f>
        <v>0</v>
      </c>
    </row>
    <row r="846" spans="2:14" s="1" customFormat="1" ht="30" hidden="1" customHeight="1" x14ac:dyDescent="0.2">
      <c r="B846" s="517">
        <f>IF(AND('Expense Jrnl'!$G350&lt;&gt;"",'Expense Jrnl'!$C350&lt;&gt;""),1,0)</f>
        <v>0</v>
      </c>
      <c r="C846" s="517">
        <f>'Expense Jrnl'!$C350</f>
        <v>0</v>
      </c>
      <c r="D846" s="540">
        <f>'Expense Jrnl'!$D350</f>
        <v>0</v>
      </c>
      <c r="E846" s="1523">
        <f>'Expense Jrnl'!$F350</f>
        <v>0</v>
      </c>
      <c r="F846" s="1523"/>
      <c r="G846" s="519" t="str">
        <f>IF('Expense Jrnl'!$E350="","",'Expense Jrnl'!$E350)</f>
        <v/>
      </c>
      <c r="H846" s="518">
        <f>'Expense Jrnl'!H350</f>
        <v>0</v>
      </c>
      <c r="I846" s="518" t="str">
        <f t="shared" si="26"/>
        <v>0</v>
      </c>
      <c r="J846" s="520" t="b">
        <f t="shared" si="27"/>
        <v>0</v>
      </c>
      <c r="K846" s="541"/>
      <c r="L846" s="541">
        <f>'Expense Jrnl'!$G350</f>
        <v>0</v>
      </c>
      <c r="M846" s="523">
        <f>'Expense Jrnl'!E112</f>
        <v>0</v>
      </c>
      <c r="N846" s="539">
        <f>'Expense Jrnl'!$H112</f>
        <v>0</v>
      </c>
    </row>
    <row r="847" spans="2:14" s="1" customFormat="1" ht="30" hidden="1" customHeight="1" x14ac:dyDescent="0.2">
      <c r="B847" s="517">
        <f>IF(AND('Expense Jrnl'!$G351&lt;&gt;"",'Expense Jrnl'!$C351&lt;&gt;""),1,0)</f>
        <v>0</v>
      </c>
      <c r="C847" s="517">
        <f>'Expense Jrnl'!$C351</f>
        <v>0</v>
      </c>
      <c r="D847" s="540">
        <f>'Expense Jrnl'!$D351</f>
        <v>0</v>
      </c>
      <c r="E847" s="1523">
        <f>'Expense Jrnl'!$F351</f>
        <v>0</v>
      </c>
      <c r="F847" s="1523"/>
      <c r="G847" s="519" t="str">
        <f>IF('Expense Jrnl'!$E351="","",'Expense Jrnl'!$E351)</f>
        <v/>
      </c>
      <c r="H847" s="518">
        <f>'Expense Jrnl'!H351</f>
        <v>0</v>
      </c>
      <c r="I847" s="518" t="str">
        <f t="shared" si="26"/>
        <v>0</v>
      </c>
      <c r="J847" s="520" t="b">
        <f t="shared" si="27"/>
        <v>0</v>
      </c>
      <c r="K847" s="541"/>
      <c r="L847" s="541">
        <f>'Expense Jrnl'!$G351</f>
        <v>0</v>
      </c>
      <c r="M847" s="523">
        <f>'Expense Jrnl'!E113</f>
        <v>0</v>
      </c>
      <c r="N847" s="539">
        <f>'Expense Jrnl'!$H113</f>
        <v>0</v>
      </c>
    </row>
    <row r="848" spans="2:14" s="1" customFormat="1" ht="30" hidden="1" customHeight="1" x14ac:dyDescent="0.2">
      <c r="B848" s="517">
        <f>IF(AND('Expense Jrnl'!$G352&lt;&gt;"",'Expense Jrnl'!$C352&lt;&gt;""),1,0)</f>
        <v>0</v>
      </c>
      <c r="C848" s="517">
        <f>'Expense Jrnl'!$C352</f>
        <v>0</v>
      </c>
      <c r="D848" s="540">
        <f>'Expense Jrnl'!$D352</f>
        <v>0</v>
      </c>
      <c r="E848" s="1523">
        <f>'Expense Jrnl'!$F352</f>
        <v>0</v>
      </c>
      <c r="F848" s="1523"/>
      <c r="G848" s="519" t="str">
        <f>IF('Expense Jrnl'!$E352="","",'Expense Jrnl'!$E352)</f>
        <v/>
      </c>
      <c r="H848" s="518">
        <f>'Expense Jrnl'!H352</f>
        <v>0</v>
      </c>
      <c r="I848" s="518" t="str">
        <f t="shared" si="26"/>
        <v>0</v>
      </c>
      <c r="J848" s="520" t="b">
        <f t="shared" si="27"/>
        <v>0</v>
      </c>
      <c r="K848" s="541"/>
      <c r="L848" s="541">
        <f>'Expense Jrnl'!$G352</f>
        <v>0</v>
      </c>
      <c r="M848" s="523">
        <f>'Expense Jrnl'!E114</f>
        <v>0</v>
      </c>
      <c r="N848" s="539">
        <f>'Expense Jrnl'!$H114</f>
        <v>0</v>
      </c>
    </row>
    <row r="849" spans="2:14" s="1" customFormat="1" ht="30" hidden="1" customHeight="1" x14ac:dyDescent="0.2">
      <c r="B849" s="517">
        <f>IF(AND('Expense Jrnl'!$G353&lt;&gt;"",'Expense Jrnl'!$C353&lt;&gt;""),1,0)</f>
        <v>0</v>
      </c>
      <c r="C849" s="517">
        <f>'Expense Jrnl'!$C353</f>
        <v>0</v>
      </c>
      <c r="D849" s="540">
        <f>'Expense Jrnl'!$D353</f>
        <v>0</v>
      </c>
      <c r="E849" s="1523">
        <f>'Expense Jrnl'!$F353</f>
        <v>0</v>
      </c>
      <c r="F849" s="1523"/>
      <c r="G849" s="519" t="str">
        <f>IF('Expense Jrnl'!$E353="","",'Expense Jrnl'!$E353)</f>
        <v/>
      </c>
      <c r="H849" s="518">
        <f>'Expense Jrnl'!H353</f>
        <v>0</v>
      </c>
      <c r="I849" s="518" t="str">
        <f t="shared" si="26"/>
        <v>0</v>
      </c>
      <c r="J849" s="520" t="b">
        <f t="shared" si="27"/>
        <v>0</v>
      </c>
      <c r="K849" s="541"/>
      <c r="L849" s="541">
        <f>'Expense Jrnl'!$G353</f>
        <v>0</v>
      </c>
      <c r="M849" s="523">
        <f>'Expense Jrnl'!E115</f>
        <v>0</v>
      </c>
      <c r="N849" s="539">
        <f>'Expense Jrnl'!$H115</f>
        <v>0</v>
      </c>
    </row>
    <row r="850" spans="2:14" s="1" customFormat="1" ht="30" hidden="1" customHeight="1" x14ac:dyDescent="0.2">
      <c r="B850" s="517">
        <f>IF(AND('Expense Jrnl'!$G354&lt;&gt;"",'Expense Jrnl'!$C354&lt;&gt;""),1,0)</f>
        <v>0</v>
      </c>
      <c r="C850" s="517">
        <f>'Expense Jrnl'!$C354</f>
        <v>0</v>
      </c>
      <c r="D850" s="540">
        <f>'Expense Jrnl'!$D354</f>
        <v>0</v>
      </c>
      <c r="E850" s="1523">
        <f>'Expense Jrnl'!$F354</f>
        <v>0</v>
      </c>
      <c r="F850" s="1523"/>
      <c r="G850" s="519" t="str">
        <f>IF('Expense Jrnl'!$E354="","",'Expense Jrnl'!$E354)</f>
        <v/>
      </c>
      <c r="H850" s="518">
        <f>'Expense Jrnl'!H354</f>
        <v>0</v>
      </c>
      <c r="I850" s="518" t="str">
        <f t="shared" si="26"/>
        <v>0</v>
      </c>
      <c r="J850" s="520" t="b">
        <f t="shared" si="27"/>
        <v>0</v>
      </c>
      <c r="K850" s="541"/>
      <c r="L850" s="541">
        <f>'Expense Jrnl'!$G354</f>
        <v>0</v>
      </c>
      <c r="M850" s="523">
        <f>'Expense Jrnl'!E116</f>
        <v>0</v>
      </c>
      <c r="N850" s="539">
        <f>'Expense Jrnl'!$H116</f>
        <v>0</v>
      </c>
    </row>
    <row r="851" spans="2:14" s="1" customFormat="1" ht="30" hidden="1" customHeight="1" x14ac:dyDescent="0.2">
      <c r="B851" s="517">
        <f>IF(AND('Expense Jrnl'!$G355&lt;&gt;"",'Expense Jrnl'!$C355&lt;&gt;""),1,0)</f>
        <v>0</v>
      </c>
      <c r="C851" s="517">
        <f>'Expense Jrnl'!$C355</f>
        <v>0</v>
      </c>
      <c r="D851" s="540">
        <f>'Expense Jrnl'!$D355</f>
        <v>0</v>
      </c>
      <c r="E851" s="1523">
        <f>'Expense Jrnl'!$F355</f>
        <v>0</v>
      </c>
      <c r="F851" s="1523"/>
      <c r="G851" s="519" t="str">
        <f>IF('Expense Jrnl'!$E355="","",'Expense Jrnl'!$E355)</f>
        <v/>
      </c>
      <c r="H851" s="518">
        <f>'Expense Jrnl'!H355</f>
        <v>0</v>
      </c>
      <c r="I851" s="518" t="str">
        <f t="shared" si="26"/>
        <v>0</v>
      </c>
      <c r="J851" s="520" t="b">
        <f t="shared" si="27"/>
        <v>0</v>
      </c>
      <c r="K851" s="541"/>
      <c r="L851" s="541">
        <f>'Expense Jrnl'!$G355</f>
        <v>0</v>
      </c>
      <c r="M851" s="523">
        <f>'Expense Jrnl'!E117</f>
        <v>0</v>
      </c>
      <c r="N851" s="539">
        <f>'Expense Jrnl'!$H117</f>
        <v>0</v>
      </c>
    </row>
    <row r="852" spans="2:14" s="1" customFormat="1" ht="30" hidden="1" customHeight="1" x14ac:dyDescent="0.2">
      <c r="B852" s="517">
        <f>IF(AND('Expense Jrnl'!$G356&lt;&gt;"",'Expense Jrnl'!$C356&lt;&gt;""),1,0)</f>
        <v>0</v>
      </c>
      <c r="C852" s="517">
        <f>'Expense Jrnl'!$C356</f>
        <v>0</v>
      </c>
      <c r="D852" s="540">
        <f>'Expense Jrnl'!$D356</f>
        <v>0</v>
      </c>
      <c r="E852" s="1523">
        <f>'Expense Jrnl'!$F356</f>
        <v>0</v>
      </c>
      <c r="F852" s="1523"/>
      <c r="G852" s="519" t="str">
        <f>IF('Expense Jrnl'!$E356="","",'Expense Jrnl'!$E356)</f>
        <v/>
      </c>
      <c r="H852" s="518">
        <f>'Expense Jrnl'!H356</f>
        <v>0</v>
      </c>
      <c r="I852" s="518" t="str">
        <f t="shared" si="26"/>
        <v>0</v>
      </c>
      <c r="J852" s="520" t="b">
        <f t="shared" si="27"/>
        <v>0</v>
      </c>
      <c r="K852" s="541"/>
      <c r="L852" s="541">
        <f>'Expense Jrnl'!$G356</f>
        <v>0</v>
      </c>
      <c r="M852" s="523">
        <f>'Expense Jrnl'!E118</f>
        <v>0</v>
      </c>
      <c r="N852" s="539">
        <f>'Expense Jrnl'!$H118</f>
        <v>0</v>
      </c>
    </row>
    <row r="853" spans="2:14" s="1" customFormat="1" ht="30" hidden="1" customHeight="1" x14ac:dyDescent="0.2">
      <c r="B853" s="517">
        <f>IF(AND('Expense Jrnl'!$G357&lt;&gt;"",'Expense Jrnl'!$C357&lt;&gt;""),1,0)</f>
        <v>0</v>
      </c>
      <c r="C853" s="517">
        <f>'Expense Jrnl'!$C357</f>
        <v>0</v>
      </c>
      <c r="D853" s="540">
        <f>'Expense Jrnl'!$D357</f>
        <v>0</v>
      </c>
      <c r="E853" s="1523">
        <f>'Expense Jrnl'!$F357</f>
        <v>0</v>
      </c>
      <c r="F853" s="1523"/>
      <c r="G853" s="519" t="str">
        <f>IF('Expense Jrnl'!$E357="","",'Expense Jrnl'!$E357)</f>
        <v/>
      </c>
      <c r="H853" s="518">
        <f>'Expense Jrnl'!H357</f>
        <v>0</v>
      </c>
      <c r="I853" s="518" t="str">
        <f t="shared" si="26"/>
        <v>0</v>
      </c>
      <c r="J853" s="520" t="b">
        <f t="shared" si="27"/>
        <v>0</v>
      </c>
      <c r="K853" s="541"/>
      <c r="L853" s="541">
        <f>'Expense Jrnl'!$G357</f>
        <v>0</v>
      </c>
      <c r="M853" s="523">
        <f>'Expense Jrnl'!E119</f>
        <v>0</v>
      </c>
      <c r="N853" s="539">
        <f>'Expense Jrnl'!$H119</f>
        <v>0</v>
      </c>
    </row>
    <row r="854" spans="2:14" s="1" customFormat="1" ht="30" hidden="1" customHeight="1" x14ac:dyDescent="0.2">
      <c r="B854" s="517">
        <f>IF(AND('Expense Jrnl'!$G358&lt;&gt;"",'Expense Jrnl'!$C358&lt;&gt;""),1,0)</f>
        <v>0</v>
      </c>
      <c r="C854" s="517">
        <f>'Expense Jrnl'!$C358</f>
        <v>0</v>
      </c>
      <c r="D854" s="540">
        <f>'Expense Jrnl'!$D358</f>
        <v>0</v>
      </c>
      <c r="E854" s="1523">
        <f>'Expense Jrnl'!$F358</f>
        <v>0</v>
      </c>
      <c r="F854" s="1523"/>
      <c r="G854" s="519" t="str">
        <f>IF('Expense Jrnl'!$E358="","",'Expense Jrnl'!$E358)</f>
        <v/>
      </c>
      <c r="H854" s="518">
        <f>'Expense Jrnl'!H358</f>
        <v>0</v>
      </c>
      <c r="I854" s="518" t="str">
        <f t="shared" si="26"/>
        <v>0</v>
      </c>
      <c r="J854" s="520" t="b">
        <f t="shared" si="27"/>
        <v>0</v>
      </c>
      <c r="K854" s="541"/>
      <c r="L854" s="541">
        <f>'Expense Jrnl'!$G358</f>
        <v>0</v>
      </c>
      <c r="M854" s="523">
        <f>'Expense Jrnl'!E120</f>
        <v>0</v>
      </c>
      <c r="N854" s="539">
        <f>'Expense Jrnl'!$H120</f>
        <v>0</v>
      </c>
    </row>
    <row r="855" spans="2:14" s="1" customFormat="1" ht="30" hidden="1" customHeight="1" x14ac:dyDescent="0.2">
      <c r="B855" s="517">
        <f>IF(AND('Expense Jrnl'!$G359&lt;&gt;"",'Expense Jrnl'!$C359&lt;&gt;""),1,0)</f>
        <v>0</v>
      </c>
      <c r="C855" s="517">
        <f>'Expense Jrnl'!$C359</f>
        <v>0</v>
      </c>
      <c r="D855" s="540">
        <f>'Expense Jrnl'!$D359</f>
        <v>0</v>
      </c>
      <c r="E855" s="1523">
        <f>'Expense Jrnl'!$F359</f>
        <v>0</v>
      </c>
      <c r="F855" s="1523"/>
      <c r="G855" s="519" t="str">
        <f>IF('Expense Jrnl'!$E359="","",'Expense Jrnl'!$E359)</f>
        <v/>
      </c>
      <c r="H855" s="518">
        <f>'Expense Jrnl'!H359</f>
        <v>0</v>
      </c>
      <c r="I855" s="518" t="str">
        <f t="shared" si="26"/>
        <v>0</v>
      </c>
      <c r="J855" s="520" t="b">
        <f t="shared" si="27"/>
        <v>0</v>
      </c>
      <c r="K855" s="541"/>
      <c r="L855" s="541">
        <f>'Expense Jrnl'!$G359</f>
        <v>0</v>
      </c>
      <c r="M855" s="523">
        <f>'Expense Jrnl'!E121</f>
        <v>0</v>
      </c>
      <c r="N855" s="539">
        <f>'Expense Jrnl'!$H121</f>
        <v>0</v>
      </c>
    </row>
    <row r="856" spans="2:14" s="1" customFormat="1" ht="30" hidden="1" customHeight="1" x14ac:dyDescent="0.2">
      <c r="B856" s="517">
        <f>IF(AND('Expense Jrnl'!$G360&lt;&gt;"",'Expense Jrnl'!$C360&lt;&gt;""),1,0)</f>
        <v>0</v>
      </c>
      <c r="C856" s="517">
        <f>'Expense Jrnl'!$C360</f>
        <v>0</v>
      </c>
      <c r="D856" s="540">
        <f>'Expense Jrnl'!$D360</f>
        <v>0</v>
      </c>
      <c r="E856" s="1523">
        <f>'Expense Jrnl'!$F360</f>
        <v>0</v>
      </c>
      <c r="F856" s="1523"/>
      <c r="G856" s="519" t="str">
        <f>IF('Expense Jrnl'!$E360="","",'Expense Jrnl'!$E360)</f>
        <v/>
      </c>
      <c r="H856" s="518">
        <f>'Expense Jrnl'!H360</f>
        <v>0</v>
      </c>
      <c r="I856" s="518" t="str">
        <f t="shared" si="26"/>
        <v>0</v>
      </c>
      <c r="J856" s="520" t="b">
        <f t="shared" si="27"/>
        <v>0</v>
      </c>
      <c r="K856" s="541"/>
      <c r="L856" s="541">
        <f>'Expense Jrnl'!$G360</f>
        <v>0</v>
      </c>
      <c r="M856" s="523">
        <f>'Expense Jrnl'!E122</f>
        <v>0</v>
      </c>
      <c r="N856" s="539">
        <f>'Expense Jrnl'!$H122</f>
        <v>0</v>
      </c>
    </row>
    <row r="857" spans="2:14" s="1" customFormat="1" ht="30" hidden="1" customHeight="1" x14ac:dyDescent="0.2">
      <c r="B857" s="517">
        <f>IF(AND('Expense Jrnl'!$G361&lt;&gt;"",'Expense Jrnl'!$C361&lt;&gt;""),1,0)</f>
        <v>0</v>
      </c>
      <c r="C857" s="517">
        <f>'Expense Jrnl'!$C361</f>
        <v>0</v>
      </c>
      <c r="D857" s="540">
        <f>'Expense Jrnl'!$D361</f>
        <v>0</v>
      </c>
      <c r="E857" s="1523">
        <f>'Expense Jrnl'!$F361</f>
        <v>0</v>
      </c>
      <c r="F857" s="1523"/>
      <c r="G857" s="519" t="str">
        <f>IF('Expense Jrnl'!$E361="","",'Expense Jrnl'!$E361)</f>
        <v/>
      </c>
      <c r="H857" s="518">
        <f>'Expense Jrnl'!H361</f>
        <v>0</v>
      </c>
      <c r="I857" s="518" t="str">
        <f t="shared" si="26"/>
        <v>0</v>
      </c>
      <c r="J857" s="520" t="b">
        <f t="shared" si="27"/>
        <v>0</v>
      </c>
      <c r="K857" s="541"/>
      <c r="L857" s="541">
        <f>'Expense Jrnl'!$G361</f>
        <v>0</v>
      </c>
      <c r="M857" s="523">
        <f>'Expense Jrnl'!E123</f>
        <v>0</v>
      </c>
      <c r="N857" s="539">
        <f>'Expense Jrnl'!$H123</f>
        <v>0</v>
      </c>
    </row>
    <row r="858" spans="2:14" s="1" customFormat="1" ht="30" hidden="1" customHeight="1" x14ac:dyDescent="0.2">
      <c r="B858" s="517">
        <f>IF(AND('Expense Jrnl'!$G362&lt;&gt;"",'Expense Jrnl'!$C362&lt;&gt;""),1,0)</f>
        <v>0</v>
      </c>
      <c r="C858" s="517">
        <f>'Expense Jrnl'!$C362</f>
        <v>0</v>
      </c>
      <c r="D858" s="540">
        <f>'Expense Jrnl'!$D362</f>
        <v>0</v>
      </c>
      <c r="E858" s="1523">
        <f>'Expense Jrnl'!$F362</f>
        <v>0</v>
      </c>
      <c r="F858" s="1523"/>
      <c r="G858" s="519" t="str">
        <f>IF('Expense Jrnl'!$E362="","",'Expense Jrnl'!$E362)</f>
        <v/>
      </c>
      <c r="H858" s="518">
        <f>'Expense Jrnl'!H362</f>
        <v>0</v>
      </c>
      <c r="I858" s="518" t="str">
        <f t="shared" si="26"/>
        <v>0</v>
      </c>
      <c r="J858" s="520" t="b">
        <f t="shared" si="27"/>
        <v>0</v>
      </c>
      <c r="K858" s="541"/>
      <c r="L858" s="541">
        <f>'Expense Jrnl'!$G362</f>
        <v>0</v>
      </c>
      <c r="M858" s="523">
        <f>'Expense Jrnl'!E124</f>
        <v>0</v>
      </c>
      <c r="N858" s="539">
        <f>'Expense Jrnl'!$H124</f>
        <v>0</v>
      </c>
    </row>
    <row r="859" spans="2:14" s="1" customFormat="1" ht="30" hidden="1" customHeight="1" x14ac:dyDescent="0.2">
      <c r="B859" s="517">
        <f>IF(AND('Expense Jrnl'!$G363&lt;&gt;"",'Expense Jrnl'!$C363&lt;&gt;""),1,0)</f>
        <v>0</v>
      </c>
      <c r="C859" s="517">
        <f>'Expense Jrnl'!$C363</f>
        <v>0</v>
      </c>
      <c r="D859" s="540">
        <f>'Expense Jrnl'!$D363</f>
        <v>0</v>
      </c>
      <c r="E859" s="1523">
        <f>'Expense Jrnl'!$F363</f>
        <v>0</v>
      </c>
      <c r="F859" s="1523"/>
      <c r="G859" s="519" t="str">
        <f>IF('Expense Jrnl'!$E363="","",'Expense Jrnl'!$E363)</f>
        <v/>
      </c>
      <c r="H859" s="518">
        <f>'Expense Jrnl'!H363</f>
        <v>0</v>
      </c>
      <c r="I859" s="518" t="str">
        <f t="shared" si="26"/>
        <v>0</v>
      </c>
      <c r="J859" s="520" t="b">
        <f t="shared" si="27"/>
        <v>0</v>
      </c>
      <c r="K859" s="541"/>
      <c r="L859" s="541">
        <f>'Expense Jrnl'!$G363</f>
        <v>0</v>
      </c>
      <c r="M859" s="523">
        <f>'Expense Jrnl'!E125</f>
        <v>0</v>
      </c>
      <c r="N859" s="539">
        <f>'Expense Jrnl'!$H125</f>
        <v>0</v>
      </c>
    </row>
    <row r="860" spans="2:14" s="1" customFormat="1" ht="30" hidden="1" customHeight="1" x14ac:dyDescent="0.2">
      <c r="B860" s="517">
        <f>IF(AND('Expense Jrnl'!$G364&lt;&gt;"",'Expense Jrnl'!$C364&lt;&gt;""),1,0)</f>
        <v>0</v>
      </c>
      <c r="C860" s="517">
        <f>'Expense Jrnl'!$C364</f>
        <v>0</v>
      </c>
      <c r="D860" s="540">
        <f>'Expense Jrnl'!$D364</f>
        <v>0</v>
      </c>
      <c r="E860" s="1523">
        <f>'Expense Jrnl'!$F364</f>
        <v>0</v>
      </c>
      <c r="F860" s="1523"/>
      <c r="G860" s="519" t="str">
        <f>IF('Expense Jrnl'!$E364="","",'Expense Jrnl'!$E364)</f>
        <v/>
      </c>
      <c r="H860" s="518">
        <f>'Expense Jrnl'!H364</f>
        <v>0</v>
      </c>
      <c r="I860" s="518" t="str">
        <f t="shared" si="26"/>
        <v>0</v>
      </c>
      <c r="J860" s="520" t="b">
        <f t="shared" si="27"/>
        <v>0</v>
      </c>
      <c r="K860" s="541"/>
      <c r="L860" s="541">
        <f>'Expense Jrnl'!$G364</f>
        <v>0</v>
      </c>
      <c r="M860" s="523">
        <f>'Expense Jrnl'!E126</f>
        <v>0</v>
      </c>
      <c r="N860" s="539">
        <f>'Expense Jrnl'!$H126</f>
        <v>0</v>
      </c>
    </row>
    <row r="861" spans="2:14" s="1" customFormat="1" ht="30" hidden="1" customHeight="1" x14ac:dyDescent="0.2">
      <c r="B861" s="517">
        <f>IF(AND('Expense Jrnl'!$G365&lt;&gt;"",'Expense Jrnl'!$C365&lt;&gt;""),1,0)</f>
        <v>0</v>
      </c>
      <c r="C861" s="517">
        <f>'Expense Jrnl'!$C365</f>
        <v>0</v>
      </c>
      <c r="D861" s="540">
        <f>'Expense Jrnl'!$D365</f>
        <v>0</v>
      </c>
      <c r="E861" s="1523">
        <f>'Expense Jrnl'!$F365</f>
        <v>0</v>
      </c>
      <c r="F861" s="1523"/>
      <c r="G861" s="519" t="str">
        <f>IF('Expense Jrnl'!$E365="","",'Expense Jrnl'!$E365)</f>
        <v/>
      </c>
      <c r="H861" s="518">
        <f>'Expense Jrnl'!H365</f>
        <v>0</v>
      </c>
      <c r="I861" s="518" t="str">
        <f t="shared" si="26"/>
        <v>0</v>
      </c>
      <c r="J861" s="520" t="b">
        <f t="shared" si="27"/>
        <v>0</v>
      </c>
      <c r="K861" s="541"/>
      <c r="L861" s="541">
        <f>'Expense Jrnl'!$G365</f>
        <v>0</v>
      </c>
      <c r="M861" s="523">
        <f>'Expense Jrnl'!E127</f>
        <v>0</v>
      </c>
      <c r="N861" s="539">
        <f>'Expense Jrnl'!$H127</f>
        <v>0</v>
      </c>
    </row>
    <row r="862" spans="2:14" s="1" customFormat="1" ht="30" hidden="1" customHeight="1" x14ac:dyDescent="0.2">
      <c r="B862" s="517">
        <f>IF(AND('Expense Jrnl'!$G366&lt;&gt;"",'Expense Jrnl'!$C366&lt;&gt;""),1,0)</f>
        <v>0</v>
      </c>
      <c r="C862" s="517">
        <f>'Expense Jrnl'!$C366</f>
        <v>0</v>
      </c>
      <c r="D862" s="540">
        <f>'Expense Jrnl'!$D366</f>
        <v>0</v>
      </c>
      <c r="E862" s="1523">
        <f>'Expense Jrnl'!$F366</f>
        <v>0</v>
      </c>
      <c r="F862" s="1523"/>
      <c r="G862" s="519" t="str">
        <f>IF('Expense Jrnl'!$E366="","",'Expense Jrnl'!$E366)</f>
        <v/>
      </c>
      <c r="H862" s="518">
        <f>'Expense Jrnl'!H366</f>
        <v>0</v>
      </c>
      <c r="I862" s="518" t="str">
        <f t="shared" si="26"/>
        <v>0</v>
      </c>
      <c r="J862" s="520" t="b">
        <f t="shared" si="27"/>
        <v>0</v>
      </c>
      <c r="K862" s="541"/>
      <c r="L862" s="541">
        <f>'Expense Jrnl'!$G366</f>
        <v>0</v>
      </c>
      <c r="M862" s="523">
        <f>'Expense Jrnl'!E128</f>
        <v>0</v>
      </c>
      <c r="N862" s="539">
        <f>'Expense Jrnl'!$H128</f>
        <v>0</v>
      </c>
    </row>
    <row r="863" spans="2:14" s="1" customFormat="1" ht="30" hidden="1" customHeight="1" x14ac:dyDescent="0.2">
      <c r="B863" s="517">
        <f>IF(AND('Expense Jrnl'!$G367&lt;&gt;"",'Expense Jrnl'!$C367&lt;&gt;""),1,0)</f>
        <v>0</v>
      </c>
      <c r="C863" s="517">
        <f>'Expense Jrnl'!$C367</f>
        <v>0</v>
      </c>
      <c r="D863" s="540">
        <f>'Expense Jrnl'!$D367</f>
        <v>0</v>
      </c>
      <c r="E863" s="1523">
        <f>'Expense Jrnl'!$F367</f>
        <v>0</v>
      </c>
      <c r="F863" s="1523"/>
      <c r="G863" s="519" t="str">
        <f>IF('Expense Jrnl'!$E367="","",'Expense Jrnl'!$E367)</f>
        <v/>
      </c>
      <c r="H863" s="518">
        <f>'Expense Jrnl'!H367</f>
        <v>0</v>
      </c>
      <c r="I863" s="518" t="str">
        <f t="shared" si="26"/>
        <v>0</v>
      </c>
      <c r="J863" s="520" t="b">
        <f t="shared" si="27"/>
        <v>0</v>
      </c>
      <c r="K863" s="541"/>
      <c r="L863" s="541">
        <f>'Expense Jrnl'!$G367</f>
        <v>0</v>
      </c>
      <c r="M863" s="523">
        <f>'Expense Jrnl'!E129</f>
        <v>0</v>
      </c>
      <c r="N863" s="539">
        <f>'Expense Jrnl'!$H129</f>
        <v>0</v>
      </c>
    </row>
    <row r="864" spans="2:14" s="1" customFormat="1" ht="30" hidden="1" customHeight="1" x14ac:dyDescent="0.2">
      <c r="B864" s="517">
        <f>IF(AND('Expense Jrnl'!$G368&lt;&gt;"",'Expense Jrnl'!$C368&lt;&gt;""),1,0)</f>
        <v>0</v>
      </c>
      <c r="C864" s="517">
        <f>'Expense Jrnl'!$C368</f>
        <v>0</v>
      </c>
      <c r="D864" s="540">
        <f>'Expense Jrnl'!$D368</f>
        <v>0</v>
      </c>
      <c r="E864" s="1523">
        <f>'Expense Jrnl'!$F368</f>
        <v>0</v>
      </c>
      <c r="F864" s="1523"/>
      <c r="G864" s="519" t="str">
        <f>IF('Expense Jrnl'!$E368="","",'Expense Jrnl'!$E368)</f>
        <v/>
      </c>
      <c r="H864" s="518">
        <f>'Expense Jrnl'!H368</f>
        <v>0</v>
      </c>
      <c r="I864" s="518" t="str">
        <f t="shared" si="26"/>
        <v>0</v>
      </c>
      <c r="J864" s="520" t="b">
        <f t="shared" si="27"/>
        <v>0</v>
      </c>
      <c r="K864" s="541"/>
      <c r="L864" s="541">
        <f>'Expense Jrnl'!$G368</f>
        <v>0</v>
      </c>
      <c r="M864" s="523">
        <f>'Expense Jrnl'!E130</f>
        <v>0</v>
      </c>
      <c r="N864" s="539">
        <f>'Expense Jrnl'!$H130</f>
        <v>0</v>
      </c>
    </row>
    <row r="865" spans="2:14" s="1" customFormat="1" ht="30" hidden="1" customHeight="1" x14ac:dyDescent="0.2">
      <c r="B865" s="517">
        <f>IF(AND('Expense Jrnl'!$G369&lt;&gt;"",'Expense Jrnl'!$C369&lt;&gt;""),1,0)</f>
        <v>0</v>
      </c>
      <c r="C865" s="517">
        <f>'Expense Jrnl'!$C369</f>
        <v>0</v>
      </c>
      <c r="D865" s="540">
        <f>'Expense Jrnl'!$D369</f>
        <v>0</v>
      </c>
      <c r="E865" s="1523">
        <f>'Expense Jrnl'!$F369</f>
        <v>0</v>
      </c>
      <c r="F865" s="1523"/>
      <c r="G865" s="519" t="str">
        <f>IF('Expense Jrnl'!$E369="","",'Expense Jrnl'!$E369)</f>
        <v/>
      </c>
      <c r="H865" s="518">
        <f>'Expense Jrnl'!H369</f>
        <v>0</v>
      </c>
      <c r="I865" s="518" t="str">
        <f t="shared" si="26"/>
        <v>0</v>
      </c>
      <c r="J865" s="520" t="b">
        <f t="shared" si="27"/>
        <v>0</v>
      </c>
      <c r="K865" s="541"/>
      <c r="L865" s="541">
        <f>'Expense Jrnl'!$G369</f>
        <v>0</v>
      </c>
      <c r="M865" s="523">
        <f>'Expense Jrnl'!E131</f>
        <v>0</v>
      </c>
      <c r="N865" s="539">
        <f>'Expense Jrnl'!$H131</f>
        <v>0</v>
      </c>
    </row>
    <row r="866" spans="2:14" s="1" customFormat="1" ht="30" hidden="1" customHeight="1" x14ac:dyDescent="0.2">
      <c r="B866" s="517">
        <f>IF(AND('Expense Jrnl'!$G370&lt;&gt;"",'Expense Jrnl'!$C370&lt;&gt;""),1,0)</f>
        <v>0</v>
      </c>
      <c r="C866" s="517">
        <f>'Expense Jrnl'!$C370</f>
        <v>0</v>
      </c>
      <c r="D866" s="540">
        <f>'Expense Jrnl'!$D370</f>
        <v>0</v>
      </c>
      <c r="E866" s="1523">
        <f>'Expense Jrnl'!$F370</f>
        <v>0</v>
      </c>
      <c r="F866" s="1523"/>
      <c r="G866" s="519" t="str">
        <f>IF('Expense Jrnl'!$E370="","",'Expense Jrnl'!$E370)</f>
        <v/>
      </c>
      <c r="H866" s="518">
        <f>'Expense Jrnl'!H370</f>
        <v>0</v>
      </c>
      <c r="I866" s="518" t="str">
        <f t="shared" si="26"/>
        <v>0</v>
      </c>
      <c r="J866" s="520" t="b">
        <f t="shared" si="27"/>
        <v>0</v>
      </c>
      <c r="K866" s="541"/>
      <c r="L866" s="541">
        <f>'Expense Jrnl'!$G370</f>
        <v>0</v>
      </c>
      <c r="M866" s="523">
        <f>'Expense Jrnl'!E132</f>
        <v>0</v>
      </c>
      <c r="N866" s="539">
        <f>'Expense Jrnl'!$H132</f>
        <v>0</v>
      </c>
    </row>
    <row r="867" spans="2:14" s="1" customFormat="1" ht="30" hidden="1" customHeight="1" x14ac:dyDescent="0.2">
      <c r="B867" s="517">
        <f>IF(AND('Expense Jrnl'!$G371&lt;&gt;"",'Expense Jrnl'!$C371&lt;&gt;""),1,0)</f>
        <v>0</v>
      </c>
      <c r="C867" s="517">
        <f>'Expense Jrnl'!$C371</f>
        <v>0</v>
      </c>
      <c r="D867" s="540">
        <f>'Expense Jrnl'!$D371</f>
        <v>0</v>
      </c>
      <c r="E867" s="1523">
        <f>'Expense Jrnl'!$F371</f>
        <v>0</v>
      </c>
      <c r="F867" s="1523"/>
      <c r="G867" s="519" t="str">
        <f>IF('Expense Jrnl'!$E371="","",'Expense Jrnl'!$E371)</f>
        <v/>
      </c>
      <c r="H867" s="518">
        <f>'Expense Jrnl'!H371</f>
        <v>0</v>
      </c>
      <c r="I867" s="518" t="str">
        <f t="shared" si="26"/>
        <v>0</v>
      </c>
      <c r="J867" s="520" t="b">
        <f t="shared" si="27"/>
        <v>0</v>
      </c>
      <c r="K867" s="541"/>
      <c r="L867" s="541">
        <f>'Expense Jrnl'!$G371</f>
        <v>0</v>
      </c>
      <c r="M867" s="523">
        <f>'Expense Jrnl'!E133</f>
        <v>0</v>
      </c>
      <c r="N867" s="539">
        <f>'Expense Jrnl'!$H133</f>
        <v>0</v>
      </c>
    </row>
    <row r="868" spans="2:14" s="1" customFormat="1" ht="30" hidden="1" customHeight="1" x14ac:dyDescent="0.2">
      <c r="B868" s="517">
        <f>IF(AND('Expense Jrnl'!$G372&lt;&gt;"",'Expense Jrnl'!$C372&lt;&gt;""),1,0)</f>
        <v>0</v>
      </c>
      <c r="C868" s="517">
        <f>'Expense Jrnl'!$C372</f>
        <v>0</v>
      </c>
      <c r="D868" s="540">
        <f>'Expense Jrnl'!$D372</f>
        <v>0</v>
      </c>
      <c r="E868" s="1523">
        <f>'Expense Jrnl'!$F372</f>
        <v>0</v>
      </c>
      <c r="F868" s="1523"/>
      <c r="G868" s="519" t="str">
        <f>IF('Expense Jrnl'!$E372="","",'Expense Jrnl'!$E372)</f>
        <v/>
      </c>
      <c r="H868" s="518">
        <f>'Expense Jrnl'!H372</f>
        <v>0</v>
      </c>
      <c r="I868" s="518" t="str">
        <f t="shared" si="26"/>
        <v>0</v>
      </c>
      <c r="J868" s="520" t="b">
        <f t="shared" si="27"/>
        <v>0</v>
      </c>
      <c r="K868" s="541"/>
      <c r="L868" s="541">
        <f>'Expense Jrnl'!$G372</f>
        <v>0</v>
      </c>
      <c r="M868" s="523">
        <f>'Expense Jrnl'!E134</f>
        <v>0</v>
      </c>
      <c r="N868" s="539">
        <f>'Expense Jrnl'!$H134</f>
        <v>0</v>
      </c>
    </row>
    <row r="869" spans="2:14" s="1" customFormat="1" ht="30" hidden="1" customHeight="1" x14ac:dyDescent="0.2">
      <c r="B869" s="517">
        <f>IF(AND('Expense Jrnl'!$G373&lt;&gt;"",'Expense Jrnl'!$C373&lt;&gt;""),1,0)</f>
        <v>0</v>
      </c>
      <c r="C869" s="517">
        <f>'Expense Jrnl'!$C373</f>
        <v>0</v>
      </c>
      <c r="D869" s="540">
        <f>'Expense Jrnl'!$D373</f>
        <v>0</v>
      </c>
      <c r="E869" s="1523">
        <f>'Expense Jrnl'!$F373</f>
        <v>0</v>
      </c>
      <c r="F869" s="1523"/>
      <c r="G869" s="519" t="str">
        <f>IF('Expense Jrnl'!$E373="","",'Expense Jrnl'!$E373)</f>
        <v/>
      </c>
      <c r="H869" s="518">
        <f>'Expense Jrnl'!H373</f>
        <v>0</v>
      </c>
      <c r="I869" s="518" t="str">
        <f t="shared" si="26"/>
        <v>0</v>
      </c>
      <c r="J869" s="520" t="b">
        <f t="shared" si="27"/>
        <v>0</v>
      </c>
      <c r="K869" s="541"/>
      <c r="L869" s="541">
        <f>'Expense Jrnl'!$G373</f>
        <v>0</v>
      </c>
      <c r="M869" s="523">
        <f>'Expense Jrnl'!E135</f>
        <v>0</v>
      </c>
      <c r="N869" s="539">
        <f>'Expense Jrnl'!$H135</f>
        <v>0</v>
      </c>
    </row>
    <row r="870" spans="2:14" s="1" customFormat="1" ht="30" hidden="1" customHeight="1" x14ac:dyDescent="0.2">
      <c r="B870" s="517">
        <f>IF(AND('Expense Jrnl'!$G374&lt;&gt;"",'Expense Jrnl'!$C374&lt;&gt;""),1,0)</f>
        <v>0</v>
      </c>
      <c r="C870" s="517">
        <f>'Expense Jrnl'!$C374</f>
        <v>0</v>
      </c>
      <c r="D870" s="540">
        <f>'Expense Jrnl'!$D374</f>
        <v>0</v>
      </c>
      <c r="E870" s="1523">
        <f>'Expense Jrnl'!$F374</f>
        <v>0</v>
      </c>
      <c r="F870" s="1523"/>
      <c r="G870" s="519" t="str">
        <f>IF('Expense Jrnl'!$E374="","",'Expense Jrnl'!$E374)</f>
        <v/>
      </c>
      <c r="H870" s="518">
        <f>'Expense Jrnl'!H374</f>
        <v>0</v>
      </c>
      <c r="I870" s="518" t="str">
        <f t="shared" si="26"/>
        <v>0</v>
      </c>
      <c r="J870" s="520" t="b">
        <f t="shared" si="27"/>
        <v>0</v>
      </c>
      <c r="K870" s="541"/>
      <c r="L870" s="541">
        <f>'Expense Jrnl'!$G374</f>
        <v>0</v>
      </c>
      <c r="M870" s="523">
        <f>'Expense Jrnl'!E136</f>
        <v>0</v>
      </c>
      <c r="N870" s="539">
        <f>'Expense Jrnl'!$H136</f>
        <v>0</v>
      </c>
    </row>
    <row r="871" spans="2:14" s="1" customFormat="1" ht="30" hidden="1" customHeight="1" x14ac:dyDescent="0.2">
      <c r="B871" s="517">
        <f>IF(AND('Expense Jrnl'!$G375&lt;&gt;"",'Expense Jrnl'!$C375&lt;&gt;""),1,0)</f>
        <v>0</v>
      </c>
      <c r="C871" s="517">
        <f>'Expense Jrnl'!$C375</f>
        <v>0</v>
      </c>
      <c r="D871" s="540">
        <f>'Expense Jrnl'!$D375</f>
        <v>0</v>
      </c>
      <c r="E871" s="1523">
        <f>'Expense Jrnl'!$F375</f>
        <v>0</v>
      </c>
      <c r="F871" s="1523"/>
      <c r="G871" s="519" t="str">
        <f>IF('Expense Jrnl'!$E375="","",'Expense Jrnl'!$E375)</f>
        <v/>
      </c>
      <c r="H871" s="518">
        <f>'Expense Jrnl'!H375</f>
        <v>0</v>
      </c>
      <c r="I871" s="518" t="str">
        <f t="shared" si="26"/>
        <v>0</v>
      </c>
      <c r="J871" s="520" t="b">
        <f t="shared" si="27"/>
        <v>0</v>
      </c>
      <c r="K871" s="541"/>
      <c r="L871" s="541">
        <f>'Expense Jrnl'!$G375</f>
        <v>0</v>
      </c>
      <c r="M871" s="523">
        <f>'Expense Jrnl'!E137</f>
        <v>0</v>
      </c>
      <c r="N871" s="539">
        <f>'Expense Jrnl'!$H137</f>
        <v>0</v>
      </c>
    </row>
    <row r="872" spans="2:14" s="1" customFormat="1" ht="30" hidden="1" customHeight="1" x14ac:dyDescent="0.2">
      <c r="B872" s="517">
        <f>IF(AND('Expense Jrnl'!$G376&lt;&gt;"",'Expense Jrnl'!$C376&lt;&gt;""),1,0)</f>
        <v>0</v>
      </c>
      <c r="C872" s="517">
        <f>'Expense Jrnl'!$C376</f>
        <v>0</v>
      </c>
      <c r="D872" s="540">
        <f>'Expense Jrnl'!$D376</f>
        <v>0</v>
      </c>
      <c r="E872" s="1523">
        <f>'Expense Jrnl'!$F376</f>
        <v>0</v>
      </c>
      <c r="F872" s="1523"/>
      <c r="G872" s="519" t="str">
        <f>IF('Expense Jrnl'!$E376="","",'Expense Jrnl'!$E376)</f>
        <v/>
      </c>
      <c r="H872" s="518">
        <f>'Expense Jrnl'!H376</f>
        <v>0</v>
      </c>
      <c r="I872" s="518" t="str">
        <f t="shared" si="26"/>
        <v>0</v>
      </c>
      <c r="J872" s="520" t="b">
        <f t="shared" si="27"/>
        <v>0</v>
      </c>
      <c r="K872" s="541"/>
      <c r="L872" s="541">
        <f>'Expense Jrnl'!$G376</f>
        <v>0</v>
      </c>
      <c r="M872" s="523">
        <f>'Expense Jrnl'!E138</f>
        <v>0</v>
      </c>
      <c r="N872" s="539">
        <f>'Expense Jrnl'!$H138</f>
        <v>0</v>
      </c>
    </row>
    <row r="873" spans="2:14" s="1" customFormat="1" ht="30" hidden="1" customHeight="1" x14ac:dyDescent="0.2">
      <c r="B873" s="517">
        <f>IF(AND('Expense Jrnl'!$G377&lt;&gt;"",'Expense Jrnl'!$C377&lt;&gt;""),1,0)</f>
        <v>0</v>
      </c>
      <c r="C873" s="517">
        <f>'Expense Jrnl'!$C377</f>
        <v>0</v>
      </c>
      <c r="D873" s="540">
        <f>'Expense Jrnl'!$D377</f>
        <v>0</v>
      </c>
      <c r="E873" s="1523">
        <f>'Expense Jrnl'!$F377</f>
        <v>0</v>
      </c>
      <c r="F873" s="1523"/>
      <c r="G873" s="519" t="str">
        <f>IF('Expense Jrnl'!$E377="","",'Expense Jrnl'!$E377)</f>
        <v/>
      </c>
      <c r="H873" s="518">
        <f>'Expense Jrnl'!H377</f>
        <v>0</v>
      </c>
      <c r="I873" s="518" t="str">
        <f t="shared" si="26"/>
        <v>0</v>
      </c>
      <c r="J873" s="520" t="b">
        <f t="shared" si="27"/>
        <v>0</v>
      </c>
      <c r="K873" s="541"/>
      <c r="L873" s="541">
        <f>'Expense Jrnl'!$G377</f>
        <v>0</v>
      </c>
      <c r="M873" s="523">
        <f>'Expense Jrnl'!E139</f>
        <v>0</v>
      </c>
      <c r="N873" s="539">
        <f>'Expense Jrnl'!$H139</f>
        <v>0</v>
      </c>
    </row>
    <row r="874" spans="2:14" s="1" customFormat="1" ht="30" hidden="1" customHeight="1" x14ac:dyDescent="0.2">
      <c r="B874" s="517">
        <f>IF(AND('Expense Jrnl'!$G378&lt;&gt;"",'Expense Jrnl'!$C378&lt;&gt;""),1,0)</f>
        <v>0</v>
      </c>
      <c r="C874" s="517">
        <f>'Expense Jrnl'!$C378</f>
        <v>0</v>
      </c>
      <c r="D874" s="540">
        <f>'Expense Jrnl'!$D378</f>
        <v>0</v>
      </c>
      <c r="E874" s="1523">
        <f>'Expense Jrnl'!$F378</f>
        <v>0</v>
      </c>
      <c r="F874" s="1523"/>
      <c r="G874" s="519" t="str">
        <f>IF('Expense Jrnl'!$E378="","",'Expense Jrnl'!$E378)</f>
        <v/>
      </c>
      <c r="H874" s="518">
        <f>'Expense Jrnl'!H378</f>
        <v>0</v>
      </c>
      <c r="I874" s="518" t="str">
        <f t="shared" si="26"/>
        <v>0</v>
      </c>
      <c r="J874" s="520" t="b">
        <f t="shared" si="27"/>
        <v>0</v>
      </c>
      <c r="K874" s="541"/>
      <c r="L874" s="541">
        <f>'Expense Jrnl'!$G378</f>
        <v>0</v>
      </c>
      <c r="M874" s="523">
        <f>'Expense Jrnl'!E140</f>
        <v>0</v>
      </c>
      <c r="N874" s="539">
        <f>'Expense Jrnl'!$H140</f>
        <v>0</v>
      </c>
    </row>
    <row r="875" spans="2:14" s="1" customFormat="1" ht="30" hidden="1" customHeight="1" x14ac:dyDescent="0.2">
      <c r="B875" s="517">
        <f>IF(AND('Expense Jrnl'!$G379&lt;&gt;"",'Expense Jrnl'!$C379&lt;&gt;""),1,0)</f>
        <v>0</v>
      </c>
      <c r="C875" s="517">
        <f>'Expense Jrnl'!$C379</f>
        <v>0</v>
      </c>
      <c r="D875" s="540">
        <f>'Expense Jrnl'!$D379</f>
        <v>0</v>
      </c>
      <c r="E875" s="1523">
        <f>'Expense Jrnl'!$F379</f>
        <v>0</v>
      </c>
      <c r="F875" s="1523"/>
      <c r="G875" s="519" t="str">
        <f>IF('Expense Jrnl'!$E379="","",'Expense Jrnl'!$E379)</f>
        <v/>
      </c>
      <c r="H875" s="518">
        <f>'Expense Jrnl'!H379</f>
        <v>0</v>
      </c>
      <c r="I875" s="518" t="str">
        <f t="shared" si="26"/>
        <v>0</v>
      </c>
      <c r="J875" s="520" t="b">
        <f t="shared" si="27"/>
        <v>0</v>
      </c>
      <c r="K875" s="541"/>
      <c r="L875" s="541">
        <f>'Expense Jrnl'!$G379</f>
        <v>0</v>
      </c>
      <c r="M875" s="523">
        <f>'Expense Jrnl'!E141</f>
        <v>0</v>
      </c>
      <c r="N875" s="539">
        <f>'Expense Jrnl'!$H141</f>
        <v>0</v>
      </c>
    </row>
    <row r="876" spans="2:14" s="1" customFormat="1" ht="30" hidden="1" customHeight="1" x14ac:dyDescent="0.2">
      <c r="B876" s="517">
        <f>IF(AND('Expense Jrnl'!$G380&lt;&gt;"",'Expense Jrnl'!$C380&lt;&gt;""),1,0)</f>
        <v>0</v>
      </c>
      <c r="C876" s="517">
        <f>'Expense Jrnl'!$C380</f>
        <v>0</v>
      </c>
      <c r="D876" s="540">
        <f>'Expense Jrnl'!$D380</f>
        <v>0</v>
      </c>
      <c r="E876" s="1523">
        <f>'Expense Jrnl'!$F380</f>
        <v>0</v>
      </c>
      <c r="F876" s="1523"/>
      <c r="G876" s="519" t="str">
        <f>IF('Expense Jrnl'!$E380="","",'Expense Jrnl'!$E380)</f>
        <v/>
      </c>
      <c r="H876" s="518">
        <f>'Expense Jrnl'!H380</f>
        <v>0</v>
      </c>
      <c r="I876" s="518" t="str">
        <f t="shared" si="26"/>
        <v>0</v>
      </c>
      <c r="J876" s="520" t="b">
        <f t="shared" si="27"/>
        <v>0</v>
      </c>
      <c r="K876" s="541"/>
      <c r="L876" s="541">
        <f>'Expense Jrnl'!$G380</f>
        <v>0</v>
      </c>
      <c r="M876" s="523">
        <f>'Expense Jrnl'!E142</f>
        <v>0</v>
      </c>
      <c r="N876" s="539">
        <f>'Expense Jrnl'!$H142</f>
        <v>0</v>
      </c>
    </row>
    <row r="877" spans="2:14" s="1" customFormat="1" ht="30" hidden="1" customHeight="1" x14ac:dyDescent="0.2">
      <c r="B877" s="517">
        <f>IF(AND('Expense Jrnl'!$G381&lt;&gt;"",'Expense Jrnl'!$C381&lt;&gt;""),1,0)</f>
        <v>0</v>
      </c>
      <c r="C877" s="517">
        <f>'Expense Jrnl'!$C381</f>
        <v>0</v>
      </c>
      <c r="D877" s="540">
        <f>'Expense Jrnl'!$D381</f>
        <v>0</v>
      </c>
      <c r="E877" s="1523">
        <f>'Expense Jrnl'!$F381</f>
        <v>0</v>
      </c>
      <c r="F877" s="1523"/>
      <c r="G877" s="519" t="str">
        <f>IF('Expense Jrnl'!$E381="","",'Expense Jrnl'!$E381)</f>
        <v/>
      </c>
      <c r="H877" s="518">
        <f>'Expense Jrnl'!H381</f>
        <v>0</v>
      </c>
      <c r="I877" s="518" t="str">
        <f t="shared" si="26"/>
        <v>0</v>
      </c>
      <c r="J877" s="520" t="b">
        <f t="shared" si="27"/>
        <v>0</v>
      </c>
      <c r="K877" s="541"/>
      <c r="L877" s="541">
        <f>'Expense Jrnl'!$G381</f>
        <v>0</v>
      </c>
      <c r="M877" s="523">
        <f>'Expense Jrnl'!E143</f>
        <v>0</v>
      </c>
      <c r="N877" s="539">
        <f>'Expense Jrnl'!$H143</f>
        <v>0</v>
      </c>
    </row>
    <row r="878" spans="2:14" s="1" customFormat="1" ht="30" hidden="1" customHeight="1" x14ac:dyDescent="0.2">
      <c r="B878" s="517">
        <f>IF(AND('Expense Jrnl'!$G382&lt;&gt;"",'Expense Jrnl'!$C382&lt;&gt;""),1,0)</f>
        <v>0</v>
      </c>
      <c r="C878" s="517">
        <f>'Expense Jrnl'!$C382</f>
        <v>0</v>
      </c>
      <c r="D878" s="540">
        <f>'Expense Jrnl'!$D382</f>
        <v>0</v>
      </c>
      <c r="E878" s="1523">
        <f>'Expense Jrnl'!$F382</f>
        <v>0</v>
      </c>
      <c r="F878" s="1523"/>
      <c r="G878" s="519" t="str">
        <f>IF('Expense Jrnl'!$E382="","",'Expense Jrnl'!$E382)</f>
        <v/>
      </c>
      <c r="H878" s="518">
        <f>'Expense Jrnl'!H382</f>
        <v>0</v>
      </c>
      <c r="I878" s="518" t="str">
        <f t="shared" si="26"/>
        <v>0</v>
      </c>
      <c r="J878" s="520" t="b">
        <f t="shared" si="27"/>
        <v>0</v>
      </c>
      <c r="K878" s="541"/>
      <c r="L878" s="541">
        <f>'Expense Jrnl'!$G382</f>
        <v>0</v>
      </c>
      <c r="M878" s="523">
        <f>'Expense Jrnl'!E144</f>
        <v>0</v>
      </c>
      <c r="N878" s="539">
        <f>'Expense Jrnl'!$H144</f>
        <v>0</v>
      </c>
    </row>
    <row r="879" spans="2:14" s="1" customFormat="1" ht="30" hidden="1" customHeight="1" x14ac:dyDescent="0.2">
      <c r="B879" s="517">
        <f>IF(AND('Expense Jrnl'!$G383&lt;&gt;"",'Expense Jrnl'!$C383&lt;&gt;""),1,0)</f>
        <v>0</v>
      </c>
      <c r="C879" s="517">
        <f>'Expense Jrnl'!$C383</f>
        <v>0</v>
      </c>
      <c r="D879" s="540">
        <f>'Expense Jrnl'!$D383</f>
        <v>0</v>
      </c>
      <c r="E879" s="1523">
        <f>'Expense Jrnl'!$F383</f>
        <v>0</v>
      </c>
      <c r="F879" s="1523"/>
      <c r="G879" s="519" t="str">
        <f>IF('Expense Jrnl'!$E383="","",'Expense Jrnl'!$E383)</f>
        <v/>
      </c>
      <c r="H879" s="518">
        <f>'Expense Jrnl'!H383</f>
        <v>0</v>
      </c>
      <c r="I879" s="518" t="str">
        <f t="shared" si="26"/>
        <v>0</v>
      </c>
      <c r="J879" s="520" t="b">
        <f t="shared" si="27"/>
        <v>0</v>
      </c>
      <c r="K879" s="541"/>
      <c r="L879" s="541">
        <f>'Expense Jrnl'!$G383</f>
        <v>0</v>
      </c>
      <c r="M879" s="523">
        <f>'Expense Jrnl'!E145</f>
        <v>0</v>
      </c>
      <c r="N879" s="539">
        <f>'Expense Jrnl'!$H145</f>
        <v>0</v>
      </c>
    </row>
    <row r="880" spans="2:14" s="1" customFormat="1" ht="30" hidden="1" customHeight="1" x14ac:dyDescent="0.2">
      <c r="B880" s="517">
        <f>IF(AND('Expense Jrnl'!$G384&lt;&gt;"",'Expense Jrnl'!$C384&lt;&gt;""),1,0)</f>
        <v>0</v>
      </c>
      <c r="C880" s="517">
        <f>'Expense Jrnl'!$C384</f>
        <v>0</v>
      </c>
      <c r="D880" s="540">
        <f>'Expense Jrnl'!$D384</f>
        <v>0</v>
      </c>
      <c r="E880" s="1523">
        <f>'Expense Jrnl'!$F384</f>
        <v>0</v>
      </c>
      <c r="F880" s="1523"/>
      <c r="G880" s="519" t="str">
        <f>IF('Expense Jrnl'!$E384="","",'Expense Jrnl'!$E384)</f>
        <v/>
      </c>
      <c r="H880" s="518">
        <f>'Expense Jrnl'!H384</f>
        <v>0</v>
      </c>
      <c r="I880" s="518" t="str">
        <f t="shared" si="26"/>
        <v>0</v>
      </c>
      <c r="J880" s="520" t="b">
        <f t="shared" si="27"/>
        <v>0</v>
      </c>
      <c r="K880" s="541"/>
      <c r="L880" s="541">
        <f>'Expense Jrnl'!$G384</f>
        <v>0</v>
      </c>
      <c r="M880" s="523">
        <f>'Expense Jrnl'!E146</f>
        <v>0</v>
      </c>
      <c r="N880" s="539">
        <f>'Expense Jrnl'!$H146</f>
        <v>0</v>
      </c>
    </row>
    <row r="881" spans="2:14" s="1" customFormat="1" ht="30" hidden="1" customHeight="1" x14ac:dyDescent="0.2">
      <c r="B881" s="517">
        <f>IF(AND('Expense Jrnl'!$G385&lt;&gt;"",'Expense Jrnl'!$C385&lt;&gt;""),1,0)</f>
        <v>0</v>
      </c>
      <c r="C881" s="517">
        <f>'Expense Jrnl'!$C385</f>
        <v>0</v>
      </c>
      <c r="D881" s="540">
        <f>'Expense Jrnl'!$D385</f>
        <v>0</v>
      </c>
      <c r="E881" s="1523">
        <f>'Expense Jrnl'!$F385</f>
        <v>0</v>
      </c>
      <c r="F881" s="1523"/>
      <c r="G881" s="519" t="str">
        <f>IF('Expense Jrnl'!$E385="","",'Expense Jrnl'!$E385)</f>
        <v/>
      </c>
      <c r="H881" s="518">
        <f>'Expense Jrnl'!H385</f>
        <v>0</v>
      </c>
      <c r="I881" s="518" t="str">
        <f t="shared" si="26"/>
        <v>0</v>
      </c>
      <c r="J881" s="520" t="b">
        <f t="shared" si="27"/>
        <v>0</v>
      </c>
      <c r="K881" s="541"/>
      <c r="L881" s="541">
        <f>'Expense Jrnl'!$G385</f>
        <v>0</v>
      </c>
      <c r="M881" s="523">
        <f>'Expense Jrnl'!E147</f>
        <v>0</v>
      </c>
      <c r="N881" s="539">
        <f>'Expense Jrnl'!$H147</f>
        <v>0</v>
      </c>
    </row>
    <row r="882" spans="2:14" s="1" customFormat="1" ht="30" hidden="1" customHeight="1" x14ac:dyDescent="0.2">
      <c r="B882" s="517">
        <f>IF(AND('Expense Jrnl'!$G386&lt;&gt;"",'Expense Jrnl'!$C386&lt;&gt;""),1,0)</f>
        <v>0</v>
      </c>
      <c r="C882" s="517">
        <f>'Expense Jrnl'!$C386</f>
        <v>0</v>
      </c>
      <c r="D882" s="540">
        <f>'Expense Jrnl'!$D386</f>
        <v>0</v>
      </c>
      <c r="E882" s="1523">
        <f>'Expense Jrnl'!$F386</f>
        <v>0</v>
      </c>
      <c r="F882" s="1523"/>
      <c r="G882" s="519" t="str">
        <f>IF('Expense Jrnl'!$E386="","",'Expense Jrnl'!$E386)</f>
        <v/>
      </c>
      <c r="H882" s="518">
        <f>'Expense Jrnl'!H386</f>
        <v>0</v>
      </c>
      <c r="I882" s="518" t="str">
        <f t="shared" si="26"/>
        <v>0</v>
      </c>
      <c r="J882" s="520" t="b">
        <f t="shared" si="27"/>
        <v>0</v>
      </c>
      <c r="K882" s="541"/>
      <c r="L882" s="541">
        <f>'Expense Jrnl'!$G386</f>
        <v>0</v>
      </c>
      <c r="M882" s="523">
        <f>'Expense Jrnl'!E148</f>
        <v>0</v>
      </c>
      <c r="N882" s="539">
        <f>'Expense Jrnl'!$H148</f>
        <v>0</v>
      </c>
    </row>
    <row r="883" spans="2:14" s="1" customFormat="1" ht="30" hidden="1" customHeight="1" x14ac:dyDescent="0.2">
      <c r="B883" s="517">
        <f>IF(AND('Expense Jrnl'!$G387&lt;&gt;"",'Expense Jrnl'!$C387&lt;&gt;""),1,0)</f>
        <v>0</v>
      </c>
      <c r="C883" s="517">
        <f>'Expense Jrnl'!$C387</f>
        <v>0</v>
      </c>
      <c r="D883" s="540">
        <f>'Expense Jrnl'!$D387</f>
        <v>0</v>
      </c>
      <c r="E883" s="1523">
        <f>'Expense Jrnl'!$F387</f>
        <v>0</v>
      </c>
      <c r="F883" s="1523"/>
      <c r="G883" s="519" t="str">
        <f>IF('Expense Jrnl'!$E387="","",'Expense Jrnl'!$E387)</f>
        <v/>
      </c>
      <c r="H883" s="518">
        <f>'Expense Jrnl'!H387</f>
        <v>0</v>
      </c>
      <c r="I883" s="518" t="str">
        <f t="shared" si="26"/>
        <v>0</v>
      </c>
      <c r="J883" s="520" t="b">
        <f t="shared" si="27"/>
        <v>0</v>
      </c>
      <c r="K883" s="541"/>
      <c r="L883" s="541">
        <f>'Expense Jrnl'!$G387</f>
        <v>0</v>
      </c>
      <c r="M883" s="523">
        <f>'Expense Jrnl'!E149</f>
        <v>0</v>
      </c>
      <c r="N883" s="539">
        <f>'Expense Jrnl'!$H149</f>
        <v>0</v>
      </c>
    </row>
    <row r="884" spans="2:14" s="1" customFormat="1" ht="30" hidden="1" customHeight="1" x14ac:dyDescent="0.2">
      <c r="B884" s="517">
        <f>IF(AND('Expense Jrnl'!$G388&lt;&gt;"",'Expense Jrnl'!$C388&lt;&gt;""),1,0)</f>
        <v>0</v>
      </c>
      <c r="C884" s="517">
        <f>'Expense Jrnl'!$C388</f>
        <v>0</v>
      </c>
      <c r="D884" s="540">
        <f>'Expense Jrnl'!$D388</f>
        <v>0</v>
      </c>
      <c r="E884" s="1523">
        <f>'Expense Jrnl'!$F388</f>
        <v>0</v>
      </c>
      <c r="F884" s="1523"/>
      <c r="G884" s="519" t="str">
        <f>IF('Expense Jrnl'!$E388="","",'Expense Jrnl'!$E388)</f>
        <v/>
      </c>
      <c r="H884" s="518">
        <f>'Expense Jrnl'!H388</f>
        <v>0</v>
      </c>
      <c r="I884" s="518" t="str">
        <f t="shared" si="26"/>
        <v>0</v>
      </c>
      <c r="J884" s="520" t="b">
        <f t="shared" si="27"/>
        <v>0</v>
      </c>
      <c r="K884" s="541"/>
      <c r="L884" s="541">
        <f>'Expense Jrnl'!$G388</f>
        <v>0</v>
      </c>
      <c r="M884" s="523">
        <f>'Expense Jrnl'!E150</f>
        <v>0</v>
      </c>
      <c r="N884" s="539">
        <f>'Expense Jrnl'!$H150</f>
        <v>0</v>
      </c>
    </row>
    <row r="885" spans="2:14" s="1" customFormat="1" ht="30" hidden="1" customHeight="1" x14ac:dyDescent="0.2">
      <c r="B885" s="517">
        <f>IF(AND('Expense Jrnl'!$G389&lt;&gt;"",'Expense Jrnl'!$C389&lt;&gt;""),1,0)</f>
        <v>0</v>
      </c>
      <c r="C885" s="517">
        <f>'Expense Jrnl'!$C389</f>
        <v>0</v>
      </c>
      <c r="D885" s="540">
        <f>'Expense Jrnl'!$D389</f>
        <v>0</v>
      </c>
      <c r="E885" s="1523">
        <f>'Expense Jrnl'!$F389</f>
        <v>0</v>
      </c>
      <c r="F885" s="1523"/>
      <c r="G885" s="519" t="str">
        <f>IF('Expense Jrnl'!$E389="","",'Expense Jrnl'!$E389)</f>
        <v/>
      </c>
      <c r="H885" s="518">
        <f>'Expense Jrnl'!H389</f>
        <v>0</v>
      </c>
      <c r="I885" s="518" t="str">
        <f t="shared" si="26"/>
        <v>0</v>
      </c>
      <c r="J885" s="520" t="b">
        <f t="shared" si="27"/>
        <v>0</v>
      </c>
      <c r="K885" s="541"/>
      <c r="L885" s="541">
        <f>'Expense Jrnl'!$G389</f>
        <v>0</v>
      </c>
      <c r="M885" s="523">
        <f>'Expense Jrnl'!E151</f>
        <v>0</v>
      </c>
      <c r="N885" s="539">
        <f>'Expense Jrnl'!$H151</f>
        <v>0</v>
      </c>
    </row>
    <row r="886" spans="2:14" s="1" customFormat="1" ht="30" hidden="1" customHeight="1" x14ac:dyDescent="0.2">
      <c r="B886" s="517">
        <f>IF(AND('Expense Jrnl'!$G390&lt;&gt;"",'Expense Jrnl'!$C390&lt;&gt;""),1,0)</f>
        <v>0</v>
      </c>
      <c r="C886" s="517">
        <f>'Expense Jrnl'!$C390</f>
        <v>0</v>
      </c>
      <c r="D886" s="540">
        <f>'Expense Jrnl'!$D390</f>
        <v>0</v>
      </c>
      <c r="E886" s="1523">
        <f>'Expense Jrnl'!$F390</f>
        <v>0</v>
      </c>
      <c r="F886" s="1523"/>
      <c r="G886" s="519" t="str">
        <f>IF('Expense Jrnl'!$E390="","",'Expense Jrnl'!$E390)</f>
        <v/>
      </c>
      <c r="H886" s="518">
        <f>'Expense Jrnl'!H390</f>
        <v>0</v>
      </c>
      <c r="I886" s="518" t="str">
        <f t="shared" si="26"/>
        <v>0</v>
      </c>
      <c r="J886" s="520" t="b">
        <f t="shared" si="27"/>
        <v>0</v>
      </c>
      <c r="K886" s="541"/>
      <c r="L886" s="541">
        <f>'Expense Jrnl'!$G390</f>
        <v>0</v>
      </c>
      <c r="M886" s="523">
        <f>'Expense Jrnl'!E152</f>
        <v>0</v>
      </c>
      <c r="N886" s="539">
        <f>'Expense Jrnl'!$H152</f>
        <v>0</v>
      </c>
    </row>
    <row r="887" spans="2:14" s="1" customFormat="1" ht="30" hidden="1" customHeight="1" x14ac:dyDescent="0.2">
      <c r="B887" s="517">
        <f>IF(AND('Expense Jrnl'!$G391&lt;&gt;"",'Expense Jrnl'!$C391&lt;&gt;""),1,0)</f>
        <v>0</v>
      </c>
      <c r="C887" s="517">
        <f>'Expense Jrnl'!$C391</f>
        <v>0</v>
      </c>
      <c r="D887" s="540">
        <f>'Expense Jrnl'!$D391</f>
        <v>0</v>
      </c>
      <c r="E887" s="1523">
        <f>'Expense Jrnl'!$F391</f>
        <v>0</v>
      </c>
      <c r="F887" s="1523"/>
      <c r="G887" s="519" t="str">
        <f>IF('Expense Jrnl'!$E391="","",'Expense Jrnl'!$E391)</f>
        <v/>
      </c>
      <c r="H887" s="518">
        <f>'Expense Jrnl'!H391</f>
        <v>0</v>
      </c>
      <c r="I887" s="518" t="str">
        <f t="shared" si="26"/>
        <v>0</v>
      </c>
      <c r="J887" s="520" t="b">
        <f t="shared" si="27"/>
        <v>0</v>
      </c>
      <c r="K887" s="541"/>
      <c r="L887" s="541">
        <f>'Expense Jrnl'!$G391</f>
        <v>0</v>
      </c>
      <c r="M887" s="523">
        <f>'Expense Jrnl'!E153</f>
        <v>0</v>
      </c>
      <c r="N887" s="539">
        <f>'Expense Jrnl'!$H153</f>
        <v>0</v>
      </c>
    </row>
    <row r="888" spans="2:14" s="1" customFormat="1" ht="30" hidden="1" customHeight="1" x14ac:dyDescent="0.2">
      <c r="B888" s="517">
        <f>IF(AND('Expense Jrnl'!$G392&lt;&gt;"",'Expense Jrnl'!$C392&lt;&gt;""),1,0)</f>
        <v>0</v>
      </c>
      <c r="C888" s="517">
        <f>'Expense Jrnl'!$C392</f>
        <v>0</v>
      </c>
      <c r="D888" s="540">
        <f>'Expense Jrnl'!$D392</f>
        <v>0</v>
      </c>
      <c r="E888" s="1523">
        <f>'Expense Jrnl'!$F392</f>
        <v>0</v>
      </c>
      <c r="F888" s="1523"/>
      <c r="G888" s="519" t="str">
        <f>IF('Expense Jrnl'!$E392="","",'Expense Jrnl'!$E392)</f>
        <v/>
      </c>
      <c r="H888" s="518">
        <f>'Expense Jrnl'!H392</f>
        <v>0</v>
      </c>
      <c r="I888" s="518" t="str">
        <f t="shared" si="26"/>
        <v>0</v>
      </c>
      <c r="J888" s="520" t="b">
        <f t="shared" si="27"/>
        <v>0</v>
      </c>
      <c r="K888" s="541"/>
      <c r="L888" s="541">
        <f>'Expense Jrnl'!$G392</f>
        <v>0</v>
      </c>
      <c r="M888" s="523">
        <f>'Expense Jrnl'!E154</f>
        <v>0</v>
      </c>
      <c r="N888" s="539">
        <f>'Expense Jrnl'!$H154</f>
        <v>0</v>
      </c>
    </row>
    <row r="889" spans="2:14" s="1" customFormat="1" ht="30" hidden="1" customHeight="1" x14ac:dyDescent="0.2">
      <c r="B889" s="517">
        <f>IF(AND('Expense Jrnl'!$G393&lt;&gt;"",'Expense Jrnl'!$C393&lt;&gt;""),1,0)</f>
        <v>0</v>
      </c>
      <c r="C889" s="517">
        <f>'Expense Jrnl'!$C393</f>
        <v>0</v>
      </c>
      <c r="D889" s="540">
        <f>'Expense Jrnl'!$D393</f>
        <v>0</v>
      </c>
      <c r="E889" s="1523">
        <f>'Expense Jrnl'!$F393</f>
        <v>0</v>
      </c>
      <c r="F889" s="1523"/>
      <c r="G889" s="519" t="str">
        <f>IF('Expense Jrnl'!$E393="","",'Expense Jrnl'!$E393)</f>
        <v/>
      </c>
      <c r="H889" s="518">
        <f>'Expense Jrnl'!H393</f>
        <v>0</v>
      </c>
      <c r="I889" s="518" t="str">
        <f t="shared" si="26"/>
        <v>0</v>
      </c>
      <c r="J889" s="520" t="b">
        <f t="shared" si="27"/>
        <v>0</v>
      </c>
      <c r="K889" s="541"/>
      <c r="L889" s="541">
        <f>'Expense Jrnl'!$G393</f>
        <v>0</v>
      </c>
      <c r="M889" s="523">
        <f>'Expense Jrnl'!E155</f>
        <v>0</v>
      </c>
      <c r="N889" s="539">
        <f>'Expense Jrnl'!$H155</f>
        <v>0</v>
      </c>
    </row>
    <row r="890" spans="2:14" s="1" customFormat="1" ht="30" hidden="1" customHeight="1" x14ac:dyDescent="0.2">
      <c r="B890" s="517">
        <f>IF(AND('Expense Jrnl'!$G394&lt;&gt;"",'Expense Jrnl'!$C394&lt;&gt;""),1,0)</f>
        <v>0</v>
      </c>
      <c r="C890" s="517">
        <f>'Expense Jrnl'!$C394</f>
        <v>0</v>
      </c>
      <c r="D890" s="540">
        <f>'Expense Jrnl'!$D394</f>
        <v>0</v>
      </c>
      <c r="E890" s="1523">
        <f>'Expense Jrnl'!$F394</f>
        <v>0</v>
      </c>
      <c r="F890" s="1523"/>
      <c r="G890" s="519" t="str">
        <f>IF('Expense Jrnl'!$E394="","",'Expense Jrnl'!$E394)</f>
        <v/>
      </c>
      <c r="H890" s="518">
        <f>'Expense Jrnl'!H394</f>
        <v>0</v>
      </c>
      <c r="I890" s="518" t="str">
        <f t="shared" si="26"/>
        <v>0</v>
      </c>
      <c r="J890" s="520" t="b">
        <f t="shared" si="27"/>
        <v>0</v>
      </c>
      <c r="K890" s="541"/>
      <c r="L890" s="541">
        <f>'Expense Jrnl'!$G394</f>
        <v>0</v>
      </c>
      <c r="M890" s="523">
        <f>'Expense Jrnl'!E156</f>
        <v>0</v>
      </c>
      <c r="N890" s="539">
        <f>'Expense Jrnl'!$H156</f>
        <v>0</v>
      </c>
    </row>
    <row r="891" spans="2:14" s="1" customFormat="1" ht="30" hidden="1" customHeight="1" x14ac:dyDescent="0.2">
      <c r="B891" s="517">
        <f>IF(AND('Expense Jrnl'!$G395&lt;&gt;"",'Expense Jrnl'!$C395&lt;&gt;""),1,0)</f>
        <v>0</v>
      </c>
      <c r="C891" s="517">
        <f>'Expense Jrnl'!$C395</f>
        <v>0</v>
      </c>
      <c r="D891" s="540">
        <f>'Expense Jrnl'!$D395</f>
        <v>0</v>
      </c>
      <c r="E891" s="1523">
        <f>'Expense Jrnl'!$F395</f>
        <v>0</v>
      </c>
      <c r="F891" s="1523"/>
      <c r="G891" s="519" t="str">
        <f>IF('Expense Jrnl'!$E395="","",'Expense Jrnl'!$E395)</f>
        <v/>
      </c>
      <c r="H891" s="518">
        <f>'Expense Jrnl'!H395</f>
        <v>0</v>
      </c>
      <c r="I891" s="518" t="str">
        <f t="shared" si="26"/>
        <v>0</v>
      </c>
      <c r="J891" s="520" t="b">
        <f t="shared" si="27"/>
        <v>0</v>
      </c>
      <c r="K891" s="541"/>
      <c r="L891" s="541">
        <f>'Expense Jrnl'!$G395</f>
        <v>0</v>
      </c>
      <c r="M891" s="523">
        <f>'Expense Jrnl'!E157</f>
        <v>0</v>
      </c>
      <c r="N891" s="539">
        <f>'Expense Jrnl'!$H157</f>
        <v>0</v>
      </c>
    </row>
    <row r="892" spans="2:14" s="1" customFormat="1" ht="30" hidden="1" customHeight="1" x14ac:dyDescent="0.2">
      <c r="B892" s="517">
        <f>IF(AND('Expense Jrnl'!$G396&lt;&gt;"",'Expense Jrnl'!$C396&lt;&gt;""),1,0)</f>
        <v>0</v>
      </c>
      <c r="C892" s="517">
        <f>'Expense Jrnl'!$C396</f>
        <v>0</v>
      </c>
      <c r="D892" s="540">
        <f>'Expense Jrnl'!$D396</f>
        <v>0</v>
      </c>
      <c r="E892" s="1523">
        <f>'Expense Jrnl'!$F396</f>
        <v>0</v>
      </c>
      <c r="F892" s="1523"/>
      <c r="G892" s="519" t="str">
        <f>IF('Expense Jrnl'!$E396="","",'Expense Jrnl'!$E396)</f>
        <v/>
      </c>
      <c r="H892" s="518">
        <f>'Expense Jrnl'!H396</f>
        <v>0</v>
      </c>
      <c r="I892" s="518" t="str">
        <f t="shared" si="26"/>
        <v>0</v>
      </c>
      <c r="J892" s="520" t="b">
        <f t="shared" si="27"/>
        <v>0</v>
      </c>
      <c r="K892" s="541"/>
      <c r="L892" s="541">
        <f>'Expense Jrnl'!$G396</f>
        <v>0</v>
      </c>
      <c r="M892" s="523">
        <f>'Expense Jrnl'!E158</f>
        <v>0</v>
      </c>
      <c r="N892" s="539">
        <f>'Expense Jrnl'!$H158</f>
        <v>0</v>
      </c>
    </row>
    <row r="893" spans="2:14" s="1" customFormat="1" ht="30" hidden="1" customHeight="1" x14ac:dyDescent="0.2">
      <c r="B893" s="517">
        <f>IF(AND('Expense Jrnl'!$G397&lt;&gt;"",'Expense Jrnl'!$C397&lt;&gt;""),1,0)</f>
        <v>0</v>
      </c>
      <c r="C893" s="517">
        <f>'Expense Jrnl'!$C397</f>
        <v>0</v>
      </c>
      <c r="D893" s="540">
        <f>'Expense Jrnl'!$D397</f>
        <v>0</v>
      </c>
      <c r="E893" s="1523">
        <f>'Expense Jrnl'!$F397</f>
        <v>0</v>
      </c>
      <c r="F893" s="1523"/>
      <c r="G893" s="519" t="str">
        <f>IF('Expense Jrnl'!$E397="","",'Expense Jrnl'!$E397)</f>
        <v/>
      </c>
      <c r="H893" s="518">
        <f>'Expense Jrnl'!H397</f>
        <v>0</v>
      </c>
      <c r="I893" s="518" t="str">
        <f t="shared" si="26"/>
        <v>0</v>
      </c>
      <c r="J893" s="520" t="b">
        <f t="shared" si="27"/>
        <v>0</v>
      </c>
      <c r="K893" s="541"/>
      <c r="L893" s="541">
        <f>'Expense Jrnl'!$G397</f>
        <v>0</v>
      </c>
      <c r="M893" s="523">
        <f>'Expense Jrnl'!E159</f>
        <v>0</v>
      </c>
      <c r="N893" s="539">
        <f>'Expense Jrnl'!$H159</f>
        <v>0</v>
      </c>
    </row>
    <row r="894" spans="2:14" s="1" customFormat="1" ht="30" hidden="1" customHeight="1" x14ac:dyDescent="0.2">
      <c r="B894" s="517">
        <f>IF(AND('Expense Jrnl'!$G398&lt;&gt;"",'Expense Jrnl'!$C398&lt;&gt;""),1,0)</f>
        <v>0</v>
      </c>
      <c r="C894" s="517">
        <f>'Expense Jrnl'!$C398</f>
        <v>0</v>
      </c>
      <c r="D894" s="540">
        <f>'Expense Jrnl'!$D398</f>
        <v>0</v>
      </c>
      <c r="E894" s="1523">
        <f>'Expense Jrnl'!$F398</f>
        <v>0</v>
      </c>
      <c r="F894" s="1523"/>
      <c r="G894" s="519" t="str">
        <f>IF('Expense Jrnl'!$E398="","",'Expense Jrnl'!$E398)</f>
        <v/>
      </c>
      <c r="H894" s="518">
        <f>'Expense Jrnl'!H398</f>
        <v>0</v>
      </c>
      <c r="I894" s="518" t="str">
        <f t="shared" si="26"/>
        <v>0</v>
      </c>
      <c r="J894" s="520" t="b">
        <f t="shared" si="27"/>
        <v>0</v>
      </c>
      <c r="K894" s="541"/>
      <c r="L894" s="541">
        <f>'Expense Jrnl'!$G398</f>
        <v>0</v>
      </c>
      <c r="M894" s="523">
        <f>'Expense Jrnl'!E160</f>
        <v>0</v>
      </c>
      <c r="N894" s="539">
        <f>'Expense Jrnl'!$H160</f>
        <v>0</v>
      </c>
    </row>
    <row r="895" spans="2:14" s="1" customFormat="1" ht="30" hidden="1" customHeight="1" x14ac:dyDescent="0.2">
      <c r="B895" s="517">
        <f>IF(AND('Expense Jrnl'!$G399&lt;&gt;"",'Expense Jrnl'!$C399&lt;&gt;""),1,0)</f>
        <v>0</v>
      </c>
      <c r="C895" s="517">
        <f>'Expense Jrnl'!$C399</f>
        <v>0</v>
      </c>
      <c r="D895" s="540">
        <f>'Expense Jrnl'!$D399</f>
        <v>0</v>
      </c>
      <c r="E895" s="1523">
        <f>'Expense Jrnl'!$F399</f>
        <v>0</v>
      </c>
      <c r="F895" s="1523"/>
      <c r="G895" s="519" t="str">
        <f>IF('Expense Jrnl'!$E399="","",'Expense Jrnl'!$E399)</f>
        <v/>
      </c>
      <c r="H895" s="518">
        <f>'Expense Jrnl'!H399</f>
        <v>0</v>
      </c>
      <c r="I895" s="518" t="str">
        <f t="shared" si="26"/>
        <v>0</v>
      </c>
      <c r="J895" s="520" t="b">
        <f t="shared" si="27"/>
        <v>0</v>
      </c>
      <c r="K895" s="541"/>
      <c r="L895" s="541">
        <f>'Expense Jrnl'!$G399</f>
        <v>0</v>
      </c>
      <c r="M895" s="523">
        <f>'Expense Jrnl'!E161</f>
        <v>0</v>
      </c>
      <c r="N895" s="539">
        <f>'Expense Jrnl'!$H161</f>
        <v>0</v>
      </c>
    </row>
    <row r="896" spans="2:14" s="1" customFormat="1" ht="30" hidden="1" customHeight="1" x14ac:dyDescent="0.2">
      <c r="B896" s="517">
        <f>IF(AND('Expense Jrnl'!$G400&lt;&gt;"",'Expense Jrnl'!$C400&lt;&gt;""),1,0)</f>
        <v>0</v>
      </c>
      <c r="C896" s="517">
        <f>'Expense Jrnl'!$C400</f>
        <v>0</v>
      </c>
      <c r="D896" s="540">
        <f>'Expense Jrnl'!$D400</f>
        <v>0</v>
      </c>
      <c r="E896" s="1523">
        <f>'Expense Jrnl'!$F400</f>
        <v>0</v>
      </c>
      <c r="F896" s="1523"/>
      <c r="G896" s="519" t="str">
        <f>IF('Expense Jrnl'!$E400="","",'Expense Jrnl'!$E400)</f>
        <v/>
      </c>
      <c r="H896" s="518">
        <f>'Expense Jrnl'!H400</f>
        <v>0</v>
      </c>
      <c r="I896" s="518" t="str">
        <f t="shared" ref="I896:I959" si="28">LEFT(H896,4)</f>
        <v>0</v>
      </c>
      <c r="J896" s="520" t="b">
        <f t="shared" ref="J896:J959" si="29">IF(I896="1020",IF(G896&gt;=$E$3,IF(G896&lt;=$G$3,L896,0)))</f>
        <v>0</v>
      </c>
      <c r="K896" s="541"/>
      <c r="L896" s="541">
        <f>'Expense Jrnl'!$G400</f>
        <v>0</v>
      </c>
      <c r="M896" s="523">
        <f>'Expense Jrnl'!E162</f>
        <v>0</v>
      </c>
      <c r="N896" s="539">
        <f>'Expense Jrnl'!$H162</f>
        <v>0</v>
      </c>
    </row>
    <row r="897" spans="2:15" s="1" customFormat="1" ht="30" hidden="1" customHeight="1" x14ac:dyDescent="0.2">
      <c r="B897" s="517">
        <f>IF(AND('Expense Jrnl'!$G401&lt;&gt;"",'Expense Jrnl'!$C401&lt;&gt;""),1,0)</f>
        <v>0</v>
      </c>
      <c r="C897" s="517">
        <f>'Expense Jrnl'!$C401</f>
        <v>0</v>
      </c>
      <c r="D897" s="540">
        <f>'Expense Jrnl'!$D401</f>
        <v>0</v>
      </c>
      <c r="E897" s="1523">
        <f>'Expense Jrnl'!$F401</f>
        <v>0</v>
      </c>
      <c r="F897" s="1523"/>
      <c r="G897" s="519" t="str">
        <f>IF('Expense Jrnl'!$E401="","",'Expense Jrnl'!$E401)</f>
        <v/>
      </c>
      <c r="H897" s="518">
        <f>'Expense Jrnl'!H401</f>
        <v>0</v>
      </c>
      <c r="I897" s="518" t="str">
        <f t="shared" si="28"/>
        <v>0</v>
      </c>
      <c r="J897" s="520" t="b">
        <f t="shared" si="29"/>
        <v>0</v>
      </c>
      <c r="K897" s="541"/>
      <c r="L897" s="541">
        <f>'Expense Jrnl'!$G401</f>
        <v>0</v>
      </c>
      <c r="M897" s="523">
        <f>'Expense Jrnl'!E163</f>
        <v>0</v>
      </c>
      <c r="N897" s="539">
        <f>'Expense Jrnl'!$H163</f>
        <v>0</v>
      </c>
    </row>
    <row r="898" spans="2:15" s="1" customFormat="1" ht="30" hidden="1" customHeight="1" x14ac:dyDescent="0.2">
      <c r="B898" s="517">
        <f>IF(AND('Expense Jrnl'!$G402&lt;&gt;"",'Expense Jrnl'!$C402&lt;&gt;""),1,0)</f>
        <v>0</v>
      </c>
      <c r="C898" s="517">
        <f>'Expense Jrnl'!$C402</f>
        <v>0</v>
      </c>
      <c r="D898" s="540">
        <f>'Expense Jrnl'!$D402</f>
        <v>0</v>
      </c>
      <c r="E898" s="1523">
        <f>'Expense Jrnl'!$F402</f>
        <v>0</v>
      </c>
      <c r="F898" s="1523"/>
      <c r="G898" s="519" t="str">
        <f>IF('Expense Jrnl'!$E402="","",'Expense Jrnl'!$E402)</f>
        <v/>
      </c>
      <c r="H898" s="518">
        <f>'Expense Jrnl'!H402</f>
        <v>0</v>
      </c>
      <c r="I898" s="518" t="str">
        <f t="shared" si="28"/>
        <v>0</v>
      </c>
      <c r="J898" s="520" t="b">
        <f t="shared" si="29"/>
        <v>0</v>
      </c>
      <c r="K898" s="541"/>
      <c r="L898" s="541">
        <f>'Expense Jrnl'!$G402</f>
        <v>0</v>
      </c>
      <c r="M898" s="523">
        <f>'Expense Jrnl'!E164</f>
        <v>0</v>
      </c>
      <c r="N898" s="539">
        <f>'Expense Jrnl'!$H164</f>
        <v>0</v>
      </c>
    </row>
    <row r="899" spans="2:15" s="1" customFormat="1" ht="30" hidden="1" customHeight="1" x14ac:dyDescent="0.2">
      <c r="B899" s="517">
        <f>IF(AND('Expense Jrnl'!$G403&lt;&gt;"",'Expense Jrnl'!$C403&lt;&gt;""),1,0)</f>
        <v>0</v>
      </c>
      <c r="C899" s="517">
        <f>'Expense Jrnl'!$C403</f>
        <v>0</v>
      </c>
      <c r="D899" s="540">
        <f>'Expense Jrnl'!$D403</f>
        <v>0</v>
      </c>
      <c r="E899" s="1523">
        <f>'Expense Jrnl'!$F403</f>
        <v>0</v>
      </c>
      <c r="F899" s="1523"/>
      <c r="G899" s="519" t="str">
        <f>IF('Expense Jrnl'!$E403="","",'Expense Jrnl'!$E403)</f>
        <v/>
      </c>
      <c r="H899" s="518">
        <f>'Expense Jrnl'!H403</f>
        <v>0</v>
      </c>
      <c r="I899" s="518" t="str">
        <f t="shared" si="28"/>
        <v>0</v>
      </c>
      <c r="J899" s="520" t="b">
        <f t="shared" si="29"/>
        <v>0</v>
      </c>
      <c r="K899" s="541"/>
      <c r="L899" s="541">
        <f>'Expense Jrnl'!$G403</f>
        <v>0</v>
      </c>
      <c r="M899" s="523">
        <f>'Expense Jrnl'!E165</f>
        <v>0</v>
      </c>
      <c r="N899" s="539">
        <f>'Expense Jrnl'!$H165</f>
        <v>0</v>
      </c>
    </row>
    <row r="900" spans="2:15" s="1" customFormat="1" ht="30" hidden="1" customHeight="1" x14ac:dyDescent="0.2">
      <c r="B900" s="517">
        <f>IF(AND('Expense Jrnl'!$G404&lt;&gt;"",'Expense Jrnl'!$C404&lt;&gt;""),1,0)</f>
        <v>0</v>
      </c>
      <c r="C900" s="517">
        <f>'Expense Jrnl'!$C404</f>
        <v>0</v>
      </c>
      <c r="D900" s="540">
        <f>'Expense Jrnl'!$D404</f>
        <v>0</v>
      </c>
      <c r="E900" s="1523">
        <f>'Expense Jrnl'!$F404</f>
        <v>0</v>
      </c>
      <c r="F900" s="1523"/>
      <c r="G900" s="519" t="str">
        <f>IF('Expense Jrnl'!$E404="","",'Expense Jrnl'!$E404)</f>
        <v/>
      </c>
      <c r="H900" s="518">
        <f>'Expense Jrnl'!H404</f>
        <v>0</v>
      </c>
      <c r="I900" s="518" t="str">
        <f t="shared" si="28"/>
        <v>0</v>
      </c>
      <c r="J900" s="520" t="b">
        <f t="shared" si="29"/>
        <v>0</v>
      </c>
      <c r="K900" s="541"/>
      <c r="L900" s="541">
        <f>'Expense Jrnl'!$G404</f>
        <v>0</v>
      </c>
      <c r="M900" s="523">
        <f>'Expense Jrnl'!E166</f>
        <v>0</v>
      </c>
      <c r="N900" s="539">
        <f>'Expense Jrnl'!$H166</f>
        <v>0</v>
      </c>
    </row>
    <row r="901" spans="2:15" s="1" customFormat="1" ht="30" hidden="1" customHeight="1" x14ac:dyDescent="0.2">
      <c r="B901" s="517">
        <f>IF(AND('Expense Jrnl'!$G405&lt;&gt;"",'Expense Jrnl'!$C405&lt;&gt;""),1,0)</f>
        <v>0</v>
      </c>
      <c r="C901" s="517">
        <f>'Expense Jrnl'!$C405</f>
        <v>0</v>
      </c>
      <c r="D901" s="540">
        <f>'Expense Jrnl'!$D405</f>
        <v>0</v>
      </c>
      <c r="E901" s="1523">
        <f>'Expense Jrnl'!$F405</f>
        <v>0</v>
      </c>
      <c r="F901" s="1523"/>
      <c r="G901" s="519" t="str">
        <f>IF('Expense Jrnl'!$E405="","",'Expense Jrnl'!$E405)</f>
        <v/>
      </c>
      <c r="H901" s="518">
        <f>'Expense Jrnl'!H405</f>
        <v>0</v>
      </c>
      <c r="I901" s="518" t="str">
        <f t="shared" si="28"/>
        <v>0</v>
      </c>
      <c r="J901" s="520" t="b">
        <f t="shared" si="29"/>
        <v>0</v>
      </c>
      <c r="K901" s="541"/>
      <c r="L901" s="541">
        <f>'Expense Jrnl'!$G405</f>
        <v>0</v>
      </c>
      <c r="M901" s="523">
        <f>'Expense Jrnl'!E167</f>
        <v>0</v>
      </c>
      <c r="N901" s="539">
        <f>'Expense Jrnl'!$H167</f>
        <v>0</v>
      </c>
    </row>
    <row r="902" spans="2:15" s="1" customFormat="1" ht="30" hidden="1" customHeight="1" x14ac:dyDescent="0.2">
      <c r="B902" s="517">
        <f>IF(AND('Expense Jrnl'!$G406&lt;&gt;"",'Expense Jrnl'!$C406&lt;&gt;""),1,0)</f>
        <v>0</v>
      </c>
      <c r="C902" s="517">
        <f>'Expense Jrnl'!$C406</f>
        <v>0</v>
      </c>
      <c r="D902" s="540">
        <f>'Expense Jrnl'!$D406</f>
        <v>0</v>
      </c>
      <c r="E902" s="1523">
        <f>'Expense Jrnl'!$F406</f>
        <v>0</v>
      </c>
      <c r="F902" s="1523"/>
      <c r="G902" s="519" t="str">
        <f>IF('Expense Jrnl'!$E406="","",'Expense Jrnl'!$E406)</f>
        <v/>
      </c>
      <c r="H902" s="518">
        <f>'Expense Jrnl'!H406</f>
        <v>0</v>
      </c>
      <c r="I902" s="518" t="str">
        <f t="shared" si="28"/>
        <v>0</v>
      </c>
      <c r="J902" s="520" t="b">
        <f t="shared" si="29"/>
        <v>0</v>
      </c>
      <c r="K902" s="541"/>
      <c r="L902" s="541">
        <f>'Expense Jrnl'!$G406</f>
        <v>0</v>
      </c>
      <c r="M902" s="523">
        <f>'Expense Jrnl'!E168</f>
        <v>0</v>
      </c>
      <c r="N902" s="539">
        <f>'Expense Jrnl'!$H168</f>
        <v>0</v>
      </c>
    </row>
    <row r="903" spans="2:15" s="1" customFormat="1" ht="30" hidden="1" customHeight="1" x14ac:dyDescent="0.2">
      <c r="B903" s="517">
        <f>IF(AND('Expense Jrnl'!$G407&lt;&gt;"",'Expense Jrnl'!$C407&lt;&gt;""),1,0)</f>
        <v>0</v>
      </c>
      <c r="C903" s="517">
        <f>'Expense Jrnl'!$C407</f>
        <v>0</v>
      </c>
      <c r="D903" s="540">
        <f>'Expense Jrnl'!$D407</f>
        <v>0</v>
      </c>
      <c r="E903" s="1523">
        <f>'Expense Jrnl'!$F407</f>
        <v>0</v>
      </c>
      <c r="F903" s="1523"/>
      <c r="G903" s="519" t="str">
        <f>IF('Expense Jrnl'!$E407="","",'Expense Jrnl'!$E407)</f>
        <v/>
      </c>
      <c r="H903" s="518">
        <f>'Expense Jrnl'!H407</f>
        <v>0</v>
      </c>
      <c r="I903" s="518" t="str">
        <f t="shared" si="28"/>
        <v>0</v>
      </c>
      <c r="J903" s="520" t="b">
        <f t="shared" si="29"/>
        <v>0</v>
      </c>
      <c r="K903" s="541"/>
      <c r="L903" s="541">
        <f>'Expense Jrnl'!$G407</f>
        <v>0</v>
      </c>
      <c r="M903" s="523">
        <f>'Expense Jrnl'!E169</f>
        <v>0</v>
      </c>
      <c r="N903" s="539">
        <f>'Expense Jrnl'!$H169</f>
        <v>0</v>
      </c>
    </row>
    <row r="904" spans="2:15" s="1" customFormat="1" ht="30" hidden="1" customHeight="1" x14ac:dyDescent="0.2">
      <c r="B904" s="517">
        <f>IF(AND('Expense Jrnl'!$G408&lt;&gt;"",'Expense Jrnl'!$C408&lt;&gt;""),1,0)</f>
        <v>0</v>
      </c>
      <c r="C904" s="517">
        <f>'Expense Jrnl'!$C408</f>
        <v>0</v>
      </c>
      <c r="D904" s="540">
        <f>'Expense Jrnl'!$D408</f>
        <v>0</v>
      </c>
      <c r="E904" s="1523">
        <f>'Expense Jrnl'!$F408</f>
        <v>0</v>
      </c>
      <c r="F904" s="1523"/>
      <c r="G904" s="519" t="str">
        <f>IF('Expense Jrnl'!$E408="","",'Expense Jrnl'!$E408)</f>
        <v/>
      </c>
      <c r="H904" s="518">
        <f>'Expense Jrnl'!H408</f>
        <v>0</v>
      </c>
      <c r="I904" s="518" t="str">
        <f t="shared" si="28"/>
        <v>0</v>
      </c>
      <c r="J904" s="520" t="b">
        <f t="shared" si="29"/>
        <v>0</v>
      </c>
      <c r="K904" s="541"/>
      <c r="L904" s="541">
        <f>'Expense Jrnl'!$G408</f>
        <v>0</v>
      </c>
      <c r="M904" s="523">
        <f>'Expense Jrnl'!E170</f>
        <v>0</v>
      </c>
      <c r="N904" s="539">
        <f>'Expense Jrnl'!$H170</f>
        <v>0</v>
      </c>
    </row>
    <row r="905" spans="2:15" s="1" customFormat="1" ht="30" hidden="1" customHeight="1" x14ac:dyDescent="0.2">
      <c r="B905" s="517">
        <f>IF(AND('Expense Jrnl'!$G409&lt;&gt;"",'Expense Jrnl'!$C409&lt;&gt;""),1,0)</f>
        <v>0</v>
      </c>
      <c r="C905" s="517">
        <f>'Expense Jrnl'!$C409</f>
        <v>0</v>
      </c>
      <c r="D905" s="540">
        <f>'Expense Jrnl'!$D409</f>
        <v>0</v>
      </c>
      <c r="E905" s="1523">
        <f>'Expense Jrnl'!$F409</f>
        <v>0</v>
      </c>
      <c r="F905" s="1523"/>
      <c r="G905" s="519" t="str">
        <f>IF('Expense Jrnl'!$E409="","",'Expense Jrnl'!$E409)</f>
        <v/>
      </c>
      <c r="H905" s="518">
        <f>'Expense Jrnl'!H409</f>
        <v>0</v>
      </c>
      <c r="I905" s="518" t="str">
        <f t="shared" si="28"/>
        <v>0</v>
      </c>
      <c r="J905" s="520" t="b">
        <f t="shared" si="29"/>
        <v>0</v>
      </c>
      <c r="K905" s="541"/>
      <c r="L905" s="541">
        <f>'Expense Jrnl'!$G409</f>
        <v>0</v>
      </c>
      <c r="M905" s="523">
        <f>'Expense Jrnl'!E171</f>
        <v>0</v>
      </c>
      <c r="N905" s="539">
        <f>'Expense Jrnl'!$H171</f>
        <v>0</v>
      </c>
    </row>
    <row r="906" spans="2:15" s="1" customFormat="1" ht="30" hidden="1" customHeight="1" x14ac:dyDescent="0.2">
      <c r="B906" s="517">
        <f>IF(AND('Expense Jrnl'!$G410&lt;&gt;"",'Expense Jrnl'!$C410&lt;&gt;""),1,0)</f>
        <v>0</v>
      </c>
      <c r="C906" s="517">
        <f>'Expense Jrnl'!$C410</f>
        <v>0</v>
      </c>
      <c r="D906" s="540">
        <f>'Expense Jrnl'!$D410</f>
        <v>0</v>
      </c>
      <c r="E906" s="1523">
        <f>'Expense Jrnl'!$F410</f>
        <v>0</v>
      </c>
      <c r="F906" s="1523"/>
      <c r="G906" s="519" t="str">
        <f>IF('Expense Jrnl'!$E410="","",'Expense Jrnl'!$E410)</f>
        <v/>
      </c>
      <c r="H906" s="518">
        <f>'Expense Jrnl'!H410</f>
        <v>0</v>
      </c>
      <c r="I906" s="518" t="str">
        <f t="shared" si="28"/>
        <v>0</v>
      </c>
      <c r="J906" s="520" t="b">
        <f t="shared" si="29"/>
        <v>0</v>
      </c>
      <c r="K906" s="541"/>
      <c r="L906" s="541">
        <f>'Expense Jrnl'!$G410</f>
        <v>0</v>
      </c>
      <c r="M906" s="523">
        <f>'Expense Jrnl'!E172</f>
        <v>0</v>
      </c>
      <c r="N906" s="539">
        <f>'Expense Jrnl'!$H172</f>
        <v>0</v>
      </c>
    </row>
    <row r="907" spans="2:15" s="1" customFormat="1" ht="30" hidden="1" customHeight="1" x14ac:dyDescent="0.2">
      <c r="B907" s="517">
        <f>IF(AND('Expense Jrnl'!$G411&lt;&gt;"",'Expense Jrnl'!$C411&lt;&gt;""),1,0)</f>
        <v>0</v>
      </c>
      <c r="C907" s="517">
        <f>'Expense Jrnl'!$C411</f>
        <v>0</v>
      </c>
      <c r="D907" s="540">
        <f>'Expense Jrnl'!$D411</f>
        <v>0</v>
      </c>
      <c r="E907" s="1523">
        <f>'Expense Jrnl'!$F411</f>
        <v>0</v>
      </c>
      <c r="F907" s="1523"/>
      <c r="G907" s="519" t="str">
        <f>IF('Expense Jrnl'!$E411="","",'Expense Jrnl'!$E411)</f>
        <v/>
      </c>
      <c r="H907" s="518">
        <f>'Expense Jrnl'!H411</f>
        <v>0</v>
      </c>
      <c r="I907" s="518" t="str">
        <f t="shared" si="28"/>
        <v>0</v>
      </c>
      <c r="J907" s="520" t="b">
        <f t="shared" si="29"/>
        <v>0</v>
      </c>
      <c r="K907" s="541"/>
      <c r="L907" s="541">
        <f>'Expense Jrnl'!$G411</f>
        <v>0</v>
      </c>
      <c r="M907" s="523">
        <f>'Expense Jrnl'!E173</f>
        <v>0</v>
      </c>
      <c r="N907" s="539">
        <f>'Expense Jrnl'!$H173</f>
        <v>0</v>
      </c>
    </row>
    <row r="908" spans="2:15" s="1" customFormat="1" ht="30" hidden="1" customHeight="1" x14ac:dyDescent="0.2">
      <c r="B908" s="517">
        <f>IF(AND('Expense Jrnl'!$G412&lt;&gt;"",'Expense Jrnl'!$C412&lt;&gt;""),1,0)</f>
        <v>0</v>
      </c>
      <c r="C908" s="517">
        <f>'Expense Jrnl'!$C412</f>
        <v>0</v>
      </c>
      <c r="D908" s="540">
        <f>'Expense Jrnl'!$D412</f>
        <v>0</v>
      </c>
      <c r="E908" s="1523">
        <f>'Expense Jrnl'!$F412</f>
        <v>0</v>
      </c>
      <c r="F908" s="1523"/>
      <c r="G908" s="519" t="str">
        <f>IF('Expense Jrnl'!$E412="","",'Expense Jrnl'!$E412)</f>
        <v/>
      </c>
      <c r="H908" s="518">
        <f>'Expense Jrnl'!H412</f>
        <v>0</v>
      </c>
      <c r="I908" s="518" t="str">
        <f t="shared" si="28"/>
        <v>0</v>
      </c>
      <c r="J908" s="520" t="b">
        <f t="shared" si="29"/>
        <v>0</v>
      </c>
      <c r="K908" s="541"/>
      <c r="L908" s="541">
        <f>'Expense Jrnl'!$G412</f>
        <v>0</v>
      </c>
      <c r="M908" s="523">
        <f>'Expense Jrnl'!E174</f>
        <v>0</v>
      </c>
      <c r="N908" s="539">
        <f>'Expense Jrnl'!$H174</f>
        <v>0</v>
      </c>
    </row>
    <row r="909" spans="2:15" s="1" customFormat="1" ht="30" hidden="1" customHeight="1" x14ac:dyDescent="0.2">
      <c r="B909" s="517">
        <f>IF(AND('Expense Jrnl'!$G413&lt;&gt;"",'Expense Jrnl'!$C413&lt;&gt;""),1,0)</f>
        <v>0</v>
      </c>
      <c r="C909" s="517">
        <f>'Expense Jrnl'!$C413</f>
        <v>0</v>
      </c>
      <c r="D909" s="540">
        <f>'Expense Jrnl'!$D413</f>
        <v>0</v>
      </c>
      <c r="E909" s="1523">
        <f>'Expense Jrnl'!$F413</f>
        <v>0</v>
      </c>
      <c r="F909" s="1523"/>
      <c r="G909" s="519" t="str">
        <f>IF('Expense Jrnl'!$E413="","",'Expense Jrnl'!$E413)</f>
        <v/>
      </c>
      <c r="H909" s="518">
        <f>'Expense Jrnl'!H413</f>
        <v>0</v>
      </c>
      <c r="I909" s="518" t="str">
        <f t="shared" si="28"/>
        <v>0</v>
      </c>
      <c r="J909" s="520" t="b">
        <f t="shared" si="29"/>
        <v>0</v>
      </c>
      <c r="K909" s="541"/>
      <c r="L909" s="541">
        <f>'Expense Jrnl'!$G413</f>
        <v>0</v>
      </c>
      <c r="M909" s="523">
        <f>'Expense Jrnl'!E175</f>
        <v>0</v>
      </c>
      <c r="N909" s="539">
        <f>'Expense Jrnl'!$H175</f>
        <v>0</v>
      </c>
    </row>
    <row r="910" spans="2:15" s="1" customFormat="1" ht="30" hidden="1" customHeight="1" x14ac:dyDescent="0.2">
      <c r="B910" s="517">
        <f>IF(AND('Expense Jrnl'!$G414&lt;&gt;"",'Expense Jrnl'!$C414&lt;&gt;""),1,0)</f>
        <v>0</v>
      </c>
      <c r="C910" s="517">
        <f>'Expense Jrnl'!$C414</f>
        <v>0</v>
      </c>
      <c r="D910" s="540">
        <f>'Expense Jrnl'!$D414</f>
        <v>0</v>
      </c>
      <c r="E910" s="1523">
        <f>'Expense Jrnl'!$F414</f>
        <v>0</v>
      </c>
      <c r="F910" s="1523"/>
      <c r="G910" s="519" t="str">
        <f>IF('Expense Jrnl'!$E414="","",'Expense Jrnl'!$E414)</f>
        <v/>
      </c>
      <c r="H910" s="518">
        <f>'Expense Jrnl'!H414</f>
        <v>0</v>
      </c>
      <c r="I910" s="518" t="str">
        <f t="shared" si="28"/>
        <v>0</v>
      </c>
      <c r="J910" s="520" t="b">
        <f t="shared" si="29"/>
        <v>0</v>
      </c>
      <c r="K910" s="541"/>
      <c r="L910" s="541">
        <f>'Expense Jrnl'!$G414</f>
        <v>0</v>
      </c>
      <c r="M910" s="523">
        <f>'Expense Jrnl'!E176</f>
        <v>0</v>
      </c>
      <c r="N910" s="539">
        <f>'Expense Jrnl'!$H176</f>
        <v>0</v>
      </c>
    </row>
    <row r="911" spans="2:15" s="1" customFormat="1" ht="30" hidden="1" customHeight="1" x14ac:dyDescent="0.2">
      <c r="B911" s="517">
        <f>IF(AND('Expense Jrnl'!$G415&lt;&gt;"",'Expense Jrnl'!$C415&lt;&gt;""),1,0)</f>
        <v>0</v>
      </c>
      <c r="C911" s="517">
        <f>'Expense Jrnl'!$C415</f>
        <v>0</v>
      </c>
      <c r="D911" s="540">
        <f>'Expense Jrnl'!$D415</f>
        <v>0</v>
      </c>
      <c r="E911" s="1523">
        <f>'Expense Jrnl'!$F415</f>
        <v>0</v>
      </c>
      <c r="F911" s="1523"/>
      <c r="G911" s="519" t="str">
        <f>IF('Expense Jrnl'!$E415="","",'Expense Jrnl'!$E415)</f>
        <v/>
      </c>
      <c r="H911" s="518">
        <f>'Expense Jrnl'!H415</f>
        <v>0</v>
      </c>
      <c r="I911" s="518" t="str">
        <f t="shared" si="28"/>
        <v>0</v>
      </c>
      <c r="J911" s="520" t="b">
        <f t="shared" si="29"/>
        <v>0</v>
      </c>
      <c r="K911" s="541"/>
      <c r="L911" s="541">
        <f>'Expense Jrnl'!$G415</f>
        <v>0</v>
      </c>
      <c r="M911" s="523">
        <f>'Expense Jrnl'!E177</f>
        <v>0</v>
      </c>
      <c r="N911" s="539">
        <f>'Expense Jrnl'!$H177</f>
        <v>0</v>
      </c>
      <c r="O911" s="542"/>
    </row>
    <row r="912" spans="2:15" s="1" customFormat="1" ht="30" hidden="1" customHeight="1" x14ac:dyDescent="0.2">
      <c r="B912" s="517">
        <f>IF(AND('Expense Jrnl'!$G416&lt;&gt;"",'Expense Jrnl'!$C416&lt;&gt;""),1,0)</f>
        <v>0</v>
      </c>
      <c r="C912" s="517">
        <f>'Expense Jrnl'!$C416</f>
        <v>0</v>
      </c>
      <c r="D912" s="540">
        <f>'Expense Jrnl'!$D416</f>
        <v>0</v>
      </c>
      <c r="E912" s="1523">
        <f>'Expense Jrnl'!$F416</f>
        <v>0</v>
      </c>
      <c r="F912" s="1523"/>
      <c r="G912" s="519" t="str">
        <f>IF('Expense Jrnl'!$E416="","",'Expense Jrnl'!$E416)</f>
        <v/>
      </c>
      <c r="H912" s="518">
        <f>'Expense Jrnl'!H416</f>
        <v>0</v>
      </c>
      <c r="I912" s="518" t="str">
        <f t="shared" si="28"/>
        <v>0</v>
      </c>
      <c r="J912" s="520" t="b">
        <f t="shared" si="29"/>
        <v>0</v>
      </c>
      <c r="K912" s="541"/>
      <c r="L912" s="541">
        <f>'Expense Jrnl'!$G416</f>
        <v>0</v>
      </c>
      <c r="M912" s="523">
        <f>'Expense Jrnl'!E178</f>
        <v>0</v>
      </c>
      <c r="N912" s="539">
        <f>'Expense Jrnl'!$H178</f>
        <v>0</v>
      </c>
      <c r="O912" s="542"/>
    </row>
    <row r="913" spans="2:15" s="1" customFormat="1" ht="30" hidden="1" customHeight="1" x14ac:dyDescent="0.2">
      <c r="B913" s="517">
        <f>IF(AND('Expense Jrnl'!$G417&lt;&gt;"",'Expense Jrnl'!$C417&lt;&gt;""),1,0)</f>
        <v>0</v>
      </c>
      <c r="C913" s="517">
        <f>'Expense Jrnl'!$C417</f>
        <v>0</v>
      </c>
      <c r="D913" s="540">
        <f>'Expense Jrnl'!$D417</f>
        <v>0</v>
      </c>
      <c r="E913" s="1523">
        <f>'Expense Jrnl'!$F417</f>
        <v>0</v>
      </c>
      <c r="F913" s="1523"/>
      <c r="G913" s="519" t="str">
        <f>IF('Expense Jrnl'!$E417="","",'Expense Jrnl'!$E417)</f>
        <v/>
      </c>
      <c r="H913" s="518">
        <f>'Expense Jrnl'!H417</f>
        <v>0</v>
      </c>
      <c r="I913" s="518" t="str">
        <f t="shared" si="28"/>
        <v>0</v>
      </c>
      <c r="J913" s="520" t="b">
        <f t="shared" si="29"/>
        <v>0</v>
      </c>
      <c r="K913" s="541"/>
      <c r="L913" s="541">
        <f>'Expense Jrnl'!$G417</f>
        <v>0</v>
      </c>
      <c r="M913" s="523">
        <f>'Expense Jrnl'!E179</f>
        <v>0</v>
      </c>
      <c r="N913" s="539">
        <f>'Expense Jrnl'!$H179</f>
        <v>0</v>
      </c>
      <c r="O913" s="542"/>
    </row>
    <row r="914" spans="2:15" s="1" customFormat="1" ht="30" hidden="1" customHeight="1" x14ac:dyDescent="0.2">
      <c r="B914" s="517">
        <f>IF(AND('Expense Jrnl'!$G418&lt;&gt;"",'Expense Jrnl'!$C418&lt;&gt;""),1,0)</f>
        <v>0</v>
      </c>
      <c r="C914" s="517">
        <f>'Expense Jrnl'!$C418</f>
        <v>0</v>
      </c>
      <c r="D914" s="540">
        <f>'Expense Jrnl'!$D418</f>
        <v>0</v>
      </c>
      <c r="E914" s="1523">
        <f>'Expense Jrnl'!$F418</f>
        <v>0</v>
      </c>
      <c r="F914" s="1523"/>
      <c r="G914" s="519" t="str">
        <f>IF('Expense Jrnl'!$E418="","",'Expense Jrnl'!$E418)</f>
        <v/>
      </c>
      <c r="H914" s="518">
        <f>'Expense Jrnl'!H418</f>
        <v>0</v>
      </c>
      <c r="I914" s="518" t="str">
        <f t="shared" si="28"/>
        <v>0</v>
      </c>
      <c r="J914" s="520" t="b">
        <f t="shared" si="29"/>
        <v>0</v>
      </c>
      <c r="K914" s="541"/>
      <c r="L914" s="541">
        <f>'Expense Jrnl'!$G418</f>
        <v>0</v>
      </c>
      <c r="M914" s="523">
        <f>'Expense Jrnl'!E180</f>
        <v>0</v>
      </c>
      <c r="N914" s="539">
        <f>'Expense Jrnl'!$H180</f>
        <v>0</v>
      </c>
      <c r="O914" s="542"/>
    </row>
    <row r="915" spans="2:15" s="1" customFormat="1" ht="30" hidden="1" customHeight="1" x14ac:dyDescent="0.2">
      <c r="B915" s="517">
        <f>IF(AND('Expense Jrnl'!$G419&lt;&gt;"",'Expense Jrnl'!$C419&lt;&gt;""),1,0)</f>
        <v>0</v>
      </c>
      <c r="C915" s="517">
        <f>'Expense Jrnl'!$C419</f>
        <v>0</v>
      </c>
      <c r="D915" s="540">
        <f>'Expense Jrnl'!$D419</f>
        <v>0</v>
      </c>
      <c r="E915" s="1523">
        <f>'Expense Jrnl'!$F419</f>
        <v>0</v>
      </c>
      <c r="F915" s="1523"/>
      <c r="G915" s="519" t="str">
        <f>IF('Expense Jrnl'!$E419="","",'Expense Jrnl'!$E419)</f>
        <v/>
      </c>
      <c r="H915" s="518">
        <f>'Expense Jrnl'!H419</f>
        <v>0</v>
      </c>
      <c r="I915" s="518" t="str">
        <f t="shared" si="28"/>
        <v>0</v>
      </c>
      <c r="J915" s="520" t="b">
        <f t="shared" si="29"/>
        <v>0</v>
      </c>
      <c r="K915" s="541"/>
      <c r="L915" s="541">
        <f>'Expense Jrnl'!$G419</f>
        <v>0</v>
      </c>
      <c r="M915" s="523">
        <f>'Expense Jrnl'!E181</f>
        <v>0</v>
      </c>
      <c r="N915" s="539">
        <f>'Expense Jrnl'!$H181</f>
        <v>0</v>
      </c>
      <c r="O915" s="542"/>
    </row>
    <row r="916" spans="2:15" s="1" customFormat="1" ht="30" hidden="1" customHeight="1" x14ac:dyDescent="0.2">
      <c r="B916" s="517">
        <f>IF(AND('Expense Jrnl'!$G420&lt;&gt;"",'Expense Jrnl'!$C420&lt;&gt;""),1,0)</f>
        <v>0</v>
      </c>
      <c r="C916" s="517">
        <f>'Expense Jrnl'!$C420</f>
        <v>0</v>
      </c>
      <c r="D916" s="540">
        <f>'Expense Jrnl'!$D420</f>
        <v>0</v>
      </c>
      <c r="E916" s="1523">
        <f>'Expense Jrnl'!$F420</f>
        <v>0</v>
      </c>
      <c r="F916" s="1523"/>
      <c r="G916" s="519" t="str">
        <f>IF('Expense Jrnl'!$E420="","",'Expense Jrnl'!$E420)</f>
        <v/>
      </c>
      <c r="H916" s="518">
        <f>'Expense Jrnl'!H420</f>
        <v>0</v>
      </c>
      <c r="I916" s="518" t="str">
        <f t="shared" si="28"/>
        <v>0</v>
      </c>
      <c r="J916" s="520" t="b">
        <f t="shared" si="29"/>
        <v>0</v>
      </c>
      <c r="K916" s="541"/>
      <c r="L916" s="541">
        <f>'Expense Jrnl'!$G420</f>
        <v>0</v>
      </c>
      <c r="M916" s="523">
        <f>'Expense Jrnl'!E182</f>
        <v>0</v>
      </c>
      <c r="N916" s="539">
        <f>'Expense Jrnl'!$H182</f>
        <v>0</v>
      </c>
      <c r="O916" s="542"/>
    </row>
    <row r="917" spans="2:15" s="1" customFormat="1" ht="30" hidden="1" customHeight="1" x14ac:dyDescent="0.2">
      <c r="B917" s="517">
        <f>IF(AND('Expense Jrnl'!$G421&lt;&gt;"",'Expense Jrnl'!$C421&lt;&gt;""),1,0)</f>
        <v>0</v>
      </c>
      <c r="C917" s="517">
        <f>'Expense Jrnl'!$C421</f>
        <v>0</v>
      </c>
      <c r="D917" s="540">
        <f>'Expense Jrnl'!$D421</f>
        <v>0</v>
      </c>
      <c r="E917" s="1523">
        <f>'Expense Jrnl'!$F421</f>
        <v>0</v>
      </c>
      <c r="F917" s="1523"/>
      <c r="G917" s="519" t="str">
        <f>IF('Expense Jrnl'!$E421="","",'Expense Jrnl'!$E421)</f>
        <v/>
      </c>
      <c r="H917" s="518">
        <f>'Expense Jrnl'!H421</f>
        <v>0</v>
      </c>
      <c r="I917" s="518" t="str">
        <f t="shared" si="28"/>
        <v>0</v>
      </c>
      <c r="J917" s="520" t="b">
        <f t="shared" si="29"/>
        <v>0</v>
      </c>
      <c r="K917" s="541"/>
      <c r="L917" s="541">
        <f>'Expense Jrnl'!$G421</f>
        <v>0</v>
      </c>
      <c r="M917" s="523">
        <f>'Expense Jrnl'!E183</f>
        <v>0</v>
      </c>
      <c r="N917" s="539">
        <f>'Expense Jrnl'!$H183</f>
        <v>0</v>
      </c>
      <c r="O917" s="542"/>
    </row>
    <row r="918" spans="2:15" s="1" customFormat="1" ht="30" hidden="1" customHeight="1" x14ac:dyDescent="0.2">
      <c r="B918" s="517">
        <f>IF(AND('Expense Jrnl'!$G422&lt;&gt;"",'Expense Jrnl'!$C422&lt;&gt;""),1,0)</f>
        <v>0</v>
      </c>
      <c r="C918" s="517">
        <f>'Expense Jrnl'!$C422</f>
        <v>0</v>
      </c>
      <c r="D918" s="540">
        <f>'Expense Jrnl'!$D422</f>
        <v>0</v>
      </c>
      <c r="E918" s="1523">
        <f>'Expense Jrnl'!$F422</f>
        <v>0</v>
      </c>
      <c r="F918" s="1523"/>
      <c r="G918" s="519" t="str">
        <f>IF('Expense Jrnl'!$E422="","",'Expense Jrnl'!$E422)</f>
        <v/>
      </c>
      <c r="H918" s="518">
        <f>'Expense Jrnl'!H422</f>
        <v>0</v>
      </c>
      <c r="I918" s="518" t="str">
        <f t="shared" si="28"/>
        <v>0</v>
      </c>
      <c r="J918" s="520" t="b">
        <f t="shared" si="29"/>
        <v>0</v>
      </c>
      <c r="K918" s="541"/>
      <c r="L918" s="541">
        <f>'Expense Jrnl'!$G422</f>
        <v>0</v>
      </c>
      <c r="M918" s="523">
        <f>'Expense Jrnl'!E184</f>
        <v>0</v>
      </c>
      <c r="N918" s="539">
        <f>'Expense Jrnl'!$H184</f>
        <v>0</v>
      </c>
      <c r="O918" s="542"/>
    </row>
    <row r="919" spans="2:15" s="1" customFormat="1" ht="30" hidden="1" customHeight="1" x14ac:dyDescent="0.2">
      <c r="B919" s="517">
        <f>IF(AND('Expense Jrnl'!$G423&lt;&gt;"",'Expense Jrnl'!$C423&lt;&gt;""),1,0)</f>
        <v>0</v>
      </c>
      <c r="C919" s="517">
        <f>'Expense Jrnl'!$C423</f>
        <v>0</v>
      </c>
      <c r="D919" s="540">
        <f>'Expense Jrnl'!$D423</f>
        <v>0</v>
      </c>
      <c r="E919" s="1523">
        <f>'Expense Jrnl'!$F423</f>
        <v>0</v>
      </c>
      <c r="F919" s="1523"/>
      <c r="G919" s="519" t="str">
        <f>IF('Expense Jrnl'!$E423="","",'Expense Jrnl'!$E423)</f>
        <v/>
      </c>
      <c r="H919" s="518">
        <f>'Expense Jrnl'!H423</f>
        <v>0</v>
      </c>
      <c r="I919" s="518" t="str">
        <f t="shared" si="28"/>
        <v>0</v>
      </c>
      <c r="J919" s="520" t="b">
        <f t="shared" si="29"/>
        <v>0</v>
      </c>
      <c r="K919" s="541"/>
      <c r="L919" s="541">
        <f>'Expense Jrnl'!$G423</f>
        <v>0</v>
      </c>
      <c r="M919" s="523">
        <f>'Expense Jrnl'!E185</f>
        <v>0</v>
      </c>
      <c r="N919" s="539">
        <f>'Expense Jrnl'!$H185</f>
        <v>0</v>
      </c>
      <c r="O919" s="542"/>
    </row>
    <row r="920" spans="2:15" s="1" customFormat="1" ht="30" hidden="1" customHeight="1" x14ac:dyDescent="0.2">
      <c r="B920" s="517">
        <f>IF(AND('Expense Jrnl'!$G424&lt;&gt;"",'Expense Jrnl'!$C424&lt;&gt;""),1,0)</f>
        <v>0</v>
      </c>
      <c r="C920" s="517">
        <f>'Expense Jrnl'!$C424</f>
        <v>0</v>
      </c>
      <c r="D920" s="540">
        <f>'Expense Jrnl'!$D424</f>
        <v>0</v>
      </c>
      <c r="E920" s="1523">
        <f>'Expense Jrnl'!$F424</f>
        <v>0</v>
      </c>
      <c r="F920" s="1523"/>
      <c r="G920" s="519" t="str">
        <f>IF('Expense Jrnl'!$E424="","",'Expense Jrnl'!$E424)</f>
        <v/>
      </c>
      <c r="H920" s="518">
        <f>'Expense Jrnl'!H424</f>
        <v>0</v>
      </c>
      <c r="I920" s="518" t="str">
        <f t="shared" si="28"/>
        <v>0</v>
      </c>
      <c r="J920" s="520" t="b">
        <f t="shared" si="29"/>
        <v>0</v>
      </c>
      <c r="K920" s="541"/>
      <c r="L920" s="541">
        <f>'Expense Jrnl'!$G424</f>
        <v>0</v>
      </c>
      <c r="M920" s="523">
        <f>'Expense Jrnl'!E186</f>
        <v>0</v>
      </c>
      <c r="N920" s="539">
        <f>'Expense Jrnl'!$H186</f>
        <v>0</v>
      </c>
      <c r="O920" s="542"/>
    </row>
    <row r="921" spans="2:15" s="1" customFormat="1" ht="30" hidden="1" customHeight="1" x14ac:dyDescent="0.2">
      <c r="B921" s="517">
        <f>IF(AND('Expense Jrnl'!$G425&lt;&gt;"",'Expense Jrnl'!$C425&lt;&gt;""),1,0)</f>
        <v>0</v>
      </c>
      <c r="C921" s="517">
        <f>'Expense Jrnl'!$C425</f>
        <v>0</v>
      </c>
      <c r="D921" s="540">
        <f>'Expense Jrnl'!$D425</f>
        <v>0</v>
      </c>
      <c r="E921" s="1523">
        <f>'Expense Jrnl'!$F425</f>
        <v>0</v>
      </c>
      <c r="F921" s="1523"/>
      <c r="G921" s="519" t="str">
        <f>IF('Expense Jrnl'!$E425="","",'Expense Jrnl'!$E425)</f>
        <v/>
      </c>
      <c r="H921" s="518">
        <f>'Expense Jrnl'!H425</f>
        <v>0</v>
      </c>
      <c r="I921" s="518" t="str">
        <f t="shared" si="28"/>
        <v>0</v>
      </c>
      <c r="J921" s="520" t="b">
        <f t="shared" si="29"/>
        <v>0</v>
      </c>
      <c r="K921" s="541"/>
      <c r="L921" s="541">
        <f>'Expense Jrnl'!$G425</f>
        <v>0</v>
      </c>
      <c r="M921" s="523">
        <f>'Expense Jrnl'!E187</f>
        <v>0</v>
      </c>
      <c r="N921" s="539">
        <f>'Expense Jrnl'!$H187</f>
        <v>0</v>
      </c>
    </row>
    <row r="922" spans="2:15" s="1" customFormat="1" ht="30" hidden="1" customHeight="1" x14ac:dyDescent="0.2">
      <c r="B922" s="517">
        <f>IF(AND('Expense Jrnl'!$G426&lt;&gt;"",'Expense Jrnl'!$C426&lt;&gt;""),1,0)</f>
        <v>0</v>
      </c>
      <c r="C922" s="517">
        <f>'Expense Jrnl'!$C426</f>
        <v>0</v>
      </c>
      <c r="D922" s="540">
        <f>'Expense Jrnl'!$D426</f>
        <v>0</v>
      </c>
      <c r="E922" s="1523">
        <f>'Expense Jrnl'!$F426</f>
        <v>0</v>
      </c>
      <c r="F922" s="1523"/>
      <c r="G922" s="519" t="str">
        <f>IF('Expense Jrnl'!$E426="","",'Expense Jrnl'!$E426)</f>
        <v/>
      </c>
      <c r="H922" s="518">
        <f>'Expense Jrnl'!H426</f>
        <v>0</v>
      </c>
      <c r="I922" s="518" t="str">
        <f t="shared" si="28"/>
        <v>0</v>
      </c>
      <c r="J922" s="520" t="b">
        <f t="shared" si="29"/>
        <v>0</v>
      </c>
      <c r="K922" s="541"/>
      <c r="L922" s="541">
        <f>'Expense Jrnl'!$G426</f>
        <v>0</v>
      </c>
      <c r="M922" s="523">
        <f>'Expense Jrnl'!E188</f>
        <v>0</v>
      </c>
      <c r="N922" s="539">
        <f>'Expense Jrnl'!$H188</f>
        <v>0</v>
      </c>
    </row>
    <row r="923" spans="2:15" s="1" customFormat="1" ht="30" hidden="1" customHeight="1" x14ac:dyDescent="0.2">
      <c r="B923" s="517">
        <f>IF(AND('Expense Jrnl'!$G427&lt;&gt;"",'Expense Jrnl'!$C427&lt;&gt;""),1,0)</f>
        <v>0</v>
      </c>
      <c r="C923" s="517">
        <f>'Expense Jrnl'!$C427</f>
        <v>0</v>
      </c>
      <c r="D923" s="540">
        <f>'Expense Jrnl'!$D427</f>
        <v>0</v>
      </c>
      <c r="E923" s="1523">
        <f>'Expense Jrnl'!$F427</f>
        <v>0</v>
      </c>
      <c r="F923" s="1523"/>
      <c r="G923" s="519" t="str">
        <f>IF('Expense Jrnl'!$E427="","",'Expense Jrnl'!$E427)</f>
        <v/>
      </c>
      <c r="H923" s="518">
        <f>'Expense Jrnl'!H427</f>
        <v>0</v>
      </c>
      <c r="I923" s="518" t="str">
        <f t="shared" si="28"/>
        <v>0</v>
      </c>
      <c r="J923" s="520" t="b">
        <f t="shared" si="29"/>
        <v>0</v>
      </c>
      <c r="K923" s="541"/>
      <c r="L923" s="541">
        <f>'Expense Jrnl'!$G427</f>
        <v>0</v>
      </c>
      <c r="M923" s="523">
        <f>'Expense Jrnl'!E189</f>
        <v>0</v>
      </c>
      <c r="N923" s="539">
        <f>'Expense Jrnl'!$H189</f>
        <v>0</v>
      </c>
    </row>
    <row r="924" spans="2:15" s="1" customFormat="1" ht="30" hidden="1" customHeight="1" x14ac:dyDescent="0.2">
      <c r="B924" s="517">
        <f>IF(AND('Expense Jrnl'!$G428&lt;&gt;"",'Expense Jrnl'!$C428&lt;&gt;""),1,0)</f>
        <v>0</v>
      </c>
      <c r="C924" s="517">
        <f>'Expense Jrnl'!$C428</f>
        <v>0</v>
      </c>
      <c r="D924" s="540">
        <f>'Expense Jrnl'!$D428</f>
        <v>0</v>
      </c>
      <c r="E924" s="1523">
        <f>'Expense Jrnl'!$F428</f>
        <v>0</v>
      </c>
      <c r="F924" s="1523"/>
      <c r="G924" s="519" t="str">
        <f>IF('Expense Jrnl'!$E428="","",'Expense Jrnl'!$E428)</f>
        <v/>
      </c>
      <c r="H924" s="518">
        <f>'Expense Jrnl'!H428</f>
        <v>0</v>
      </c>
      <c r="I924" s="518" t="str">
        <f t="shared" si="28"/>
        <v>0</v>
      </c>
      <c r="J924" s="520" t="b">
        <f t="shared" si="29"/>
        <v>0</v>
      </c>
      <c r="K924" s="541"/>
      <c r="L924" s="541">
        <f>'Expense Jrnl'!$G428</f>
        <v>0</v>
      </c>
      <c r="M924" s="523">
        <f>'Expense Jrnl'!E190</f>
        <v>0</v>
      </c>
      <c r="N924" s="539">
        <f>'Expense Jrnl'!$H190</f>
        <v>0</v>
      </c>
    </row>
    <row r="925" spans="2:15" s="1" customFormat="1" ht="30" hidden="1" customHeight="1" x14ac:dyDescent="0.2">
      <c r="B925" s="517">
        <f>IF(AND('Expense Jrnl'!$G429&lt;&gt;"",'Expense Jrnl'!$C429&lt;&gt;""),1,0)</f>
        <v>0</v>
      </c>
      <c r="C925" s="517">
        <f>'Expense Jrnl'!$C429</f>
        <v>0</v>
      </c>
      <c r="D925" s="540">
        <f>'Expense Jrnl'!$D429</f>
        <v>0</v>
      </c>
      <c r="E925" s="1523">
        <f>'Expense Jrnl'!$F429</f>
        <v>0</v>
      </c>
      <c r="F925" s="1523"/>
      <c r="G925" s="519" t="str">
        <f>IF('Expense Jrnl'!$E429="","",'Expense Jrnl'!$E429)</f>
        <v/>
      </c>
      <c r="H925" s="518">
        <f>'Expense Jrnl'!H429</f>
        <v>0</v>
      </c>
      <c r="I925" s="518" t="str">
        <f t="shared" si="28"/>
        <v>0</v>
      </c>
      <c r="J925" s="520" t="b">
        <f t="shared" si="29"/>
        <v>0</v>
      </c>
      <c r="K925" s="541"/>
      <c r="L925" s="541">
        <f>'Expense Jrnl'!$G429</f>
        <v>0</v>
      </c>
      <c r="M925" s="523">
        <f>'Expense Jrnl'!E191</f>
        <v>0</v>
      </c>
      <c r="N925" s="539">
        <f>'Expense Jrnl'!$H191</f>
        <v>0</v>
      </c>
    </row>
    <row r="926" spans="2:15" s="1" customFormat="1" ht="30" hidden="1" customHeight="1" x14ac:dyDescent="0.2">
      <c r="B926" s="517">
        <f>IF(AND('Expense Jrnl'!$G430&lt;&gt;"",'Expense Jrnl'!$C430&lt;&gt;""),1,0)</f>
        <v>0</v>
      </c>
      <c r="C926" s="517">
        <f>'Expense Jrnl'!$C430</f>
        <v>0</v>
      </c>
      <c r="D926" s="540">
        <f>'Expense Jrnl'!$D430</f>
        <v>0</v>
      </c>
      <c r="E926" s="1523">
        <f>'Expense Jrnl'!$F430</f>
        <v>0</v>
      </c>
      <c r="F926" s="1523"/>
      <c r="G926" s="519" t="str">
        <f>IF('Expense Jrnl'!$E430="","",'Expense Jrnl'!$E430)</f>
        <v/>
      </c>
      <c r="H926" s="518">
        <f>'Expense Jrnl'!H430</f>
        <v>0</v>
      </c>
      <c r="I926" s="518" t="str">
        <f t="shared" si="28"/>
        <v>0</v>
      </c>
      <c r="J926" s="520" t="b">
        <f t="shared" si="29"/>
        <v>0</v>
      </c>
      <c r="K926" s="541"/>
      <c r="L926" s="541">
        <f>'Expense Jrnl'!$G430</f>
        <v>0</v>
      </c>
      <c r="M926" s="523">
        <f>'Expense Jrnl'!E192</f>
        <v>0</v>
      </c>
      <c r="N926" s="539">
        <f>'Expense Jrnl'!$H192</f>
        <v>0</v>
      </c>
    </row>
    <row r="927" spans="2:15" s="1" customFormat="1" ht="30" hidden="1" customHeight="1" x14ac:dyDescent="0.2">
      <c r="B927" s="517">
        <f>IF(AND('Expense Jrnl'!$G431&lt;&gt;"",'Expense Jrnl'!$C431&lt;&gt;""),1,0)</f>
        <v>0</v>
      </c>
      <c r="C927" s="517">
        <f>'Expense Jrnl'!$C431</f>
        <v>0</v>
      </c>
      <c r="D927" s="540">
        <f>'Expense Jrnl'!$D431</f>
        <v>0</v>
      </c>
      <c r="E927" s="1523">
        <f>'Expense Jrnl'!$F431</f>
        <v>0</v>
      </c>
      <c r="F927" s="1523"/>
      <c r="G927" s="519" t="str">
        <f>IF('Expense Jrnl'!$E431="","",'Expense Jrnl'!$E431)</f>
        <v/>
      </c>
      <c r="H927" s="518">
        <f>'Expense Jrnl'!H431</f>
        <v>0</v>
      </c>
      <c r="I927" s="518" t="str">
        <f t="shared" si="28"/>
        <v>0</v>
      </c>
      <c r="J927" s="520" t="b">
        <f t="shared" si="29"/>
        <v>0</v>
      </c>
      <c r="K927" s="541"/>
      <c r="L927" s="541">
        <f>'Expense Jrnl'!$G431</f>
        <v>0</v>
      </c>
      <c r="M927" s="523">
        <f>'Expense Jrnl'!E193</f>
        <v>0</v>
      </c>
      <c r="N927" s="539">
        <f>'Expense Jrnl'!$H193</f>
        <v>0</v>
      </c>
    </row>
    <row r="928" spans="2:15" s="1" customFormat="1" ht="30" hidden="1" customHeight="1" x14ac:dyDescent="0.2">
      <c r="B928" s="517">
        <f>IF(AND('Expense Jrnl'!$G432&lt;&gt;"",'Expense Jrnl'!$C432&lt;&gt;""),1,0)</f>
        <v>0</v>
      </c>
      <c r="C928" s="517">
        <f>'Expense Jrnl'!$C432</f>
        <v>0</v>
      </c>
      <c r="D928" s="540">
        <f>'Expense Jrnl'!$D432</f>
        <v>0</v>
      </c>
      <c r="E928" s="1523">
        <f>'Expense Jrnl'!$F432</f>
        <v>0</v>
      </c>
      <c r="F928" s="1523"/>
      <c r="G928" s="519" t="str">
        <f>IF('Expense Jrnl'!$E432="","",'Expense Jrnl'!$E432)</f>
        <v/>
      </c>
      <c r="H928" s="518">
        <f>'Expense Jrnl'!H432</f>
        <v>0</v>
      </c>
      <c r="I928" s="518" t="str">
        <f t="shared" si="28"/>
        <v>0</v>
      </c>
      <c r="J928" s="520" t="b">
        <f t="shared" si="29"/>
        <v>0</v>
      </c>
      <c r="K928" s="541"/>
      <c r="L928" s="541">
        <f>'Expense Jrnl'!$G432</f>
        <v>0</v>
      </c>
      <c r="M928" s="523">
        <f>'Expense Jrnl'!E194</f>
        <v>0</v>
      </c>
      <c r="N928" s="539">
        <f>'Expense Jrnl'!$H194</f>
        <v>0</v>
      </c>
    </row>
    <row r="929" spans="2:14" s="1" customFormat="1" ht="30" hidden="1" customHeight="1" x14ac:dyDescent="0.2">
      <c r="B929" s="517">
        <f>IF(AND('Expense Jrnl'!$G433&lt;&gt;"",'Expense Jrnl'!$C433&lt;&gt;""),1,0)</f>
        <v>0</v>
      </c>
      <c r="C929" s="517">
        <f>'Expense Jrnl'!$C433</f>
        <v>0</v>
      </c>
      <c r="D929" s="540">
        <f>'Expense Jrnl'!$D433</f>
        <v>0</v>
      </c>
      <c r="E929" s="1523">
        <f>'Expense Jrnl'!$F433</f>
        <v>0</v>
      </c>
      <c r="F929" s="1523"/>
      <c r="G929" s="519" t="str">
        <f>IF('Expense Jrnl'!$E433="","",'Expense Jrnl'!$E433)</f>
        <v/>
      </c>
      <c r="H929" s="518">
        <f>'Expense Jrnl'!H433</f>
        <v>0</v>
      </c>
      <c r="I929" s="518" t="str">
        <f t="shared" si="28"/>
        <v>0</v>
      </c>
      <c r="J929" s="520" t="b">
        <f t="shared" si="29"/>
        <v>0</v>
      </c>
      <c r="K929" s="541"/>
      <c r="L929" s="541">
        <f>'Expense Jrnl'!$G433</f>
        <v>0</v>
      </c>
      <c r="M929" s="523">
        <f>'Expense Jrnl'!E195</f>
        <v>0</v>
      </c>
      <c r="N929" s="539">
        <f>'Expense Jrnl'!$H195</f>
        <v>0</v>
      </c>
    </row>
    <row r="930" spans="2:14" s="1" customFormat="1" ht="30" hidden="1" customHeight="1" x14ac:dyDescent="0.2">
      <c r="B930" s="517">
        <f>IF(AND('Expense Jrnl'!$G434&lt;&gt;"",'Expense Jrnl'!$C434&lt;&gt;""),1,0)</f>
        <v>0</v>
      </c>
      <c r="C930" s="517">
        <f>'Expense Jrnl'!$C434</f>
        <v>0</v>
      </c>
      <c r="D930" s="540">
        <f>'Expense Jrnl'!$D434</f>
        <v>0</v>
      </c>
      <c r="E930" s="1523">
        <f>'Expense Jrnl'!$F434</f>
        <v>0</v>
      </c>
      <c r="F930" s="1523"/>
      <c r="G930" s="519" t="str">
        <f>IF('Expense Jrnl'!$E434="","",'Expense Jrnl'!$E434)</f>
        <v/>
      </c>
      <c r="H930" s="518">
        <f>'Expense Jrnl'!H434</f>
        <v>0</v>
      </c>
      <c r="I930" s="518" t="str">
        <f t="shared" si="28"/>
        <v>0</v>
      </c>
      <c r="J930" s="520" t="b">
        <f t="shared" si="29"/>
        <v>0</v>
      </c>
      <c r="K930" s="541"/>
      <c r="L930" s="541">
        <f>'Expense Jrnl'!$G434</f>
        <v>0</v>
      </c>
      <c r="M930" s="523">
        <f>'Expense Jrnl'!E196</f>
        <v>0</v>
      </c>
      <c r="N930" s="539">
        <f>'Expense Jrnl'!$H196</f>
        <v>0</v>
      </c>
    </row>
    <row r="931" spans="2:14" s="1" customFormat="1" ht="30" hidden="1" customHeight="1" x14ac:dyDescent="0.2">
      <c r="B931" s="517">
        <f>IF(AND('Expense Jrnl'!$G435&lt;&gt;"",'Expense Jrnl'!$C435&lt;&gt;""),1,0)</f>
        <v>0</v>
      </c>
      <c r="C931" s="517">
        <f>'Expense Jrnl'!$C435</f>
        <v>0</v>
      </c>
      <c r="D931" s="540">
        <f>'Expense Jrnl'!$D435</f>
        <v>0</v>
      </c>
      <c r="E931" s="1523">
        <f>'Expense Jrnl'!$F435</f>
        <v>0</v>
      </c>
      <c r="F931" s="1523"/>
      <c r="G931" s="519" t="str">
        <f>IF('Expense Jrnl'!$E435="","",'Expense Jrnl'!$E435)</f>
        <v/>
      </c>
      <c r="H931" s="518">
        <f>'Expense Jrnl'!H435</f>
        <v>0</v>
      </c>
      <c r="I931" s="518" t="str">
        <f t="shared" si="28"/>
        <v>0</v>
      </c>
      <c r="J931" s="520" t="b">
        <f t="shared" si="29"/>
        <v>0</v>
      </c>
      <c r="K931" s="541"/>
      <c r="L931" s="541">
        <f>'Expense Jrnl'!$G435</f>
        <v>0</v>
      </c>
      <c r="M931" s="523">
        <f>'Expense Jrnl'!E197</f>
        <v>0</v>
      </c>
      <c r="N931" s="539">
        <f>'Expense Jrnl'!$H197</f>
        <v>0</v>
      </c>
    </row>
    <row r="932" spans="2:14" s="1" customFormat="1" ht="30" hidden="1" customHeight="1" x14ac:dyDescent="0.2">
      <c r="B932" s="517">
        <f>IF(AND('Expense Jrnl'!$G436&lt;&gt;"",'Expense Jrnl'!$C436&lt;&gt;""),1,0)</f>
        <v>0</v>
      </c>
      <c r="C932" s="517">
        <f>'Expense Jrnl'!$C436</f>
        <v>0</v>
      </c>
      <c r="D932" s="540">
        <f>'Expense Jrnl'!$D436</f>
        <v>0</v>
      </c>
      <c r="E932" s="1523">
        <f>'Expense Jrnl'!$F436</f>
        <v>0</v>
      </c>
      <c r="F932" s="1523"/>
      <c r="G932" s="519" t="str">
        <f>IF('Expense Jrnl'!$E436="","",'Expense Jrnl'!$E436)</f>
        <v/>
      </c>
      <c r="H932" s="518">
        <f>'Expense Jrnl'!H436</f>
        <v>0</v>
      </c>
      <c r="I932" s="518" t="str">
        <f t="shared" si="28"/>
        <v>0</v>
      </c>
      <c r="J932" s="520" t="b">
        <f t="shared" si="29"/>
        <v>0</v>
      </c>
      <c r="K932" s="541"/>
      <c r="L932" s="541">
        <f>'Expense Jrnl'!$G436</f>
        <v>0</v>
      </c>
      <c r="M932" s="523">
        <f>'Expense Jrnl'!E198</f>
        <v>0</v>
      </c>
      <c r="N932" s="539">
        <f>'Expense Jrnl'!$H198</f>
        <v>0</v>
      </c>
    </row>
    <row r="933" spans="2:14" s="1" customFormat="1" ht="30" hidden="1" customHeight="1" x14ac:dyDescent="0.2">
      <c r="B933" s="517">
        <f>IF(AND('Expense Jrnl'!$G437&lt;&gt;"",'Expense Jrnl'!$C437&lt;&gt;""),1,0)</f>
        <v>0</v>
      </c>
      <c r="C933" s="517">
        <f>'Expense Jrnl'!$C437</f>
        <v>0</v>
      </c>
      <c r="D933" s="540">
        <f>'Expense Jrnl'!$D437</f>
        <v>0</v>
      </c>
      <c r="E933" s="1523">
        <f>'Expense Jrnl'!$F437</f>
        <v>0</v>
      </c>
      <c r="F933" s="1523"/>
      <c r="G933" s="519" t="str">
        <f>IF('Expense Jrnl'!$E437="","",'Expense Jrnl'!$E437)</f>
        <v/>
      </c>
      <c r="H933" s="518">
        <f>'Expense Jrnl'!H437</f>
        <v>0</v>
      </c>
      <c r="I933" s="518" t="str">
        <f t="shared" si="28"/>
        <v>0</v>
      </c>
      <c r="J933" s="520" t="b">
        <f t="shared" si="29"/>
        <v>0</v>
      </c>
      <c r="K933" s="541"/>
      <c r="L933" s="541">
        <f>'Expense Jrnl'!$G437</f>
        <v>0</v>
      </c>
      <c r="M933" s="523">
        <f>'Expense Jrnl'!E199</f>
        <v>0</v>
      </c>
      <c r="N933" s="539">
        <f>'Expense Jrnl'!$H199</f>
        <v>0</v>
      </c>
    </row>
    <row r="934" spans="2:14" s="1" customFormat="1" ht="30" hidden="1" customHeight="1" x14ac:dyDescent="0.2">
      <c r="B934" s="517">
        <f>IF(AND('Expense Jrnl'!$G438&lt;&gt;"",'Expense Jrnl'!$C438&lt;&gt;""),1,0)</f>
        <v>0</v>
      </c>
      <c r="C934" s="517">
        <f>'Expense Jrnl'!$C438</f>
        <v>0</v>
      </c>
      <c r="D934" s="540">
        <f>'Expense Jrnl'!$D438</f>
        <v>0</v>
      </c>
      <c r="E934" s="1523">
        <f>'Expense Jrnl'!$F438</f>
        <v>0</v>
      </c>
      <c r="F934" s="1523"/>
      <c r="G934" s="519" t="str">
        <f>IF('Expense Jrnl'!$E438="","",'Expense Jrnl'!$E438)</f>
        <v/>
      </c>
      <c r="H934" s="518">
        <f>'Expense Jrnl'!H438</f>
        <v>0</v>
      </c>
      <c r="I934" s="518" t="str">
        <f t="shared" si="28"/>
        <v>0</v>
      </c>
      <c r="J934" s="520" t="b">
        <f t="shared" si="29"/>
        <v>0</v>
      </c>
      <c r="K934" s="541"/>
      <c r="L934" s="541">
        <f>'Expense Jrnl'!$G438</f>
        <v>0</v>
      </c>
      <c r="M934" s="523">
        <f>'Expense Jrnl'!E200</f>
        <v>0</v>
      </c>
      <c r="N934" s="539">
        <f>'Expense Jrnl'!$H200</f>
        <v>0</v>
      </c>
    </row>
    <row r="935" spans="2:14" s="1" customFormat="1" ht="30" hidden="1" customHeight="1" x14ac:dyDescent="0.2">
      <c r="B935" s="517">
        <f>IF(AND('Expense Jrnl'!$G439&lt;&gt;"",'Expense Jrnl'!$C439&lt;&gt;""),1,0)</f>
        <v>0</v>
      </c>
      <c r="C935" s="517">
        <f>'Expense Jrnl'!$C439</f>
        <v>0</v>
      </c>
      <c r="D935" s="540">
        <f>'Expense Jrnl'!$D439</f>
        <v>0</v>
      </c>
      <c r="E935" s="1523">
        <f>'Expense Jrnl'!$F439</f>
        <v>0</v>
      </c>
      <c r="F935" s="1523"/>
      <c r="G935" s="519" t="str">
        <f>IF('Expense Jrnl'!$E439="","",'Expense Jrnl'!$E439)</f>
        <v/>
      </c>
      <c r="H935" s="518">
        <f>'Expense Jrnl'!H439</f>
        <v>0</v>
      </c>
      <c r="I935" s="518" t="str">
        <f t="shared" si="28"/>
        <v>0</v>
      </c>
      <c r="J935" s="520" t="b">
        <f t="shared" si="29"/>
        <v>0</v>
      </c>
      <c r="K935" s="541"/>
      <c r="L935" s="541">
        <f>'Expense Jrnl'!$G439</f>
        <v>0</v>
      </c>
      <c r="M935" s="523">
        <f>'Expense Jrnl'!E201</f>
        <v>0</v>
      </c>
      <c r="N935" s="539">
        <f>'Expense Jrnl'!$H201</f>
        <v>0</v>
      </c>
    </row>
    <row r="936" spans="2:14" s="1" customFormat="1" ht="30" hidden="1" customHeight="1" x14ac:dyDescent="0.2">
      <c r="B936" s="517">
        <f>IF(AND('Expense Jrnl'!$G440&lt;&gt;"",'Expense Jrnl'!$C440&lt;&gt;""),1,0)</f>
        <v>0</v>
      </c>
      <c r="C936" s="517">
        <f>'Expense Jrnl'!$C440</f>
        <v>0</v>
      </c>
      <c r="D936" s="540">
        <f>'Expense Jrnl'!$D440</f>
        <v>0</v>
      </c>
      <c r="E936" s="1523">
        <f>'Expense Jrnl'!$F440</f>
        <v>0</v>
      </c>
      <c r="F936" s="1523"/>
      <c r="G936" s="519" t="str">
        <f>IF('Expense Jrnl'!$E440="","",'Expense Jrnl'!$E440)</f>
        <v/>
      </c>
      <c r="H936" s="518">
        <f>'Expense Jrnl'!H440</f>
        <v>0</v>
      </c>
      <c r="I936" s="518" t="str">
        <f t="shared" si="28"/>
        <v>0</v>
      </c>
      <c r="J936" s="520" t="b">
        <f t="shared" si="29"/>
        <v>0</v>
      </c>
      <c r="K936" s="541"/>
      <c r="L936" s="541">
        <f>'Expense Jrnl'!$G440</f>
        <v>0</v>
      </c>
      <c r="M936" s="523">
        <f>'Expense Jrnl'!E202</f>
        <v>0</v>
      </c>
      <c r="N936" s="539">
        <f>'Expense Jrnl'!$H202</f>
        <v>0</v>
      </c>
    </row>
    <row r="937" spans="2:14" s="1" customFormat="1" ht="30" hidden="1" customHeight="1" x14ac:dyDescent="0.2">
      <c r="B937" s="517">
        <f>IF(AND('Expense Jrnl'!$G441&lt;&gt;"",'Expense Jrnl'!$C441&lt;&gt;""),1,0)</f>
        <v>0</v>
      </c>
      <c r="C937" s="517">
        <f>'Expense Jrnl'!$C441</f>
        <v>0</v>
      </c>
      <c r="D937" s="540">
        <f>'Expense Jrnl'!$D441</f>
        <v>0</v>
      </c>
      <c r="E937" s="1523">
        <f>'Expense Jrnl'!$F441</f>
        <v>0</v>
      </c>
      <c r="F937" s="1523"/>
      <c r="G937" s="519" t="str">
        <f>IF('Expense Jrnl'!$E441="","",'Expense Jrnl'!$E441)</f>
        <v/>
      </c>
      <c r="H937" s="518">
        <f>'Expense Jrnl'!H441</f>
        <v>0</v>
      </c>
      <c r="I937" s="518" t="str">
        <f t="shared" si="28"/>
        <v>0</v>
      </c>
      <c r="J937" s="520" t="b">
        <f t="shared" si="29"/>
        <v>0</v>
      </c>
      <c r="K937" s="541"/>
      <c r="L937" s="541">
        <f>'Expense Jrnl'!$G441</f>
        <v>0</v>
      </c>
      <c r="M937" s="523">
        <f>'Expense Jrnl'!E203</f>
        <v>0</v>
      </c>
      <c r="N937" s="539">
        <f>'Expense Jrnl'!$H203</f>
        <v>0</v>
      </c>
    </row>
    <row r="938" spans="2:14" s="1" customFormat="1" ht="30" hidden="1" customHeight="1" x14ac:dyDescent="0.2">
      <c r="B938" s="517">
        <f>IF(AND('Expense Jrnl'!$G442&lt;&gt;"",'Expense Jrnl'!$C442&lt;&gt;""),1,0)</f>
        <v>0</v>
      </c>
      <c r="C938" s="517">
        <f>'Expense Jrnl'!$C442</f>
        <v>0</v>
      </c>
      <c r="D938" s="540">
        <f>'Expense Jrnl'!$D442</f>
        <v>0</v>
      </c>
      <c r="E938" s="1523">
        <f>'Expense Jrnl'!$F442</f>
        <v>0</v>
      </c>
      <c r="F938" s="1523"/>
      <c r="G938" s="519" t="str">
        <f>IF('Expense Jrnl'!$E442="","",'Expense Jrnl'!$E442)</f>
        <v/>
      </c>
      <c r="H938" s="518">
        <f>'Expense Jrnl'!H442</f>
        <v>0</v>
      </c>
      <c r="I938" s="518" t="str">
        <f t="shared" si="28"/>
        <v>0</v>
      </c>
      <c r="J938" s="520" t="b">
        <f t="shared" si="29"/>
        <v>0</v>
      </c>
      <c r="K938" s="541"/>
      <c r="L938" s="541">
        <f>'Expense Jrnl'!$G442</f>
        <v>0</v>
      </c>
      <c r="M938" s="523">
        <f>'Expense Jrnl'!E204</f>
        <v>0</v>
      </c>
      <c r="N938" s="539">
        <f>'Expense Jrnl'!$H204</f>
        <v>0</v>
      </c>
    </row>
    <row r="939" spans="2:14" s="1" customFormat="1" ht="30" hidden="1" customHeight="1" x14ac:dyDescent="0.2">
      <c r="B939" s="517">
        <f>IF(AND('Expense Jrnl'!$G443&lt;&gt;"",'Expense Jrnl'!$C443&lt;&gt;""),1,0)</f>
        <v>0</v>
      </c>
      <c r="C939" s="517">
        <f>'Expense Jrnl'!$C443</f>
        <v>0</v>
      </c>
      <c r="D939" s="540">
        <f>'Expense Jrnl'!$D443</f>
        <v>0</v>
      </c>
      <c r="E939" s="1523">
        <f>'Expense Jrnl'!$F443</f>
        <v>0</v>
      </c>
      <c r="F939" s="1523"/>
      <c r="G939" s="519" t="str">
        <f>IF('Expense Jrnl'!$E443="","",'Expense Jrnl'!$E443)</f>
        <v/>
      </c>
      <c r="H939" s="518">
        <f>'Expense Jrnl'!H443</f>
        <v>0</v>
      </c>
      <c r="I939" s="518" t="str">
        <f t="shared" si="28"/>
        <v>0</v>
      </c>
      <c r="J939" s="520" t="b">
        <f t="shared" si="29"/>
        <v>0</v>
      </c>
      <c r="K939" s="541"/>
      <c r="L939" s="541">
        <f>'Expense Jrnl'!$G443</f>
        <v>0</v>
      </c>
      <c r="M939" s="523">
        <f>'Expense Jrnl'!E205</f>
        <v>0</v>
      </c>
      <c r="N939" s="539">
        <f>'Expense Jrnl'!$H205</f>
        <v>0</v>
      </c>
    </row>
    <row r="940" spans="2:14" s="1" customFormat="1" ht="30" hidden="1" customHeight="1" x14ac:dyDescent="0.2">
      <c r="B940" s="517">
        <f>IF(AND('Expense Jrnl'!$G444&lt;&gt;"",'Expense Jrnl'!$C444&lt;&gt;""),1,0)</f>
        <v>0</v>
      </c>
      <c r="C940" s="517">
        <f>'Expense Jrnl'!$C444</f>
        <v>0</v>
      </c>
      <c r="D940" s="540">
        <f>'Expense Jrnl'!$D444</f>
        <v>0</v>
      </c>
      <c r="E940" s="1523">
        <f>'Expense Jrnl'!$F444</f>
        <v>0</v>
      </c>
      <c r="F940" s="1523"/>
      <c r="G940" s="519" t="str">
        <f>IF('Expense Jrnl'!$E444="","",'Expense Jrnl'!$E444)</f>
        <v/>
      </c>
      <c r="H940" s="518">
        <f>'Expense Jrnl'!H444</f>
        <v>0</v>
      </c>
      <c r="I940" s="518" t="str">
        <f t="shared" si="28"/>
        <v>0</v>
      </c>
      <c r="J940" s="520" t="b">
        <f t="shared" si="29"/>
        <v>0</v>
      </c>
      <c r="K940" s="541"/>
      <c r="L940" s="541">
        <f>'Expense Jrnl'!$G444</f>
        <v>0</v>
      </c>
      <c r="M940" s="523">
        <f>'Expense Jrnl'!E206</f>
        <v>0</v>
      </c>
      <c r="N940" s="539">
        <f>'Expense Jrnl'!$H206</f>
        <v>0</v>
      </c>
    </row>
    <row r="941" spans="2:14" s="1" customFormat="1" ht="30" hidden="1" customHeight="1" x14ac:dyDescent="0.2">
      <c r="B941" s="517">
        <f>IF(AND('Expense Jrnl'!$G445&lt;&gt;"",'Expense Jrnl'!$C445&lt;&gt;""),1,0)</f>
        <v>0</v>
      </c>
      <c r="C941" s="517">
        <f>'Expense Jrnl'!$C445</f>
        <v>0</v>
      </c>
      <c r="D941" s="540">
        <f>'Expense Jrnl'!$D445</f>
        <v>0</v>
      </c>
      <c r="E941" s="1523">
        <f>'Expense Jrnl'!$F445</f>
        <v>0</v>
      </c>
      <c r="F941" s="1523"/>
      <c r="G941" s="519" t="str">
        <f>IF('Expense Jrnl'!$E445="","",'Expense Jrnl'!$E445)</f>
        <v/>
      </c>
      <c r="H941" s="518">
        <f>'Expense Jrnl'!H445</f>
        <v>0</v>
      </c>
      <c r="I941" s="518" t="str">
        <f t="shared" si="28"/>
        <v>0</v>
      </c>
      <c r="J941" s="520" t="b">
        <f t="shared" si="29"/>
        <v>0</v>
      </c>
      <c r="K941" s="541"/>
      <c r="L941" s="541">
        <f>'Expense Jrnl'!$G445</f>
        <v>0</v>
      </c>
      <c r="M941" s="523">
        <f>'Expense Jrnl'!E207</f>
        <v>0</v>
      </c>
      <c r="N941" s="539">
        <f>'Expense Jrnl'!$H207</f>
        <v>0</v>
      </c>
    </row>
    <row r="942" spans="2:14" s="1" customFormat="1" ht="30" hidden="1" customHeight="1" x14ac:dyDescent="0.2">
      <c r="B942" s="517">
        <f>IF(AND('Expense Jrnl'!$G446&lt;&gt;"",'Expense Jrnl'!$C446&lt;&gt;""),1,0)</f>
        <v>0</v>
      </c>
      <c r="C942" s="517">
        <f>'Expense Jrnl'!$C446</f>
        <v>0</v>
      </c>
      <c r="D942" s="540">
        <f>'Expense Jrnl'!$D446</f>
        <v>0</v>
      </c>
      <c r="E942" s="1523">
        <f>'Expense Jrnl'!$F446</f>
        <v>0</v>
      </c>
      <c r="F942" s="1523"/>
      <c r="G942" s="519" t="str">
        <f>IF('Expense Jrnl'!$E446="","",'Expense Jrnl'!$E446)</f>
        <v/>
      </c>
      <c r="H942" s="518">
        <f>'Expense Jrnl'!H446</f>
        <v>0</v>
      </c>
      <c r="I942" s="518" t="str">
        <f t="shared" si="28"/>
        <v>0</v>
      </c>
      <c r="J942" s="520" t="b">
        <f t="shared" si="29"/>
        <v>0</v>
      </c>
      <c r="K942" s="541"/>
      <c r="L942" s="541">
        <f>'Expense Jrnl'!$G446</f>
        <v>0</v>
      </c>
      <c r="M942" s="523">
        <f>'Expense Jrnl'!E208</f>
        <v>0</v>
      </c>
      <c r="N942" s="539">
        <f>'Expense Jrnl'!$H208</f>
        <v>0</v>
      </c>
    </row>
    <row r="943" spans="2:14" s="1" customFormat="1" ht="30" hidden="1" customHeight="1" x14ac:dyDescent="0.2">
      <c r="B943" s="517">
        <f>IF(AND('Expense Jrnl'!$G447&lt;&gt;"",'Expense Jrnl'!$C447&lt;&gt;""),1,0)</f>
        <v>0</v>
      </c>
      <c r="C943" s="517">
        <f>'Expense Jrnl'!$C447</f>
        <v>0</v>
      </c>
      <c r="D943" s="540">
        <f>'Expense Jrnl'!$D447</f>
        <v>0</v>
      </c>
      <c r="E943" s="1523">
        <f>'Expense Jrnl'!$F447</f>
        <v>0</v>
      </c>
      <c r="F943" s="1523"/>
      <c r="G943" s="519" t="str">
        <f>IF('Expense Jrnl'!$E447="","",'Expense Jrnl'!$E447)</f>
        <v/>
      </c>
      <c r="H943" s="518">
        <f>'Expense Jrnl'!H447</f>
        <v>0</v>
      </c>
      <c r="I943" s="518" t="str">
        <f t="shared" si="28"/>
        <v>0</v>
      </c>
      <c r="J943" s="520" t="b">
        <f t="shared" si="29"/>
        <v>0</v>
      </c>
      <c r="K943" s="541"/>
      <c r="L943" s="541">
        <f>'Expense Jrnl'!$G447</f>
        <v>0</v>
      </c>
      <c r="M943" s="523">
        <f>'Expense Jrnl'!E209</f>
        <v>0</v>
      </c>
      <c r="N943" s="539">
        <f>'Expense Jrnl'!$H209</f>
        <v>0</v>
      </c>
    </row>
    <row r="944" spans="2:14" s="1" customFormat="1" ht="30" hidden="1" customHeight="1" x14ac:dyDescent="0.2">
      <c r="B944" s="517">
        <f>IF(AND('Expense Jrnl'!$G448&lt;&gt;"",'Expense Jrnl'!$C448&lt;&gt;""),1,0)</f>
        <v>0</v>
      </c>
      <c r="C944" s="517">
        <f>'Expense Jrnl'!$C448</f>
        <v>0</v>
      </c>
      <c r="D944" s="540">
        <f>'Expense Jrnl'!$D448</f>
        <v>0</v>
      </c>
      <c r="E944" s="1523">
        <f>'Expense Jrnl'!$F448</f>
        <v>0</v>
      </c>
      <c r="F944" s="1523"/>
      <c r="G944" s="519" t="str">
        <f>IF('Expense Jrnl'!$E448="","",'Expense Jrnl'!$E448)</f>
        <v/>
      </c>
      <c r="H944" s="518">
        <f>'Expense Jrnl'!H448</f>
        <v>0</v>
      </c>
      <c r="I944" s="518" t="str">
        <f t="shared" si="28"/>
        <v>0</v>
      </c>
      <c r="J944" s="520" t="b">
        <f t="shared" si="29"/>
        <v>0</v>
      </c>
      <c r="K944" s="541"/>
      <c r="L944" s="541">
        <f>'Expense Jrnl'!$G448</f>
        <v>0</v>
      </c>
      <c r="M944" s="523">
        <f>'Expense Jrnl'!E210</f>
        <v>0</v>
      </c>
      <c r="N944" s="539">
        <f>'Expense Jrnl'!$H210</f>
        <v>0</v>
      </c>
    </row>
    <row r="945" spans="2:14" s="1" customFormat="1" ht="30" hidden="1" customHeight="1" x14ac:dyDescent="0.2">
      <c r="B945" s="517">
        <f>IF(AND('Expense Jrnl'!$G449&lt;&gt;"",'Expense Jrnl'!$C449&lt;&gt;""),1,0)</f>
        <v>0</v>
      </c>
      <c r="C945" s="517">
        <f>'Expense Jrnl'!$C449</f>
        <v>0</v>
      </c>
      <c r="D945" s="540">
        <f>'Expense Jrnl'!$D449</f>
        <v>0</v>
      </c>
      <c r="E945" s="1523">
        <f>'Expense Jrnl'!$F449</f>
        <v>0</v>
      </c>
      <c r="F945" s="1523"/>
      <c r="G945" s="519" t="str">
        <f>IF('Expense Jrnl'!$E449="","",'Expense Jrnl'!$E449)</f>
        <v/>
      </c>
      <c r="H945" s="518">
        <f>'Expense Jrnl'!H449</f>
        <v>0</v>
      </c>
      <c r="I945" s="518" t="str">
        <f t="shared" si="28"/>
        <v>0</v>
      </c>
      <c r="J945" s="520" t="b">
        <f t="shared" si="29"/>
        <v>0</v>
      </c>
      <c r="K945" s="541"/>
      <c r="L945" s="541">
        <f>'Expense Jrnl'!$G449</f>
        <v>0</v>
      </c>
      <c r="M945" s="523">
        <f>'Expense Jrnl'!E211</f>
        <v>0</v>
      </c>
      <c r="N945" s="539">
        <f>'Expense Jrnl'!$H211</f>
        <v>0</v>
      </c>
    </row>
    <row r="946" spans="2:14" s="1" customFormat="1" ht="30" hidden="1" customHeight="1" x14ac:dyDescent="0.2">
      <c r="B946" s="517">
        <f>IF(AND('Expense Jrnl'!$G450&lt;&gt;"",'Expense Jrnl'!$C450&lt;&gt;""),1,0)</f>
        <v>0</v>
      </c>
      <c r="C946" s="517">
        <f>'Expense Jrnl'!$C450</f>
        <v>0</v>
      </c>
      <c r="D946" s="540">
        <f>'Expense Jrnl'!$D450</f>
        <v>0</v>
      </c>
      <c r="E946" s="1523">
        <f>'Expense Jrnl'!$F450</f>
        <v>0</v>
      </c>
      <c r="F946" s="1523"/>
      <c r="G946" s="519" t="str">
        <f>IF('Expense Jrnl'!$E450="","",'Expense Jrnl'!$E450)</f>
        <v/>
      </c>
      <c r="H946" s="518">
        <f>'Expense Jrnl'!H450</f>
        <v>0</v>
      </c>
      <c r="I946" s="518" t="str">
        <f t="shared" si="28"/>
        <v>0</v>
      </c>
      <c r="J946" s="520" t="b">
        <f t="shared" si="29"/>
        <v>0</v>
      </c>
      <c r="K946" s="541"/>
      <c r="L946" s="541">
        <f>'Expense Jrnl'!$G450</f>
        <v>0</v>
      </c>
      <c r="M946" s="523">
        <f>'Expense Jrnl'!E212</f>
        <v>0</v>
      </c>
      <c r="N946" s="539">
        <f>'Expense Jrnl'!$H212</f>
        <v>0</v>
      </c>
    </row>
    <row r="947" spans="2:14" s="1" customFormat="1" ht="30" hidden="1" customHeight="1" x14ac:dyDescent="0.2">
      <c r="B947" s="517">
        <f>IF(AND('Expense Jrnl'!$G451&lt;&gt;"",'Expense Jrnl'!$C451&lt;&gt;""),1,0)</f>
        <v>0</v>
      </c>
      <c r="C947" s="517">
        <f>'Expense Jrnl'!$C451</f>
        <v>0</v>
      </c>
      <c r="D947" s="540">
        <f>'Expense Jrnl'!$D451</f>
        <v>0</v>
      </c>
      <c r="E947" s="1523">
        <f>'Expense Jrnl'!$F451</f>
        <v>0</v>
      </c>
      <c r="F947" s="1523"/>
      <c r="G947" s="519" t="str">
        <f>IF('Expense Jrnl'!$E451="","",'Expense Jrnl'!$E451)</f>
        <v/>
      </c>
      <c r="H947" s="518">
        <f>'Expense Jrnl'!H451</f>
        <v>0</v>
      </c>
      <c r="I947" s="518" t="str">
        <f t="shared" si="28"/>
        <v>0</v>
      </c>
      <c r="J947" s="520" t="b">
        <f t="shared" si="29"/>
        <v>0</v>
      </c>
      <c r="K947" s="541"/>
      <c r="L947" s="541">
        <f>'Expense Jrnl'!$G451</f>
        <v>0</v>
      </c>
      <c r="M947" s="523">
        <f>'Expense Jrnl'!E213</f>
        <v>0</v>
      </c>
      <c r="N947" s="539">
        <f>'Expense Jrnl'!$H213</f>
        <v>0</v>
      </c>
    </row>
    <row r="948" spans="2:14" s="1" customFormat="1" ht="30" hidden="1" customHeight="1" x14ac:dyDescent="0.2">
      <c r="B948" s="517">
        <f>IF(AND('Expense Jrnl'!$G452&lt;&gt;"",'Expense Jrnl'!$C452&lt;&gt;""),1,0)</f>
        <v>0</v>
      </c>
      <c r="C948" s="517">
        <f>'Expense Jrnl'!$C452</f>
        <v>0</v>
      </c>
      <c r="D948" s="540">
        <f>'Expense Jrnl'!$D452</f>
        <v>0</v>
      </c>
      <c r="E948" s="1523">
        <f>'Expense Jrnl'!$F452</f>
        <v>0</v>
      </c>
      <c r="F948" s="1523"/>
      <c r="G948" s="519" t="str">
        <f>IF('Expense Jrnl'!$E452="","",'Expense Jrnl'!$E452)</f>
        <v/>
      </c>
      <c r="H948" s="518">
        <f>'Expense Jrnl'!H452</f>
        <v>0</v>
      </c>
      <c r="I948" s="518" t="str">
        <f t="shared" si="28"/>
        <v>0</v>
      </c>
      <c r="J948" s="520" t="b">
        <f t="shared" si="29"/>
        <v>0</v>
      </c>
      <c r="K948" s="541"/>
      <c r="L948" s="541">
        <f>'Expense Jrnl'!$G452</f>
        <v>0</v>
      </c>
      <c r="M948" s="523">
        <f>'Expense Jrnl'!E214</f>
        <v>0</v>
      </c>
      <c r="N948" s="539">
        <f>'Expense Jrnl'!$H214</f>
        <v>0</v>
      </c>
    </row>
    <row r="949" spans="2:14" s="1" customFormat="1" ht="30" hidden="1" customHeight="1" x14ac:dyDescent="0.2">
      <c r="B949" s="517">
        <f>IF(AND('Expense Jrnl'!$G453&lt;&gt;"",'Expense Jrnl'!$C453&lt;&gt;""),1,0)</f>
        <v>0</v>
      </c>
      <c r="C949" s="517">
        <f>'Expense Jrnl'!$C453</f>
        <v>0</v>
      </c>
      <c r="D949" s="540">
        <f>'Expense Jrnl'!$D453</f>
        <v>0</v>
      </c>
      <c r="E949" s="1523">
        <f>'Expense Jrnl'!$F453</f>
        <v>0</v>
      </c>
      <c r="F949" s="1523"/>
      <c r="G949" s="519" t="str">
        <f>IF('Expense Jrnl'!$E453="","",'Expense Jrnl'!$E453)</f>
        <v/>
      </c>
      <c r="H949" s="518">
        <f>'Expense Jrnl'!H453</f>
        <v>0</v>
      </c>
      <c r="I949" s="518" t="str">
        <f t="shared" si="28"/>
        <v>0</v>
      </c>
      <c r="J949" s="520" t="b">
        <f t="shared" si="29"/>
        <v>0</v>
      </c>
      <c r="K949" s="541"/>
      <c r="L949" s="541">
        <f>'Expense Jrnl'!$G453</f>
        <v>0</v>
      </c>
      <c r="M949" s="523">
        <f>'Expense Jrnl'!E215</f>
        <v>0</v>
      </c>
      <c r="N949" s="539">
        <f>'Expense Jrnl'!$H215</f>
        <v>0</v>
      </c>
    </row>
    <row r="950" spans="2:14" s="1" customFormat="1" ht="30" hidden="1" customHeight="1" x14ac:dyDescent="0.2">
      <c r="B950" s="517">
        <f>IF(AND('Expense Jrnl'!$G454&lt;&gt;"",'Expense Jrnl'!$C454&lt;&gt;""),1,0)</f>
        <v>0</v>
      </c>
      <c r="C950" s="517">
        <f>'Expense Jrnl'!$C454</f>
        <v>0</v>
      </c>
      <c r="D950" s="540">
        <f>'Expense Jrnl'!$D454</f>
        <v>0</v>
      </c>
      <c r="E950" s="1523">
        <f>'Expense Jrnl'!$F454</f>
        <v>0</v>
      </c>
      <c r="F950" s="1523"/>
      <c r="G950" s="519" t="str">
        <f>IF('Expense Jrnl'!$E454="","",'Expense Jrnl'!$E454)</f>
        <v/>
      </c>
      <c r="H950" s="518">
        <f>'Expense Jrnl'!H454</f>
        <v>0</v>
      </c>
      <c r="I950" s="518" t="str">
        <f t="shared" si="28"/>
        <v>0</v>
      </c>
      <c r="J950" s="520" t="b">
        <f t="shared" si="29"/>
        <v>0</v>
      </c>
      <c r="K950" s="541"/>
      <c r="L950" s="541">
        <f>'Expense Jrnl'!$G454</f>
        <v>0</v>
      </c>
      <c r="M950" s="523">
        <f>'Expense Jrnl'!E216</f>
        <v>0</v>
      </c>
      <c r="N950" s="539">
        <f>'Expense Jrnl'!$H216</f>
        <v>0</v>
      </c>
    </row>
    <row r="951" spans="2:14" s="1" customFormat="1" ht="30" hidden="1" customHeight="1" x14ac:dyDescent="0.2">
      <c r="B951" s="517">
        <f>IF(AND('Expense Jrnl'!$G455&lt;&gt;"",'Expense Jrnl'!$C455&lt;&gt;""),1,0)</f>
        <v>0</v>
      </c>
      <c r="C951" s="517">
        <f>'Expense Jrnl'!$C455</f>
        <v>0</v>
      </c>
      <c r="D951" s="540">
        <f>'Expense Jrnl'!$D455</f>
        <v>0</v>
      </c>
      <c r="E951" s="1523">
        <f>'Expense Jrnl'!$F455</f>
        <v>0</v>
      </c>
      <c r="F951" s="1523"/>
      <c r="G951" s="519" t="str">
        <f>IF('Expense Jrnl'!$E455="","",'Expense Jrnl'!$E455)</f>
        <v/>
      </c>
      <c r="H951" s="518">
        <f>'Expense Jrnl'!H455</f>
        <v>0</v>
      </c>
      <c r="I951" s="518" t="str">
        <f t="shared" si="28"/>
        <v>0</v>
      </c>
      <c r="J951" s="520" t="b">
        <f t="shared" si="29"/>
        <v>0</v>
      </c>
      <c r="K951" s="541"/>
      <c r="L951" s="541">
        <f>'Expense Jrnl'!$G455</f>
        <v>0</v>
      </c>
      <c r="M951" s="523">
        <f>'Expense Jrnl'!E217</f>
        <v>0</v>
      </c>
      <c r="N951" s="539">
        <f>'Expense Jrnl'!$H217</f>
        <v>0</v>
      </c>
    </row>
    <row r="952" spans="2:14" s="1" customFormat="1" ht="30" hidden="1" customHeight="1" x14ac:dyDescent="0.2">
      <c r="B952" s="517">
        <f>IF(AND('Expense Jrnl'!$G456&lt;&gt;"",'Expense Jrnl'!$C456&lt;&gt;""),1,0)</f>
        <v>0</v>
      </c>
      <c r="C952" s="517">
        <f>'Expense Jrnl'!$C456</f>
        <v>0</v>
      </c>
      <c r="D952" s="540">
        <f>'Expense Jrnl'!$D456</f>
        <v>0</v>
      </c>
      <c r="E952" s="1523">
        <f>'Expense Jrnl'!$F456</f>
        <v>0</v>
      </c>
      <c r="F952" s="1523"/>
      <c r="G952" s="519" t="str">
        <f>IF('Expense Jrnl'!$E456="","",'Expense Jrnl'!$E456)</f>
        <v/>
      </c>
      <c r="H952" s="518">
        <f>'Expense Jrnl'!H456</f>
        <v>0</v>
      </c>
      <c r="I952" s="518" t="str">
        <f t="shared" si="28"/>
        <v>0</v>
      </c>
      <c r="J952" s="520" t="b">
        <f t="shared" si="29"/>
        <v>0</v>
      </c>
      <c r="K952" s="541"/>
      <c r="L952" s="541">
        <f>'Expense Jrnl'!$G456</f>
        <v>0</v>
      </c>
      <c r="M952" s="523">
        <f>'Expense Jrnl'!E218</f>
        <v>0</v>
      </c>
      <c r="N952" s="539">
        <f>'Expense Jrnl'!$H218</f>
        <v>0</v>
      </c>
    </row>
    <row r="953" spans="2:14" s="1" customFormat="1" ht="30" hidden="1" customHeight="1" x14ac:dyDescent="0.2">
      <c r="B953" s="517">
        <f>IF(AND('Expense Jrnl'!$G457&lt;&gt;"",'Expense Jrnl'!$C457&lt;&gt;""),1,0)</f>
        <v>0</v>
      </c>
      <c r="C953" s="517">
        <f>'Expense Jrnl'!$C457</f>
        <v>0</v>
      </c>
      <c r="D953" s="540">
        <f>'Expense Jrnl'!$D457</f>
        <v>0</v>
      </c>
      <c r="E953" s="1523">
        <f>'Expense Jrnl'!$F457</f>
        <v>0</v>
      </c>
      <c r="F953" s="1523"/>
      <c r="G953" s="519" t="str">
        <f>IF('Expense Jrnl'!$E457="","",'Expense Jrnl'!$E457)</f>
        <v/>
      </c>
      <c r="H953" s="518">
        <f>'Expense Jrnl'!H457</f>
        <v>0</v>
      </c>
      <c r="I953" s="518" t="str">
        <f t="shared" si="28"/>
        <v>0</v>
      </c>
      <c r="J953" s="520" t="b">
        <f t="shared" si="29"/>
        <v>0</v>
      </c>
      <c r="K953" s="541"/>
      <c r="L953" s="541">
        <f>'Expense Jrnl'!$G457</f>
        <v>0</v>
      </c>
      <c r="M953" s="523">
        <f>'Expense Jrnl'!E219</f>
        <v>0</v>
      </c>
      <c r="N953" s="539">
        <f>'Expense Jrnl'!$H219</f>
        <v>0</v>
      </c>
    </row>
    <row r="954" spans="2:14" s="1" customFormat="1" ht="30" hidden="1" customHeight="1" x14ac:dyDescent="0.2">
      <c r="B954" s="517">
        <f>IF(AND('Expense Jrnl'!$G458&lt;&gt;"",'Expense Jrnl'!$C458&lt;&gt;""),1,0)</f>
        <v>0</v>
      </c>
      <c r="C954" s="517">
        <f>'Expense Jrnl'!$C458</f>
        <v>0</v>
      </c>
      <c r="D954" s="540">
        <f>'Expense Jrnl'!$D458</f>
        <v>0</v>
      </c>
      <c r="E954" s="1523">
        <f>'Expense Jrnl'!$F458</f>
        <v>0</v>
      </c>
      <c r="F954" s="1523"/>
      <c r="G954" s="519" t="str">
        <f>IF('Expense Jrnl'!$E458="","",'Expense Jrnl'!$E458)</f>
        <v/>
      </c>
      <c r="H954" s="518">
        <f>'Expense Jrnl'!H458</f>
        <v>0</v>
      </c>
      <c r="I954" s="518" t="str">
        <f t="shared" si="28"/>
        <v>0</v>
      </c>
      <c r="J954" s="520" t="b">
        <f t="shared" si="29"/>
        <v>0</v>
      </c>
      <c r="K954" s="541"/>
      <c r="L954" s="541">
        <f>'Expense Jrnl'!$G458</f>
        <v>0</v>
      </c>
      <c r="M954" s="523">
        <f>'Expense Jrnl'!E220</f>
        <v>0</v>
      </c>
      <c r="N954" s="539">
        <f>'Expense Jrnl'!$H220</f>
        <v>0</v>
      </c>
    </row>
    <row r="955" spans="2:14" s="1" customFormat="1" ht="30" hidden="1" customHeight="1" x14ac:dyDescent="0.2">
      <c r="B955" s="517">
        <f>IF(AND('Expense Jrnl'!$G459&lt;&gt;"",'Expense Jrnl'!$C459&lt;&gt;""),1,0)</f>
        <v>0</v>
      </c>
      <c r="C955" s="517">
        <f>'Expense Jrnl'!$C459</f>
        <v>0</v>
      </c>
      <c r="D955" s="540">
        <f>'Expense Jrnl'!$D459</f>
        <v>0</v>
      </c>
      <c r="E955" s="1523">
        <f>'Expense Jrnl'!$F459</f>
        <v>0</v>
      </c>
      <c r="F955" s="1523"/>
      <c r="G955" s="519" t="str">
        <f>IF('Expense Jrnl'!$E459="","",'Expense Jrnl'!$E459)</f>
        <v/>
      </c>
      <c r="H955" s="518">
        <f>'Expense Jrnl'!H459</f>
        <v>0</v>
      </c>
      <c r="I955" s="518" t="str">
        <f t="shared" si="28"/>
        <v>0</v>
      </c>
      <c r="J955" s="520" t="b">
        <f t="shared" si="29"/>
        <v>0</v>
      </c>
      <c r="K955" s="541"/>
      <c r="L955" s="541">
        <f>'Expense Jrnl'!$G459</f>
        <v>0</v>
      </c>
      <c r="M955" s="523">
        <f>'Expense Jrnl'!E221</f>
        <v>0</v>
      </c>
      <c r="N955" s="539">
        <f>'Expense Jrnl'!$H221</f>
        <v>0</v>
      </c>
    </row>
    <row r="956" spans="2:14" s="1" customFormat="1" ht="30" hidden="1" customHeight="1" x14ac:dyDescent="0.2">
      <c r="B956" s="517">
        <f>IF(AND('Expense Jrnl'!$G460&lt;&gt;"",'Expense Jrnl'!$C460&lt;&gt;""),1,0)</f>
        <v>0</v>
      </c>
      <c r="C956" s="517">
        <f>'Expense Jrnl'!$C460</f>
        <v>0</v>
      </c>
      <c r="D956" s="540">
        <f>'Expense Jrnl'!$D460</f>
        <v>0</v>
      </c>
      <c r="E956" s="1523">
        <f>'Expense Jrnl'!$F460</f>
        <v>0</v>
      </c>
      <c r="F956" s="1523"/>
      <c r="G956" s="519" t="str">
        <f>IF('Expense Jrnl'!$E460="","",'Expense Jrnl'!$E460)</f>
        <v/>
      </c>
      <c r="H956" s="518">
        <f>'Expense Jrnl'!H460</f>
        <v>0</v>
      </c>
      <c r="I956" s="518" t="str">
        <f t="shared" si="28"/>
        <v>0</v>
      </c>
      <c r="J956" s="520" t="b">
        <f t="shared" si="29"/>
        <v>0</v>
      </c>
      <c r="K956" s="541"/>
      <c r="L956" s="541">
        <f>'Expense Jrnl'!$G460</f>
        <v>0</v>
      </c>
      <c r="M956" s="523">
        <f>'Expense Jrnl'!E222</f>
        <v>0</v>
      </c>
      <c r="N956" s="539">
        <f>'Expense Jrnl'!$H222</f>
        <v>0</v>
      </c>
    </row>
    <row r="957" spans="2:14" s="1" customFormat="1" ht="30" hidden="1" customHeight="1" x14ac:dyDescent="0.2">
      <c r="B957" s="517">
        <f>IF(AND('Expense Jrnl'!$G461&lt;&gt;"",'Expense Jrnl'!$C461&lt;&gt;""),1,0)</f>
        <v>0</v>
      </c>
      <c r="C957" s="517">
        <f>'Expense Jrnl'!$C461</f>
        <v>0</v>
      </c>
      <c r="D957" s="540">
        <f>'Expense Jrnl'!$D461</f>
        <v>0</v>
      </c>
      <c r="E957" s="1523">
        <f>'Expense Jrnl'!$F461</f>
        <v>0</v>
      </c>
      <c r="F957" s="1523"/>
      <c r="G957" s="519" t="str">
        <f>IF('Expense Jrnl'!$E461="","",'Expense Jrnl'!$E461)</f>
        <v/>
      </c>
      <c r="H957" s="518">
        <f>'Expense Jrnl'!H461</f>
        <v>0</v>
      </c>
      <c r="I957" s="518" t="str">
        <f t="shared" si="28"/>
        <v>0</v>
      </c>
      <c r="J957" s="520" t="b">
        <f t="shared" si="29"/>
        <v>0</v>
      </c>
      <c r="K957" s="541"/>
      <c r="L957" s="541">
        <f>'Expense Jrnl'!$G461</f>
        <v>0</v>
      </c>
      <c r="M957" s="523">
        <f>'Expense Jrnl'!E223</f>
        <v>0</v>
      </c>
      <c r="N957" s="539">
        <f>'Expense Jrnl'!$H223</f>
        <v>0</v>
      </c>
    </row>
    <row r="958" spans="2:14" s="1" customFormat="1" ht="30" hidden="1" customHeight="1" x14ac:dyDescent="0.2">
      <c r="B958" s="517">
        <f>IF(AND('Expense Jrnl'!$G462&lt;&gt;"",'Expense Jrnl'!$C462&lt;&gt;""),1,0)</f>
        <v>0</v>
      </c>
      <c r="C958" s="517">
        <f>'Expense Jrnl'!$C462</f>
        <v>0</v>
      </c>
      <c r="D958" s="540">
        <f>'Expense Jrnl'!$D462</f>
        <v>0</v>
      </c>
      <c r="E958" s="1523">
        <f>'Expense Jrnl'!$F462</f>
        <v>0</v>
      </c>
      <c r="F958" s="1523"/>
      <c r="G958" s="519" t="str">
        <f>IF('Expense Jrnl'!$E462="","",'Expense Jrnl'!$E462)</f>
        <v/>
      </c>
      <c r="H958" s="518">
        <f>'Expense Jrnl'!H462</f>
        <v>0</v>
      </c>
      <c r="I958" s="518" t="str">
        <f t="shared" si="28"/>
        <v>0</v>
      </c>
      <c r="J958" s="520" t="b">
        <f t="shared" si="29"/>
        <v>0</v>
      </c>
      <c r="K958" s="541"/>
      <c r="L958" s="541">
        <f>'Expense Jrnl'!$G462</f>
        <v>0</v>
      </c>
      <c r="M958" s="523">
        <f>'Expense Jrnl'!E224</f>
        <v>0</v>
      </c>
      <c r="N958" s="539">
        <f>'Expense Jrnl'!$H224</f>
        <v>0</v>
      </c>
    </row>
    <row r="959" spans="2:14" s="1" customFormat="1" ht="30" hidden="1" customHeight="1" x14ac:dyDescent="0.2">
      <c r="B959" s="517">
        <f>IF(AND('Expense Jrnl'!$G463&lt;&gt;"",'Expense Jrnl'!$C463&lt;&gt;""),1,0)</f>
        <v>0</v>
      </c>
      <c r="C959" s="517">
        <f>'Expense Jrnl'!$C463</f>
        <v>0</v>
      </c>
      <c r="D959" s="540">
        <f>'Expense Jrnl'!$D463</f>
        <v>0</v>
      </c>
      <c r="E959" s="1523">
        <f>'Expense Jrnl'!$F463</f>
        <v>0</v>
      </c>
      <c r="F959" s="1523"/>
      <c r="G959" s="519" t="str">
        <f>IF('Expense Jrnl'!$E463="","",'Expense Jrnl'!$E463)</f>
        <v/>
      </c>
      <c r="H959" s="518">
        <f>'Expense Jrnl'!H463</f>
        <v>0</v>
      </c>
      <c r="I959" s="518" t="str">
        <f t="shared" si="28"/>
        <v>0</v>
      </c>
      <c r="J959" s="520" t="b">
        <f t="shared" si="29"/>
        <v>0</v>
      </c>
      <c r="K959" s="541"/>
      <c r="L959" s="541">
        <f>'Expense Jrnl'!$G463</f>
        <v>0</v>
      </c>
      <c r="M959" s="523">
        <f>'Expense Jrnl'!E225</f>
        <v>0</v>
      </c>
      <c r="N959" s="539">
        <f>'Expense Jrnl'!$H225</f>
        <v>0</v>
      </c>
    </row>
    <row r="960" spans="2:14" s="1" customFormat="1" ht="30" hidden="1" customHeight="1" x14ac:dyDescent="0.2">
      <c r="B960" s="517">
        <f>IF(AND('Expense Jrnl'!$G464&lt;&gt;"",'Expense Jrnl'!$C464&lt;&gt;""),1,0)</f>
        <v>0</v>
      </c>
      <c r="C960" s="517">
        <f>'Expense Jrnl'!$C464</f>
        <v>0</v>
      </c>
      <c r="D960" s="540">
        <f>'Expense Jrnl'!$D464</f>
        <v>0</v>
      </c>
      <c r="E960" s="1523">
        <f>'Expense Jrnl'!$F464</f>
        <v>0</v>
      </c>
      <c r="F960" s="1523"/>
      <c r="G960" s="519" t="str">
        <f>IF('Expense Jrnl'!$E464="","",'Expense Jrnl'!$E464)</f>
        <v/>
      </c>
      <c r="H960" s="518">
        <f>'Expense Jrnl'!H464</f>
        <v>0</v>
      </c>
      <c r="I960" s="518" t="str">
        <f t="shared" ref="I960:I1011" si="30">LEFT(H960,4)</f>
        <v>0</v>
      </c>
      <c r="J960" s="520" t="b">
        <f t="shared" ref="J960:J1011" si="31">IF(I960="1020",IF(G960&gt;=$E$3,IF(G960&lt;=$G$3,L960,0)))</f>
        <v>0</v>
      </c>
      <c r="K960" s="541"/>
      <c r="L960" s="541">
        <f>'Expense Jrnl'!$G464</f>
        <v>0</v>
      </c>
      <c r="M960" s="523">
        <f>'Expense Jrnl'!E226</f>
        <v>0</v>
      </c>
      <c r="N960" s="539">
        <f>'Expense Jrnl'!$H226</f>
        <v>0</v>
      </c>
    </row>
    <row r="961" spans="2:14" s="1" customFormat="1" ht="30" hidden="1" customHeight="1" x14ac:dyDescent="0.2">
      <c r="B961" s="517">
        <f>IF(AND('Expense Jrnl'!$G465&lt;&gt;"",'Expense Jrnl'!$C465&lt;&gt;""),1,0)</f>
        <v>0</v>
      </c>
      <c r="C961" s="517">
        <f>'Expense Jrnl'!$C465</f>
        <v>0</v>
      </c>
      <c r="D961" s="540">
        <f>'Expense Jrnl'!$D465</f>
        <v>0</v>
      </c>
      <c r="E961" s="1523">
        <f>'Expense Jrnl'!$F465</f>
        <v>0</v>
      </c>
      <c r="F961" s="1523"/>
      <c r="G961" s="519" t="str">
        <f>IF('Expense Jrnl'!$E465="","",'Expense Jrnl'!$E465)</f>
        <v/>
      </c>
      <c r="H961" s="518">
        <f>'Expense Jrnl'!H465</f>
        <v>0</v>
      </c>
      <c r="I961" s="518" t="str">
        <f t="shared" si="30"/>
        <v>0</v>
      </c>
      <c r="J961" s="520" t="b">
        <f t="shared" si="31"/>
        <v>0</v>
      </c>
      <c r="K961" s="541"/>
      <c r="L961" s="541">
        <f>'Expense Jrnl'!$G465</f>
        <v>0</v>
      </c>
      <c r="M961" s="523">
        <f>'Expense Jrnl'!E227</f>
        <v>0</v>
      </c>
      <c r="N961" s="539">
        <f>'Expense Jrnl'!$H227</f>
        <v>0</v>
      </c>
    </row>
    <row r="962" spans="2:14" s="1" customFormat="1" ht="30" hidden="1" customHeight="1" x14ac:dyDescent="0.2">
      <c r="B962" s="517">
        <f>IF(AND('Expense Jrnl'!$G466&lt;&gt;"",'Expense Jrnl'!$C466&lt;&gt;""),1,0)</f>
        <v>0</v>
      </c>
      <c r="C962" s="517">
        <f>'Expense Jrnl'!$C466</f>
        <v>0</v>
      </c>
      <c r="D962" s="540">
        <f>'Expense Jrnl'!$D466</f>
        <v>0</v>
      </c>
      <c r="E962" s="1523">
        <f>'Expense Jrnl'!$F466</f>
        <v>0</v>
      </c>
      <c r="F962" s="1523"/>
      <c r="G962" s="519" t="str">
        <f>IF('Expense Jrnl'!$E466="","",'Expense Jrnl'!$E466)</f>
        <v/>
      </c>
      <c r="H962" s="518">
        <f>'Expense Jrnl'!H466</f>
        <v>0</v>
      </c>
      <c r="I962" s="518" t="str">
        <f t="shared" si="30"/>
        <v>0</v>
      </c>
      <c r="J962" s="520" t="b">
        <f t="shared" si="31"/>
        <v>0</v>
      </c>
      <c r="K962" s="541"/>
      <c r="L962" s="541">
        <f>'Expense Jrnl'!$G466</f>
        <v>0</v>
      </c>
      <c r="M962" s="523">
        <f>'Expense Jrnl'!E228</f>
        <v>0</v>
      </c>
      <c r="N962" s="539">
        <f>'Expense Jrnl'!$H228</f>
        <v>0</v>
      </c>
    </row>
    <row r="963" spans="2:14" s="1" customFormat="1" ht="30" hidden="1" customHeight="1" x14ac:dyDescent="0.2">
      <c r="B963" s="517">
        <f>IF(AND('Expense Jrnl'!$G467&lt;&gt;"",'Expense Jrnl'!$C467&lt;&gt;""),1,0)</f>
        <v>0</v>
      </c>
      <c r="C963" s="517">
        <f>'Expense Jrnl'!$C467</f>
        <v>0</v>
      </c>
      <c r="D963" s="540">
        <f>'Expense Jrnl'!$D467</f>
        <v>0</v>
      </c>
      <c r="E963" s="1523">
        <f>'Expense Jrnl'!$F467</f>
        <v>0</v>
      </c>
      <c r="F963" s="1523"/>
      <c r="G963" s="519" t="str">
        <f>IF('Expense Jrnl'!$E467="","",'Expense Jrnl'!$E467)</f>
        <v/>
      </c>
      <c r="H963" s="518">
        <f>'Expense Jrnl'!H467</f>
        <v>0</v>
      </c>
      <c r="I963" s="518" t="str">
        <f t="shared" si="30"/>
        <v>0</v>
      </c>
      <c r="J963" s="520" t="b">
        <f t="shared" si="31"/>
        <v>0</v>
      </c>
      <c r="K963" s="541"/>
      <c r="L963" s="541">
        <f>'Expense Jrnl'!$G467</f>
        <v>0</v>
      </c>
      <c r="M963" s="523">
        <f>'Expense Jrnl'!E229</f>
        <v>0</v>
      </c>
      <c r="N963" s="539">
        <f>'Expense Jrnl'!$H229</f>
        <v>0</v>
      </c>
    </row>
    <row r="964" spans="2:14" s="1" customFormat="1" ht="30" hidden="1" customHeight="1" x14ac:dyDescent="0.2">
      <c r="B964" s="517">
        <f>IF(AND('Expense Jrnl'!$G468&lt;&gt;"",'Expense Jrnl'!$C468&lt;&gt;""),1,0)</f>
        <v>0</v>
      </c>
      <c r="C964" s="517">
        <f>'Expense Jrnl'!$C468</f>
        <v>0</v>
      </c>
      <c r="D964" s="540">
        <f>'Expense Jrnl'!$D468</f>
        <v>0</v>
      </c>
      <c r="E964" s="1523">
        <f>'Expense Jrnl'!$F468</f>
        <v>0</v>
      </c>
      <c r="F964" s="1523"/>
      <c r="G964" s="519" t="str">
        <f>IF('Expense Jrnl'!$E468="","",'Expense Jrnl'!$E468)</f>
        <v/>
      </c>
      <c r="H964" s="518">
        <f>'Expense Jrnl'!H468</f>
        <v>0</v>
      </c>
      <c r="I964" s="518" t="str">
        <f t="shared" si="30"/>
        <v>0</v>
      </c>
      <c r="J964" s="520" t="b">
        <f t="shared" si="31"/>
        <v>0</v>
      </c>
      <c r="K964" s="541"/>
      <c r="L964" s="541">
        <f>'Expense Jrnl'!$G468</f>
        <v>0</v>
      </c>
      <c r="M964" s="523">
        <f>'Expense Jrnl'!E230</f>
        <v>0</v>
      </c>
      <c r="N964" s="539">
        <f>'Expense Jrnl'!$H230</f>
        <v>0</v>
      </c>
    </row>
    <row r="965" spans="2:14" s="1" customFormat="1" ht="30" hidden="1" customHeight="1" x14ac:dyDescent="0.2">
      <c r="B965" s="517">
        <f>IF(AND('Expense Jrnl'!$G469&lt;&gt;"",'Expense Jrnl'!$C469&lt;&gt;""),1,0)</f>
        <v>0</v>
      </c>
      <c r="C965" s="517">
        <f>'Expense Jrnl'!$C469</f>
        <v>0</v>
      </c>
      <c r="D965" s="540">
        <f>'Expense Jrnl'!$D469</f>
        <v>0</v>
      </c>
      <c r="E965" s="1523">
        <f>'Expense Jrnl'!$F469</f>
        <v>0</v>
      </c>
      <c r="F965" s="1523"/>
      <c r="G965" s="519" t="str">
        <f>IF('Expense Jrnl'!$E469="","",'Expense Jrnl'!$E469)</f>
        <v/>
      </c>
      <c r="H965" s="518">
        <f>'Expense Jrnl'!H469</f>
        <v>0</v>
      </c>
      <c r="I965" s="518" t="str">
        <f t="shared" si="30"/>
        <v>0</v>
      </c>
      <c r="J965" s="520" t="b">
        <f t="shared" si="31"/>
        <v>0</v>
      </c>
      <c r="K965" s="541"/>
      <c r="L965" s="541">
        <f>'Expense Jrnl'!$G469</f>
        <v>0</v>
      </c>
      <c r="M965" s="523">
        <f>'Expense Jrnl'!E231</f>
        <v>0</v>
      </c>
      <c r="N965" s="539">
        <f>'Expense Jrnl'!$H231</f>
        <v>0</v>
      </c>
    </row>
    <row r="966" spans="2:14" s="1" customFormat="1" ht="30" hidden="1" customHeight="1" x14ac:dyDescent="0.2">
      <c r="B966" s="517">
        <f>IF(AND('Expense Jrnl'!$G470&lt;&gt;"",'Expense Jrnl'!$C470&lt;&gt;""),1,0)</f>
        <v>0</v>
      </c>
      <c r="C966" s="517">
        <f>'Expense Jrnl'!$C470</f>
        <v>0</v>
      </c>
      <c r="D966" s="540">
        <f>'Expense Jrnl'!$D470</f>
        <v>0</v>
      </c>
      <c r="E966" s="1523">
        <f>'Expense Jrnl'!$F470</f>
        <v>0</v>
      </c>
      <c r="F966" s="1523"/>
      <c r="G966" s="519" t="str">
        <f>IF('Expense Jrnl'!$E470="","",'Expense Jrnl'!$E470)</f>
        <v/>
      </c>
      <c r="H966" s="518">
        <f>'Expense Jrnl'!H470</f>
        <v>0</v>
      </c>
      <c r="I966" s="518" t="str">
        <f t="shared" si="30"/>
        <v>0</v>
      </c>
      <c r="J966" s="520" t="b">
        <f t="shared" si="31"/>
        <v>0</v>
      </c>
      <c r="K966" s="541"/>
      <c r="L966" s="541">
        <f>'Expense Jrnl'!$G470</f>
        <v>0</v>
      </c>
      <c r="M966" s="523">
        <f>'Expense Jrnl'!E232</f>
        <v>0</v>
      </c>
      <c r="N966" s="539">
        <f>'Expense Jrnl'!$H232</f>
        <v>0</v>
      </c>
    </row>
    <row r="967" spans="2:14" s="1" customFormat="1" ht="30" hidden="1" customHeight="1" x14ac:dyDescent="0.2">
      <c r="B967" s="517">
        <f>IF(AND('Expense Jrnl'!$G471&lt;&gt;"",'Expense Jrnl'!$C471&lt;&gt;""),1,0)</f>
        <v>0</v>
      </c>
      <c r="C967" s="517">
        <f>'Expense Jrnl'!$C471</f>
        <v>0</v>
      </c>
      <c r="D967" s="540">
        <f>'Expense Jrnl'!$D471</f>
        <v>0</v>
      </c>
      <c r="E967" s="1523">
        <f>'Expense Jrnl'!$F471</f>
        <v>0</v>
      </c>
      <c r="F967" s="1523"/>
      <c r="G967" s="519" t="str">
        <f>IF('Expense Jrnl'!$E471="","",'Expense Jrnl'!$E471)</f>
        <v/>
      </c>
      <c r="H967" s="518">
        <f>'Expense Jrnl'!H471</f>
        <v>0</v>
      </c>
      <c r="I967" s="518" t="str">
        <f t="shared" si="30"/>
        <v>0</v>
      </c>
      <c r="J967" s="520" t="b">
        <f t="shared" si="31"/>
        <v>0</v>
      </c>
      <c r="K967" s="541"/>
      <c r="L967" s="541">
        <f>'Expense Jrnl'!$G471</f>
        <v>0</v>
      </c>
      <c r="M967" s="523">
        <f>'Expense Jrnl'!E233</f>
        <v>0</v>
      </c>
      <c r="N967" s="539">
        <f>'Expense Jrnl'!$H233</f>
        <v>0</v>
      </c>
    </row>
    <row r="968" spans="2:14" s="1" customFormat="1" ht="30" hidden="1" customHeight="1" x14ac:dyDescent="0.2">
      <c r="B968" s="517">
        <f>IF(AND('Expense Jrnl'!$G472&lt;&gt;"",'Expense Jrnl'!$C472&lt;&gt;""),1,0)</f>
        <v>0</v>
      </c>
      <c r="C968" s="517">
        <f>'Expense Jrnl'!$C472</f>
        <v>0</v>
      </c>
      <c r="D968" s="540">
        <f>'Expense Jrnl'!$D472</f>
        <v>0</v>
      </c>
      <c r="E968" s="1523">
        <f>'Expense Jrnl'!$F472</f>
        <v>0</v>
      </c>
      <c r="F968" s="1523"/>
      <c r="G968" s="519" t="str">
        <f>IF('Expense Jrnl'!$E472="","",'Expense Jrnl'!$E472)</f>
        <v/>
      </c>
      <c r="H968" s="518">
        <f>'Expense Jrnl'!H472</f>
        <v>0</v>
      </c>
      <c r="I968" s="518" t="str">
        <f t="shared" si="30"/>
        <v>0</v>
      </c>
      <c r="J968" s="520" t="b">
        <f t="shared" si="31"/>
        <v>0</v>
      </c>
      <c r="K968" s="541"/>
      <c r="L968" s="541">
        <f>'Expense Jrnl'!$G472</f>
        <v>0</v>
      </c>
      <c r="M968" s="523">
        <f>'Expense Jrnl'!E234</f>
        <v>0</v>
      </c>
      <c r="N968" s="539">
        <f>'Expense Jrnl'!$H234</f>
        <v>0</v>
      </c>
    </row>
    <row r="969" spans="2:14" s="1" customFormat="1" ht="30" hidden="1" customHeight="1" x14ac:dyDescent="0.2">
      <c r="B969" s="517">
        <f>IF(AND('Expense Jrnl'!$G473&lt;&gt;"",'Expense Jrnl'!$C473&lt;&gt;""),1,0)</f>
        <v>0</v>
      </c>
      <c r="C969" s="517">
        <f>'Expense Jrnl'!$C473</f>
        <v>0</v>
      </c>
      <c r="D969" s="540">
        <f>'Expense Jrnl'!$D473</f>
        <v>0</v>
      </c>
      <c r="E969" s="1523">
        <f>'Expense Jrnl'!$F473</f>
        <v>0</v>
      </c>
      <c r="F969" s="1523"/>
      <c r="G969" s="519" t="str">
        <f>IF('Expense Jrnl'!$E473="","",'Expense Jrnl'!$E473)</f>
        <v/>
      </c>
      <c r="H969" s="518">
        <f>'Expense Jrnl'!H473</f>
        <v>0</v>
      </c>
      <c r="I969" s="518" t="str">
        <f t="shared" si="30"/>
        <v>0</v>
      </c>
      <c r="J969" s="520" t="b">
        <f t="shared" si="31"/>
        <v>0</v>
      </c>
      <c r="K969" s="541"/>
      <c r="L969" s="541">
        <f>'Expense Jrnl'!$G473</f>
        <v>0</v>
      </c>
      <c r="M969" s="523">
        <f>'Expense Jrnl'!E235</f>
        <v>0</v>
      </c>
      <c r="N969" s="539">
        <f>'Expense Jrnl'!$H235</f>
        <v>0</v>
      </c>
    </row>
    <row r="970" spans="2:14" s="1" customFormat="1" ht="30" hidden="1" customHeight="1" x14ac:dyDescent="0.2">
      <c r="B970" s="517">
        <f>IF(AND('Expense Jrnl'!$G474&lt;&gt;"",'Expense Jrnl'!$C474&lt;&gt;""),1,0)</f>
        <v>0</v>
      </c>
      <c r="C970" s="517">
        <f>'Expense Jrnl'!$C474</f>
        <v>0</v>
      </c>
      <c r="D970" s="540">
        <f>'Expense Jrnl'!$D474</f>
        <v>0</v>
      </c>
      <c r="E970" s="1523">
        <f>'Expense Jrnl'!$F474</f>
        <v>0</v>
      </c>
      <c r="F970" s="1523"/>
      <c r="G970" s="519" t="str">
        <f>IF('Expense Jrnl'!$E474="","",'Expense Jrnl'!$E474)</f>
        <v/>
      </c>
      <c r="H970" s="518">
        <f>'Expense Jrnl'!H474</f>
        <v>0</v>
      </c>
      <c r="I970" s="518" t="str">
        <f t="shared" si="30"/>
        <v>0</v>
      </c>
      <c r="J970" s="520" t="b">
        <f t="shared" si="31"/>
        <v>0</v>
      </c>
      <c r="K970" s="541"/>
      <c r="L970" s="541">
        <f>'Expense Jrnl'!$G474</f>
        <v>0</v>
      </c>
      <c r="M970" s="523">
        <f>'Expense Jrnl'!E236</f>
        <v>0</v>
      </c>
      <c r="N970" s="539">
        <f>'Expense Jrnl'!$H236</f>
        <v>0</v>
      </c>
    </row>
    <row r="971" spans="2:14" s="1" customFormat="1" ht="30" hidden="1" customHeight="1" x14ac:dyDescent="0.2">
      <c r="B971" s="517">
        <f>IF(AND('Expense Jrnl'!$G475&lt;&gt;"",'Expense Jrnl'!$C475&lt;&gt;""),1,0)</f>
        <v>0</v>
      </c>
      <c r="C971" s="517">
        <f>'Expense Jrnl'!$C475</f>
        <v>0</v>
      </c>
      <c r="D971" s="540">
        <f>'Expense Jrnl'!$D475</f>
        <v>0</v>
      </c>
      <c r="E971" s="1523">
        <f>'Expense Jrnl'!$F475</f>
        <v>0</v>
      </c>
      <c r="F971" s="1523"/>
      <c r="G971" s="519" t="str">
        <f>IF('Expense Jrnl'!$E475="","",'Expense Jrnl'!$E475)</f>
        <v/>
      </c>
      <c r="H971" s="518">
        <f>'Expense Jrnl'!H475</f>
        <v>0</v>
      </c>
      <c r="I971" s="518" t="str">
        <f t="shared" si="30"/>
        <v>0</v>
      </c>
      <c r="J971" s="520" t="b">
        <f t="shared" si="31"/>
        <v>0</v>
      </c>
      <c r="K971" s="541"/>
      <c r="L971" s="541">
        <f>'Expense Jrnl'!$G475</f>
        <v>0</v>
      </c>
      <c r="M971" s="523">
        <f>'Expense Jrnl'!E237</f>
        <v>0</v>
      </c>
      <c r="N971" s="539">
        <f>'Expense Jrnl'!$H237</f>
        <v>0</v>
      </c>
    </row>
    <row r="972" spans="2:14" s="1" customFormat="1" ht="30" hidden="1" customHeight="1" x14ac:dyDescent="0.2">
      <c r="B972" s="517">
        <f>IF(AND('Expense Jrnl'!$G476&lt;&gt;"",'Expense Jrnl'!$C476&lt;&gt;""),1,0)</f>
        <v>0</v>
      </c>
      <c r="C972" s="517">
        <f>'Expense Jrnl'!$C476</f>
        <v>0</v>
      </c>
      <c r="D972" s="540">
        <f>'Expense Jrnl'!$D476</f>
        <v>0</v>
      </c>
      <c r="E972" s="1523">
        <f>'Expense Jrnl'!$F476</f>
        <v>0</v>
      </c>
      <c r="F972" s="1523"/>
      <c r="G972" s="519" t="str">
        <f>IF('Expense Jrnl'!$E476="","",'Expense Jrnl'!$E476)</f>
        <v/>
      </c>
      <c r="H972" s="518">
        <f>'Expense Jrnl'!H476</f>
        <v>0</v>
      </c>
      <c r="I972" s="518" t="str">
        <f t="shared" si="30"/>
        <v>0</v>
      </c>
      <c r="J972" s="520" t="b">
        <f t="shared" si="31"/>
        <v>0</v>
      </c>
      <c r="K972" s="541"/>
      <c r="L972" s="541">
        <f>'Expense Jrnl'!$G476</f>
        <v>0</v>
      </c>
      <c r="M972" s="523">
        <f>'Expense Jrnl'!E238</f>
        <v>0</v>
      </c>
      <c r="N972" s="539">
        <f>'Expense Jrnl'!$H238</f>
        <v>0</v>
      </c>
    </row>
    <row r="973" spans="2:14" s="1" customFormat="1" ht="30" hidden="1" customHeight="1" x14ac:dyDescent="0.2">
      <c r="B973" s="517">
        <f>IF(AND('Expense Jrnl'!$G477&lt;&gt;"",'Expense Jrnl'!$C477&lt;&gt;""),1,0)</f>
        <v>0</v>
      </c>
      <c r="C973" s="517">
        <f>'Expense Jrnl'!$C477</f>
        <v>0</v>
      </c>
      <c r="D973" s="540">
        <f>'Expense Jrnl'!$D477</f>
        <v>0</v>
      </c>
      <c r="E973" s="1523">
        <f>'Expense Jrnl'!$F477</f>
        <v>0</v>
      </c>
      <c r="F973" s="1523"/>
      <c r="G973" s="519" t="str">
        <f>IF('Expense Jrnl'!$E477="","",'Expense Jrnl'!$E477)</f>
        <v/>
      </c>
      <c r="H973" s="518">
        <f>'Expense Jrnl'!H477</f>
        <v>0</v>
      </c>
      <c r="I973" s="518" t="str">
        <f t="shared" si="30"/>
        <v>0</v>
      </c>
      <c r="J973" s="520" t="b">
        <f t="shared" si="31"/>
        <v>0</v>
      </c>
      <c r="K973" s="541"/>
      <c r="L973" s="541">
        <f>'Expense Jrnl'!$G477</f>
        <v>0</v>
      </c>
      <c r="M973" s="523">
        <f>'Expense Jrnl'!E239</f>
        <v>0</v>
      </c>
      <c r="N973" s="539">
        <f>'Expense Jrnl'!$H239</f>
        <v>0</v>
      </c>
    </row>
    <row r="974" spans="2:14" s="1" customFormat="1" ht="30" hidden="1" customHeight="1" x14ac:dyDescent="0.2">
      <c r="B974" s="517">
        <f>IF(AND('Expense Jrnl'!$G478&lt;&gt;"",'Expense Jrnl'!$C478&lt;&gt;""),1,0)</f>
        <v>0</v>
      </c>
      <c r="C974" s="517">
        <f>'Expense Jrnl'!$C478</f>
        <v>0</v>
      </c>
      <c r="D974" s="540">
        <f>'Expense Jrnl'!$D478</f>
        <v>0</v>
      </c>
      <c r="E974" s="1523">
        <f>'Expense Jrnl'!$F478</f>
        <v>0</v>
      </c>
      <c r="F974" s="1523"/>
      <c r="G974" s="519" t="str">
        <f>IF('Expense Jrnl'!$E478="","",'Expense Jrnl'!$E478)</f>
        <v/>
      </c>
      <c r="H974" s="518">
        <f>'Expense Jrnl'!H478</f>
        <v>0</v>
      </c>
      <c r="I974" s="518" t="str">
        <f t="shared" si="30"/>
        <v>0</v>
      </c>
      <c r="J974" s="520" t="b">
        <f t="shared" si="31"/>
        <v>0</v>
      </c>
      <c r="K974" s="541"/>
      <c r="L974" s="541">
        <f>'Expense Jrnl'!$G478</f>
        <v>0</v>
      </c>
      <c r="M974" s="523">
        <f>'Expense Jrnl'!E240</f>
        <v>0</v>
      </c>
      <c r="N974" s="539">
        <f>'Expense Jrnl'!$H240</f>
        <v>0</v>
      </c>
    </row>
    <row r="975" spans="2:14" s="1" customFormat="1" ht="30" hidden="1" customHeight="1" x14ac:dyDescent="0.2">
      <c r="B975" s="517">
        <f>IF(AND('Expense Jrnl'!$G479&lt;&gt;"",'Expense Jrnl'!$C479&lt;&gt;""),1,0)</f>
        <v>0</v>
      </c>
      <c r="C975" s="517">
        <f>'Expense Jrnl'!$C479</f>
        <v>0</v>
      </c>
      <c r="D975" s="540">
        <f>'Expense Jrnl'!$D479</f>
        <v>0</v>
      </c>
      <c r="E975" s="1523">
        <f>'Expense Jrnl'!$F479</f>
        <v>0</v>
      </c>
      <c r="F975" s="1523"/>
      <c r="G975" s="519" t="str">
        <f>IF('Expense Jrnl'!$E479="","",'Expense Jrnl'!$E479)</f>
        <v/>
      </c>
      <c r="H975" s="518">
        <f>'Expense Jrnl'!H479</f>
        <v>0</v>
      </c>
      <c r="I975" s="518" t="str">
        <f t="shared" si="30"/>
        <v>0</v>
      </c>
      <c r="J975" s="520" t="b">
        <f t="shared" si="31"/>
        <v>0</v>
      </c>
      <c r="K975" s="541"/>
      <c r="L975" s="541">
        <f>'Expense Jrnl'!$G479</f>
        <v>0</v>
      </c>
      <c r="M975" s="523">
        <f>'Expense Jrnl'!E241</f>
        <v>0</v>
      </c>
      <c r="N975" s="539">
        <f>'Expense Jrnl'!$H241</f>
        <v>0</v>
      </c>
    </row>
    <row r="976" spans="2:14" s="1" customFormat="1" ht="30" hidden="1" customHeight="1" x14ac:dyDescent="0.2">
      <c r="B976" s="517">
        <f>IF(AND('Expense Jrnl'!$G480&lt;&gt;"",'Expense Jrnl'!$C480&lt;&gt;""),1,0)</f>
        <v>0</v>
      </c>
      <c r="C976" s="517">
        <f>'Expense Jrnl'!$C480</f>
        <v>0</v>
      </c>
      <c r="D976" s="540">
        <f>'Expense Jrnl'!$D480</f>
        <v>0</v>
      </c>
      <c r="E976" s="1523">
        <f>'Expense Jrnl'!$F480</f>
        <v>0</v>
      </c>
      <c r="F976" s="1523"/>
      <c r="G976" s="519" t="str">
        <f>IF('Expense Jrnl'!$E480="","",'Expense Jrnl'!$E480)</f>
        <v/>
      </c>
      <c r="H976" s="518">
        <f>'Expense Jrnl'!H480</f>
        <v>0</v>
      </c>
      <c r="I976" s="518" t="str">
        <f t="shared" si="30"/>
        <v>0</v>
      </c>
      <c r="J976" s="520" t="b">
        <f t="shared" si="31"/>
        <v>0</v>
      </c>
      <c r="K976" s="541"/>
      <c r="L976" s="541">
        <f>'Expense Jrnl'!$G480</f>
        <v>0</v>
      </c>
      <c r="M976" s="523">
        <f>'Expense Jrnl'!E242</f>
        <v>0</v>
      </c>
      <c r="N976" s="539">
        <f>'Expense Jrnl'!$H242</f>
        <v>0</v>
      </c>
    </row>
    <row r="977" spans="2:14" s="1" customFormat="1" ht="30" hidden="1" customHeight="1" x14ac:dyDescent="0.2">
      <c r="B977" s="517">
        <f>IF(AND('Expense Jrnl'!$G481&lt;&gt;"",'Expense Jrnl'!$C481&lt;&gt;""),1,0)</f>
        <v>0</v>
      </c>
      <c r="C977" s="517">
        <f>'Expense Jrnl'!$C481</f>
        <v>0</v>
      </c>
      <c r="D977" s="540">
        <f>'Expense Jrnl'!$D481</f>
        <v>0</v>
      </c>
      <c r="E977" s="1523">
        <f>'Expense Jrnl'!$F481</f>
        <v>0</v>
      </c>
      <c r="F977" s="1523"/>
      <c r="G977" s="519" t="str">
        <f>IF('Expense Jrnl'!$E481="","",'Expense Jrnl'!$E481)</f>
        <v/>
      </c>
      <c r="H977" s="518">
        <f>'Expense Jrnl'!H481</f>
        <v>0</v>
      </c>
      <c r="I977" s="518" t="str">
        <f t="shared" si="30"/>
        <v>0</v>
      </c>
      <c r="J977" s="520" t="b">
        <f t="shared" si="31"/>
        <v>0</v>
      </c>
      <c r="K977" s="541"/>
      <c r="L977" s="541">
        <f>'Expense Jrnl'!$G481</f>
        <v>0</v>
      </c>
      <c r="M977" s="523">
        <f>'Expense Jrnl'!E243</f>
        <v>0</v>
      </c>
      <c r="N977" s="539">
        <f>'Expense Jrnl'!$H243</f>
        <v>0</v>
      </c>
    </row>
    <row r="978" spans="2:14" s="1" customFormat="1" ht="30" hidden="1" customHeight="1" x14ac:dyDescent="0.2">
      <c r="B978" s="517">
        <f>IF(AND('Expense Jrnl'!$G482&lt;&gt;"",'Expense Jrnl'!$C482&lt;&gt;""),1,0)</f>
        <v>0</v>
      </c>
      <c r="C978" s="517">
        <f>'Expense Jrnl'!$C482</f>
        <v>0</v>
      </c>
      <c r="D978" s="540">
        <f>'Expense Jrnl'!$D482</f>
        <v>0</v>
      </c>
      <c r="E978" s="1523">
        <f>'Expense Jrnl'!$F482</f>
        <v>0</v>
      </c>
      <c r="F978" s="1523"/>
      <c r="G978" s="519" t="str">
        <f>IF('Expense Jrnl'!$E482="","",'Expense Jrnl'!$E482)</f>
        <v/>
      </c>
      <c r="H978" s="518">
        <f>'Expense Jrnl'!H482</f>
        <v>0</v>
      </c>
      <c r="I978" s="518" t="str">
        <f t="shared" si="30"/>
        <v>0</v>
      </c>
      <c r="J978" s="520" t="b">
        <f t="shared" si="31"/>
        <v>0</v>
      </c>
      <c r="K978" s="541"/>
      <c r="L978" s="541">
        <f>'Expense Jrnl'!$G482</f>
        <v>0</v>
      </c>
      <c r="M978" s="523">
        <f>'Expense Jrnl'!E244</f>
        <v>0</v>
      </c>
      <c r="N978" s="539">
        <f>'Expense Jrnl'!$H244</f>
        <v>0</v>
      </c>
    </row>
    <row r="979" spans="2:14" s="1" customFormat="1" ht="30" hidden="1" customHeight="1" x14ac:dyDescent="0.2">
      <c r="B979" s="517">
        <f>IF(AND('Expense Jrnl'!$G483&lt;&gt;"",'Expense Jrnl'!$C483&lt;&gt;""),1,0)</f>
        <v>0</v>
      </c>
      <c r="C979" s="517">
        <f>'Expense Jrnl'!$C483</f>
        <v>0</v>
      </c>
      <c r="D979" s="540">
        <f>'Expense Jrnl'!$D483</f>
        <v>0</v>
      </c>
      <c r="E979" s="1523">
        <f>'Expense Jrnl'!$F483</f>
        <v>0</v>
      </c>
      <c r="F979" s="1523"/>
      <c r="G979" s="519" t="str">
        <f>IF('Expense Jrnl'!$E483="","",'Expense Jrnl'!$E483)</f>
        <v/>
      </c>
      <c r="H979" s="518">
        <f>'Expense Jrnl'!H483</f>
        <v>0</v>
      </c>
      <c r="I979" s="518" t="str">
        <f t="shared" si="30"/>
        <v>0</v>
      </c>
      <c r="J979" s="520" t="b">
        <f t="shared" si="31"/>
        <v>0</v>
      </c>
      <c r="K979" s="541"/>
      <c r="L979" s="541">
        <f>'Expense Jrnl'!$G483</f>
        <v>0</v>
      </c>
      <c r="M979" s="523">
        <f>'Expense Jrnl'!E245</f>
        <v>0</v>
      </c>
      <c r="N979" s="539">
        <f>'Expense Jrnl'!$H245</f>
        <v>0</v>
      </c>
    </row>
    <row r="980" spans="2:14" s="1" customFormat="1" ht="30" hidden="1" customHeight="1" x14ac:dyDescent="0.2">
      <c r="B980" s="517">
        <f>IF(AND('Expense Jrnl'!$G484&lt;&gt;"",'Expense Jrnl'!$C484&lt;&gt;""),1,0)</f>
        <v>0</v>
      </c>
      <c r="C980" s="517">
        <f>'Expense Jrnl'!$C484</f>
        <v>0</v>
      </c>
      <c r="D980" s="540">
        <f>'Expense Jrnl'!$D484</f>
        <v>0</v>
      </c>
      <c r="E980" s="1523">
        <f>'Expense Jrnl'!$F484</f>
        <v>0</v>
      </c>
      <c r="F980" s="1523"/>
      <c r="G980" s="519" t="str">
        <f>IF('Expense Jrnl'!$E484="","",'Expense Jrnl'!$E484)</f>
        <v/>
      </c>
      <c r="H980" s="518">
        <f>'Expense Jrnl'!H484</f>
        <v>0</v>
      </c>
      <c r="I980" s="518" t="str">
        <f t="shared" si="30"/>
        <v>0</v>
      </c>
      <c r="J980" s="520" t="b">
        <f t="shared" si="31"/>
        <v>0</v>
      </c>
      <c r="K980" s="541"/>
      <c r="L980" s="541">
        <f>'Expense Jrnl'!$G484</f>
        <v>0</v>
      </c>
      <c r="M980" s="523">
        <f>'Expense Jrnl'!E246</f>
        <v>0</v>
      </c>
      <c r="N980" s="539">
        <f>'Expense Jrnl'!$H246</f>
        <v>0</v>
      </c>
    </row>
    <row r="981" spans="2:14" s="1" customFormat="1" ht="30" hidden="1" customHeight="1" x14ac:dyDescent="0.2">
      <c r="B981" s="517">
        <f>IF(AND('Expense Jrnl'!$G485&lt;&gt;"",'Expense Jrnl'!$C485&lt;&gt;""),1,0)</f>
        <v>0</v>
      </c>
      <c r="C981" s="517">
        <f>'Expense Jrnl'!$C485</f>
        <v>0</v>
      </c>
      <c r="D981" s="540">
        <f>'Expense Jrnl'!$D485</f>
        <v>0</v>
      </c>
      <c r="E981" s="1523">
        <f>'Expense Jrnl'!$F485</f>
        <v>0</v>
      </c>
      <c r="F981" s="1523"/>
      <c r="G981" s="519" t="str">
        <f>IF('Expense Jrnl'!$E485="","",'Expense Jrnl'!$E485)</f>
        <v/>
      </c>
      <c r="H981" s="518">
        <f>'Expense Jrnl'!H485</f>
        <v>0</v>
      </c>
      <c r="I981" s="518" t="str">
        <f t="shared" si="30"/>
        <v>0</v>
      </c>
      <c r="J981" s="520" t="b">
        <f t="shared" si="31"/>
        <v>0</v>
      </c>
      <c r="K981" s="541"/>
      <c r="L981" s="541">
        <f>'Expense Jrnl'!$G485</f>
        <v>0</v>
      </c>
      <c r="M981" s="523">
        <f>'Expense Jrnl'!E247</f>
        <v>0</v>
      </c>
      <c r="N981" s="539">
        <f>'Expense Jrnl'!$H247</f>
        <v>0</v>
      </c>
    </row>
    <row r="982" spans="2:14" s="1" customFormat="1" ht="30" hidden="1" customHeight="1" x14ac:dyDescent="0.2">
      <c r="B982" s="517">
        <f>IF(AND('Expense Jrnl'!$G486&lt;&gt;"",'Expense Jrnl'!$C486&lt;&gt;""),1,0)</f>
        <v>0</v>
      </c>
      <c r="C982" s="517">
        <f>'Expense Jrnl'!$C486</f>
        <v>0</v>
      </c>
      <c r="D982" s="540">
        <f>'Expense Jrnl'!$D486</f>
        <v>0</v>
      </c>
      <c r="E982" s="1523">
        <f>'Expense Jrnl'!$F486</f>
        <v>0</v>
      </c>
      <c r="F982" s="1523"/>
      <c r="G982" s="519" t="str">
        <f>IF('Expense Jrnl'!$E486="","",'Expense Jrnl'!$E486)</f>
        <v/>
      </c>
      <c r="H982" s="518">
        <f>'Expense Jrnl'!H486</f>
        <v>0</v>
      </c>
      <c r="I982" s="518" t="str">
        <f t="shared" si="30"/>
        <v>0</v>
      </c>
      <c r="J982" s="520" t="b">
        <f t="shared" si="31"/>
        <v>0</v>
      </c>
      <c r="K982" s="541"/>
      <c r="L982" s="541">
        <f>'Expense Jrnl'!$G486</f>
        <v>0</v>
      </c>
      <c r="M982" s="523">
        <f>'Expense Jrnl'!E248</f>
        <v>0</v>
      </c>
      <c r="N982" s="539">
        <f>'Expense Jrnl'!$H248</f>
        <v>0</v>
      </c>
    </row>
    <row r="983" spans="2:14" s="1" customFormat="1" ht="30" hidden="1" customHeight="1" x14ac:dyDescent="0.2">
      <c r="B983" s="517">
        <f>IF(AND('Expense Jrnl'!$G487&lt;&gt;"",'Expense Jrnl'!$C487&lt;&gt;""),1,0)</f>
        <v>0</v>
      </c>
      <c r="C983" s="517">
        <f>'Expense Jrnl'!$C487</f>
        <v>0</v>
      </c>
      <c r="D983" s="540">
        <f>'Expense Jrnl'!$D487</f>
        <v>0</v>
      </c>
      <c r="E983" s="1523">
        <f>'Expense Jrnl'!$F487</f>
        <v>0</v>
      </c>
      <c r="F983" s="1523"/>
      <c r="G983" s="519" t="str">
        <f>IF('Expense Jrnl'!$E487="","",'Expense Jrnl'!$E487)</f>
        <v/>
      </c>
      <c r="H983" s="518">
        <f>'Expense Jrnl'!H487</f>
        <v>0</v>
      </c>
      <c r="I983" s="518" t="str">
        <f t="shared" si="30"/>
        <v>0</v>
      </c>
      <c r="J983" s="520" t="b">
        <f t="shared" si="31"/>
        <v>0</v>
      </c>
      <c r="K983" s="541"/>
      <c r="L983" s="541">
        <f>'Expense Jrnl'!$G487</f>
        <v>0</v>
      </c>
      <c r="M983" s="523">
        <f>'Expense Jrnl'!E249</f>
        <v>0</v>
      </c>
      <c r="N983" s="539">
        <f>'Expense Jrnl'!$H249</f>
        <v>0</v>
      </c>
    </row>
    <row r="984" spans="2:14" s="1" customFormat="1" ht="30" hidden="1" customHeight="1" x14ac:dyDescent="0.2">
      <c r="B984" s="517">
        <f>IF(AND('Expense Jrnl'!$G488&lt;&gt;"",'Expense Jrnl'!$C488&lt;&gt;""),1,0)</f>
        <v>0</v>
      </c>
      <c r="C984" s="517">
        <f>'Expense Jrnl'!$C488</f>
        <v>0</v>
      </c>
      <c r="D984" s="540">
        <f>'Expense Jrnl'!$D488</f>
        <v>0</v>
      </c>
      <c r="E984" s="1523">
        <f>'Expense Jrnl'!$F488</f>
        <v>0</v>
      </c>
      <c r="F984" s="1523"/>
      <c r="G984" s="519" t="str">
        <f>IF('Expense Jrnl'!$E488="","",'Expense Jrnl'!$E488)</f>
        <v/>
      </c>
      <c r="H984" s="518">
        <f>'Expense Jrnl'!H488</f>
        <v>0</v>
      </c>
      <c r="I984" s="518" t="str">
        <f t="shared" si="30"/>
        <v>0</v>
      </c>
      <c r="J984" s="520" t="b">
        <f t="shared" si="31"/>
        <v>0</v>
      </c>
      <c r="K984" s="541"/>
      <c r="L984" s="541">
        <f>'Expense Jrnl'!$G488</f>
        <v>0</v>
      </c>
      <c r="M984" s="523">
        <f>'Expense Jrnl'!E250</f>
        <v>0</v>
      </c>
      <c r="N984" s="539">
        <f>'Expense Jrnl'!$H250</f>
        <v>0</v>
      </c>
    </row>
    <row r="985" spans="2:14" s="1" customFormat="1" ht="30" hidden="1" customHeight="1" x14ac:dyDescent="0.2">
      <c r="B985" s="517">
        <f>IF(AND('Expense Jrnl'!$G489&lt;&gt;"",'Expense Jrnl'!$C489&lt;&gt;""),1,0)</f>
        <v>0</v>
      </c>
      <c r="C985" s="517">
        <f>'Expense Jrnl'!$C489</f>
        <v>0</v>
      </c>
      <c r="D985" s="540">
        <f>'Expense Jrnl'!$D489</f>
        <v>0</v>
      </c>
      <c r="E985" s="1523">
        <f>'Expense Jrnl'!$F489</f>
        <v>0</v>
      </c>
      <c r="F985" s="1523"/>
      <c r="G985" s="519" t="str">
        <f>IF('Expense Jrnl'!$E489="","",'Expense Jrnl'!$E489)</f>
        <v/>
      </c>
      <c r="H985" s="518">
        <f>'Expense Jrnl'!H489</f>
        <v>0</v>
      </c>
      <c r="I985" s="518" t="str">
        <f t="shared" si="30"/>
        <v>0</v>
      </c>
      <c r="J985" s="520" t="b">
        <f t="shared" si="31"/>
        <v>0</v>
      </c>
      <c r="K985" s="541"/>
      <c r="L985" s="541">
        <f>'Expense Jrnl'!$G489</f>
        <v>0</v>
      </c>
      <c r="M985" s="523">
        <f>'Expense Jrnl'!E251</f>
        <v>0</v>
      </c>
      <c r="N985" s="539">
        <f>'Expense Jrnl'!$H251</f>
        <v>0</v>
      </c>
    </row>
    <row r="986" spans="2:14" s="1" customFormat="1" ht="30" hidden="1" customHeight="1" x14ac:dyDescent="0.2">
      <c r="B986" s="517">
        <f>IF(AND('Expense Jrnl'!$G490&lt;&gt;"",'Expense Jrnl'!$C490&lt;&gt;""),1,0)</f>
        <v>0</v>
      </c>
      <c r="C986" s="517">
        <f>'Expense Jrnl'!$C490</f>
        <v>0</v>
      </c>
      <c r="D986" s="540">
        <f>'Expense Jrnl'!$D490</f>
        <v>0</v>
      </c>
      <c r="E986" s="1523">
        <f>'Expense Jrnl'!$F490</f>
        <v>0</v>
      </c>
      <c r="F986" s="1523"/>
      <c r="G986" s="519" t="str">
        <f>IF('Expense Jrnl'!$E490="","",'Expense Jrnl'!$E490)</f>
        <v/>
      </c>
      <c r="H986" s="518">
        <f>'Expense Jrnl'!H490</f>
        <v>0</v>
      </c>
      <c r="I986" s="518" t="str">
        <f t="shared" si="30"/>
        <v>0</v>
      </c>
      <c r="J986" s="520" t="b">
        <f t="shared" si="31"/>
        <v>0</v>
      </c>
      <c r="K986" s="541"/>
      <c r="L986" s="541">
        <f>'Expense Jrnl'!$G490</f>
        <v>0</v>
      </c>
      <c r="M986" s="523">
        <f>'Expense Jrnl'!E252</f>
        <v>0</v>
      </c>
      <c r="N986" s="539">
        <f>'Expense Jrnl'!$H252</f>
        <v>0</v>
      </c>
    </row>
    <row r="987" spans="2:14" s="1" customFormat="1" ht="30" hidden="1" customHeight="1" x14ac:dyDescent="0.2">
      <c r="B987" s="517">
        <f>IF(AND('Expense Jrnl'!$G491&lt;&gt;"",'Expense Jrnl'!$C491&lt;&gt;""),1,0)</f>
        <v>0</v>
      </c>
      <c r="C987" s="517">
        <f>'Expense Jrnl'!$C491</f>
        <v>0</v>
      </c>
      <c r="D987" s="540">
        <f>'Expense Jrnl'!$D491</f>
        <v>0</v>
      </c>
      <c r="E987" s="1523">
        <f>'Expense Jrnl'!$F491</f>
        <v>0</v>
      </c>
      <c r="F987" s="1523"/>
      <c r="G987" s="519" t="str">
        <f>IF('Expense Jrnl'!$E491="","",'Expense Jrnl'!$E491)</f>
        <v/>
      </c>
      <c r="H987" s="518">
        <f>'Expense Jrnl'!H491</f>
        <v>0</v>
      </c>
      <c r="I987" s="518" t="str">
        <f t="shared" si="30"/>
        <v>0</v>
      </c>
      <c r="J987" s="520" t="b">
        <f t="shared" si="31"/>
        <v>0</v>
      </c>
      <c r="K987" s="541"/>
      <c r="L987" s="541">
        <f>'Expense Jrnl'!$G491</f>
        <v>0</v>
      </c>
      <c r="M987" s="523">
        <f>'Expense Jrnl'!E253</f>
        <v>0</v>
      </c>
      <c r="N987" s="539">
        <f>'Expense Jrnl'!$H253</f>
        <v>0</v>
      </c>
    </row>
    <row r="988" spans="2:14" s="1" customFormat="1" ht="30" hidden="1" customHeight="1" x14ac:dyDescent="0.2">
      <c r="B988" s="517">
        <f>IF(AND('Expense Jrnl'!$G492&lt;&gt;"",'Expense Jrnl'!$C492&lt;&gt;""),1,0)</f>
        <v>0</v>
      </c>
      <c r="C988" s="517">
        <f>'Expense Jrnl'!$C492</f>
        <v>0</v>
      </c>
      <c r="D988" s="540">
        <f>'Expense Jrnl'!$D492</f>
        <v>0</v>
      </c>
      <c r="E988" s="1523">
        <f>'Expense Jrnl'!$F492</f>
        <v>0</v>
      </c>
      <c r="F988" s="1523"/>
      <c r="G988" s="519" t="str">
        <f>IF('Expense Jrnl'!$E492="","",'Expense Jrnl'!$E492)</f>
        <v/>
      </c>
      <c r="H988" s="518">
        <f>'Expense Jrnl'!H492</f>
        <v>0</v>
      </c>
      <c r="I988" s="518" t="str">
        <f t="shared" si="30"/>
        <v>0</v>
      </c>
      <c r="J988" s="520" t="b">
        <f t="shared" si="31"/>
        <v>0</v>
      </c>
      <c r="K988" s="541"/>
      <c r="L988" s="541">
        <f>'Expense Jrnl'!$G492</f>
        <v>0</v>
      </c>
      <c r="M988" s="523">
        <f>'Expense Jrnl'!E254</f>
        <v>0</v>
      </c>
      <c r="N988" s="539">
        <f>'Expense Jrnl'!$H254</f>
        <v>0</v>
      </c>
    </row>
    <row r="989" spans="2:14" s="1" customFormat="1" ht="30" hidden="1" customHeight="1" x14ac:dyDescent="0.2">
      <c r="B989" s="517">
        <f>IF(AND('Expense Jrnl'!$G493&lt;&gt;"",'Expense Jrnl'!$C493&lt;&gt;""),1,0)</f>
        <v>0</v>
      </c>
      <c r="C989" s="517">
        <f>'Expense Jrnl'!$C493</f>
        <v>0</v>
      </c>
      <c r="D989" s="540">
        <f>'Expense Jrnl'!$D493</f>
        <v>0</v>
      </c>
      <c r="E989" s="1523">
        <f>'Expense Jrnl'!$F493</f>
        <v>0</v>
      </c>
      <c r="F989" s="1523"/>
      <c r="G989" s="519" t="str">
        <f>IF('Expense Jrnl'!$E493="","",'Expense Jrnl'!$E493)</f>
        <v/>
      </c>
      <c r="H989" s="518">
        <f>'Expense Jrnl'!H493</f>
        <v>0</v>
      </c>
      <c r="I989" s="518" t="str">
        <f t="shared" si="30"/>
        <v>0</v>
      </c>
      <c r="J989" s="520" t="b">
        <f t="shared" si="31"/>
        <v>0</v>
      </c>
      <c r="K989" s="541"/>
      <c r="L989" s="541">
        <f>'Expense Jrnl'!$G493</f>
        <v>0</v>
      </c>
      <c r="M989" s="523">
        <f>'Expense Jrnl'!E255</f>
        <v>0</v>
      </c>
      <c r="N989" s="539">
        <f>'Expense Jrnl'!$H255</f>
        <v>0</v>
      </c>
    </row>
    <row r="990" spans="2:14" s="1" customFormat="1" ht="30" hidden="1" customHeight="1" x14ac:dyDescent="0.2">
      <c r="B990" s="517">
        <f>IF(AND('Expense Jrnl'!$G494&lt;&gt;"",'Expense Jrnl'!$C494&lt;&gt;""),1,0)</f>
        <v>0</v>
      </c>
      <c r="C990" s="517">
        <f>'Expense Jrnl'!$C494</f>
        <v>0</v>
      </c>
      <c r="D990" s="540">
        <f>'Expense Jrnl'!$D494</f>
        <v>0</v>
      </c>
      <c r="E990" s="1523">
        <f>'Expense Jrnl'!$F494</f>
        <v>0</v>
      </c>
      <c r="F990" s="1523"/>
      <c r="G990" s="519" t="str">
        <f>IF('Expense Jrnl'!$E494="","",'Expense Jrnl'!$E494)</f>
        <v/>
      </c>
      <c r="H990" s="518">
        <f>'Expense Jrnl'!H494</f>
        <v>0</v>
      </c>
      <c r="I990" s="518" t="str">
        <f t="shared" si="30"/>
        <v>0</v>
      </c>
      <c r="J990" s="520" t="b">
        <f t="shared" si="31"/>
        <v>0</v>
      </c>
      <c r="K990" s="541"/>
      <c r="L990" s="541">
        <f>'Expense Jrnl'!$G494</f>
        <v>0</v>
      </c>
      <c r="M990" s="523">
        <f>'Expense Jrnl'!E256</f>
        <v>0</v>
      </c>
      <c r="N990" s="539">
        <f>'Expense Jrnl'!$H256</f>
        <v>0</v>
      </c>
    </row>
    <row r="991" spans="2:14" s="1" customFormat="1" ht="30" hidden="1" customHeight="1" x14ac:dyDescent="0.2">
      <c r="B991" s="517">
        <f>IF(AND('Expense Jrnl'!$G495&lt;&gt;"",'Expense Jrnl'!$C495&lt;&gt;""),1,0)</f>
        <v>0</v>
      </c>
      <c r="C991" s="517">
        <f>'Expense Jrnl'!$C495</f>
        <v>0</v>
      </c>
      <c r="D991" s="540">
        <f>'Expense Jrnl'!$D495</f>
        <v>0</v>
      </c>
      <c r="E991" s="1523">
        <f>'Expense Jrnl'!$F495</f>
        <v>0</v>
      </c>
      <c r="F991" s="1523"/>
      <c r="G991" s="519" t="str">
        <f>IF('Expense Jrnl'!$E495="","",'Expense Jrnl'!$E495)</f>
        <v/>
      </c>
      <c r="H991" s="518">
        <f>'Expense Jrnl'!H495</f>
        <v>0</v>
      </c>
      <c r="I991" s="518" t="str">
        <f t="shared" si="30"/>
        <v>0</v>
      </c>
      <c r="J991" s="520" t="b">
        <f t="shared" si="31"/>
        <v>0</v>
      </c>
      <c r="K991" s="541"/>
      <c r="L991" s="541">
        <f>'Expense Jrnl'!$G495</f>
        <v>0</v>
      </c>
      <c r="M991" s="523">
        <f>'Expense Jrnl'!E257</f>
        <v>0</v>
      </c>
      <c r="N991" s="539">
        <f>'Expense Jrnl'!$H257</f>
        <v>0</v>
      </c>
    </row>
    <row r="992" spans="2:14" s="1" customFormat="1" ht="30" hidden="1" customHeight="1" x14ac:dyDescent="0.2">
      <c r="B992" s="517">
        <f>IF(AND('Expense Jrnl'!$G496&lt;&gt;"",'Expense Jrnl'!$C496&lt;&gt;""),1,0)</f>
        <v>0</v>
      </c>
      <c r="C992" s="517">
        <f>'Expense Jrnl'!$C496</f>
        <v>0</v>
      </c>
      <c r="D992" s="540">
        <f>'Expense Jrnl'!$D496</f>
        <v>0</v>
      </c>
      <c r="E992" s="1523">
        <f>'Expense Jrnl'!$F496</f>
        <v>0</v>
      </c>
      <c r="F992" s="1523"/>
      <c r="G992" s="519" t="str">
        <f>IF('Expense Jrnl'!$E496="","",'Expense Jrnl'!$E496)</f>
        <v/>
      </c>
      <c r="H992" s="518">
        <f>'Expense Jrnl'!H496</f>
        <v>0</v>
      </c>
      <c r="I992" s="518" t="str">
        <f t="shared" si="30"/>
        <v>0</v>
      </c>
      <c r="J992" s="520" t="b">
        <f t="shared" si="31"/>
        <v>0</v>
      </c>
      <c r="K992" s="541"/>
      <c r="L992" s="541">
        <f>'Expense Jrnl'!$G496</f>
        <v>0</v>
      </c>
      <c r="M992" s="523">
        <f>'Expense Jrnl'!E258</f>
        <v>0</v>
      </c>
      <c r="N992" s="539">
        <f>'Expense Jrnl'!$H258</f>
        <v>0</v>
      </c>
    </row>
    <row r="993" spans="2:14" s="1" customFormat="1" ht="30" hidden="1" customHeight="1" x14ac:dyDescent="0.2">
      <c r="B993" s="517">
        <f>IF(AND('Expense Jrnl'!$G497&lt;&gt;"",'Expense Jrnl'!$C497&lt;&gt;""),1,0)</f>
        <v>0</v>
      </c>
      <c r="C993" s="517">
        <f>'Expense Jrnl'!$C497</f>
        <v>0</v>
      </c>
      <c r="D993" s="540">
        <f>'Expense Jrnl'!$D497</f>
        <v>0</v>
      </c>
      <c r="E993" s="1523">
        <f>'Expense Jrnl'!$F497</f>
        <v>0</v>
      </c>
      <c r="F993" s="1523"/>
      <c r="G993" s="519" t="str">
        <f>IF('Expense Jrnl'!$E497="","",'Expense Jrnl'!$E497)</f>
        <v/>
      </c>
      <c r="H993" s="518">
        <f>'Expense Jrnl'!H497</f>
        <v>0</v>
      </c>
      <c r="I993" s="518" t="str">
        <f t="shared" si="30"/>
        <v>0</v>
      </c>
      <c r="J993" s="520" t="b">
        <f t="shared" si="31"/>
        <v>0</v>
      </c>
      <c r="K993" s="541"/>
      <c r="L993" s="541">
        <f>'Expense Jrnl'!$G497</f>
        <v>0</v>
      </c>
      <c r="M993" s="523">
        <f>'Expense Jrnl'!E259</f>
        <v>0</v>
      </c>
      <c r="N993" s="539">
        <f>'Expense Jrnl'!$H259</f>
        <v>0</v>
      </c>
    </row>
    <row r="994" spans="2:14" s="1" customFormat="1" ht="30" hidden="1" customHeight="1" x14ac:dyDescent="0.2">
      <c r="B994" s="517">
        <f>IF(AND('Expense Jrnl'!$G498&lt;&gt;"",'Expense Jrnl'!$C498&lt;&gt;""),1,0)</f>
        <v>0</v>
      </c>
      <c r="C994" s="517">
        <f>'Expense Jrnl'!$C498</f>
        <v>0</v>
      </c>
      <c r="D994" s="540">
        <f>'Expense Jrnl'!$D498</f>
        <v>0</v>
      </c>
      <c r="E994" s="1523">
        <f>'Expense Jrnl'!$F498</f>
        <v>0</v>
      </c>
      <c r="F994" s="1523"/>
      <c r="G994" s="519" t="str">
        <f>IF('Expense Jrnl'!$E498="","",'Expense Jrnl'!$E498)</f>
        <v/>
      </c>
      <c r="H994" s="518">
        <f>'Expense Jrnl'!H498</f>
        <v>0</v>
      </c>
      <c r="I994" s="518" t="str">
        <f t="shared" si="30"/>
        <v>0</v>
      </c>
      <c r="J994" s="520" t="b">
        <f t="shared" si="31"/>
        <v>0</v>
      </c>
      <c r="K994" s="541"/>
      <c r="L994" s="541">
        <f>'Expense Jrnl'!$G498</f>
        <v>0</v>
      </c>
      <c r="M994" s="523">
        <f>'Expense Jrnl'!E260</f>
        <v>0</v>
      </c>
      <c r="N994" s="539">
        <f>'Expense Jrnl'!$H260</f>
        <v>0</v>
      </c>
    </row>
    <row r="995" spans="2:14" s="1" customFormat="1" ht="30" hidden="1" customHeight="1" x14ac:dyDescent="0.2">
      <c r="B995" s="517">
        <f>IF(AND('Expense Jrnl'!$G499&lt;&gt;"",'Expense Jrnl'!$C499&lt;&gt;""),1,0)</f>
        <v>0</v>
      </c>
      <c r="C995" s="517">
        <f>'Expense Jrnl'!$C499</f>
        <v>0</v>
      </c>
      <c r="D995" s="540">
        <f>'Expense Jrnl'!$D499</f>
        <v>0</v>
      </c>
      <c r="E995" s="1523">
        <f>'Expense Jrnl'!$F499</f>
        <v>0</v>
      </c>
      <c r="F995" s="1523"/>
      <c r="G995" s="519" t="str">
        <f>IF('Expense Jrnl'!$E499="","",'Expense Jrnl'!$E499)</f>
        <v/>
      </c>
      <c r="H995" s="518">
        <f>'Expense Jrnl'!H499</f>
        <v>0</v>
      </c>
      <c r="I995" s="518" t="str">
        <f t="shared" si="30"/>
        <v>0</v>
      </c>
      <c r="J995" s="520" t="b">
        <f t="shared" si="31"/>
        <v>0</v>
      </c>
      <c r="K995" s="541"/>
      <c r="L995" s="541">
        <f>'Expense Jrnl'!$G499</f>
        <v>0</v>
      </c>
      <c r="M995" s="523">
        <f>'Expense Jrnl'!E261</f>
        <v>0</v>
      </c>
      <c r="N995" s="539">
        <f>'Expense Jrnl'!$H261</f>
        <v>0</v>
      </c>
    </row>
    <row r="996" spans="2:14" s="1" customFormat="1" ht="30" hidden="1" customHeight="1" x14ac:dyDescent="0.2">
      <c r="B996" s="517">
        <f>IF(AND('Expense Jrnl'!$G500&lt;&gt;"",'Expense Jrnl'!$C500&lt;&gt;""),1,0)</f>
        <v>0</v>
      </c>
      <c r="C996" s="517">
        <f>'Expense Jrnl'!$C500</f>
        <v>0</v>
      </c>
      <c r="D996" s="540">
        <f>'Expense Jrnl'!$D500</f>
        <v>0</v>
      </c>
      <c r="E996" s="1523">
        <f>'Expense Jrnl'!$F500</f>
        <v>0</v>
      </c>
      <c r="F996" s="1523"/>
      <c r="G996" s="519" t="str">
        <f>IF('Expense Jrnl'!$E500="","",'Expense Jrnl'!$E500)</f>
        <v/>
      </c>
      <c r="H996" s="518">
        <f>'Expense Jrnl'!H500</f>
        <v>0</v>
      </c>
      <c r="I996" s="518" t="str">
        <f t="shared" si="30"/>
        <v>0</v>
      </c>
      <c r="J996" s="520" t="b">
        <f t="shared" si="31"/>
        <v>0</v>
      </c>
      <c r="K996" s="541"/>
      <c r="L996" s="541">
        <f>'Expense Jrnl'!$G500</f>
        <v>0</v>
      </c>
      <c r="M996" s="523">
        <f>'Expense Jrnl'!E262</f>
        <v>0</v>
      </c>
      <c r="N996" s="539">
        <f>'Expense Jrnl'!$H262</f>
        <v>0</v>
      </c>
    </row>
    <row r="997" spans="2:14" s="1" customFormat="1" ht="30" hidden="1" customHeight="1" x14ac:dyDescent="0.2">
      <c r="B997" s="517">
        <f>IF(AND('Expense Jrnl'!$G501&lt;&gt;"",'Expense Jrnl'!$C501&lt;&gt;""),1,0)</f>
        <v>0</v>
      </c>
      <c r="C997" s="517">
        <f>'Expense Jrnl'!$C501</f>
        <v>0</v>
      </c>
      <c r="D997" s="540">
        <f>'Expense Jrnl'!$D501</f>
        <v>0</v>
      </c>
      <c r="E997" s="1523">
        <f>'Expense Jrnl'!$F501</f>
        <v>0</v>
      </c>
      <c r="F997" s="1523"/>
      <c r="G997" s="519" t="str">
        <f>IF('Expense Jrnl'!$E501="","",'Expense Jrnl'!$E501)</f>
        <v/>
      </c>
      <c r="H997" s="518">
        <f>'Expense Jrnl'!H501</f>
        <v>0</v>
      </c>
      <c r="I997" s="518" t="str">
        <f t="shared" si="30"/>
        <v>0</v>
      </c>
      <c r="J997" s="520" t="b">
        <f t="shared" si="31"/>
        <v>0</v>
      </c>
      <c r="K997" s="541"/>
      <c r="L997" s="541">
        <f>'Expense Jrnl'!$G501</f>
        <v>0</v>
      </c>
      <c r="M997" s="523">
        <f>'Expense Jrnl'!E263</f>
        <v>0</v>
      </c>
      <c r="N997" s="539">
        <f>'Expense Jrnl'!$H263</f>
        <v>0</v>
      </c>
    </row>
    <row r="998" spans="2:14" s="1" customFormat="1" ht="30" hidden="1" customHeight="1" x14ac:dyDescent="0.2">
      <c r="B998" s="517">
        <f>IF(AND('Expense Jrnl'!$G502&lt;&gt;"",'Expense Jrnl'!$C502&lt;&gt;""),1,0)</f>
        <v>0</v>
      </c>
      <c r="C998" s="517">
        <f>'Expense Jrnl'!$C502</f>
        <v>0</v>
      </c>
      <c r="D998" s="540">
        <f>'Expense Jrnl'!$D502</f>
        <v>0</v>
      </c>
      <c r="E998" s="1523">
        <f>'Expense Jrnl'!$F502</f>
        <v>0</v>
      </c>
      <c r="F998" s="1523"/>
      <c r="G998" s="519" t="str">
        <f>IF('Expense Jrnl'!$E502="","",'Expense Jrnl'!$E502)</f>
        <v/>
      </c>
      <c r="H998" s="518">
        <f>'Expense Jrnl'!H502</f>
        <v>0</v>
      </c>
      <c r="I998" s="518" t="str">
        <f t="shared" si="30"/>
        <v>0</v>
      </c>
      <c r="J998" s="520" t="b">
        <f t="shared" si="31"/>
        <v>0</v>
      </c>
      <c r="K998" s="541"/>
      <c r="L998" s="541">
        <f>'Expense Jrnl'!$G502</f>
        <v>0</v>
      </c>
      <c r="M998" s="523">
        <f>'Expense Jrnl'!E264</f>
        <v>0</v>
      </c>
      <c r="N998" s="539">
        <f>'Expense Jrnl'!$H264</f>
        <v>0</v>
      </c>
    </row>
    <row r="999" spans="2:14" s="1" customFormat="1" ht="30" hidden="1" customHeight="1" x14ac:dyDescent="0.2">
      <c r="B999" s="517">
        <f>IF(AND('Expense Jrnl'!$G503&lt;&gt;"",'Expense Jrnl'!$C503&lt;&gt;""),1,0)</f>
        <v>0</v>
      </c>
      <c r="C999" s="517">
        <f>'Expense Jrnl'!$C503</f>
        <v>0</v>
      </c>
      <c r="D999" s="540">
        <f>'Expense Jrnl'!$D503</f>
        <v>0</v>
      </c>
      <c r="E999" s="1523">
        <f>'Expense Jrnl'!$F503</f>
        <v>0</v>
      </c>
      <c r="F999" s="1523"/>
      <c r="G999" s="519" t="str">
        <f>IF('Expense Jrnl'!$E503="","",'Expense Jrnl'!$E503)</f>
        <v/>
      </c>
      <c r="H999" s="518">
        <f>'Expense Jrnl'!H503</f>
        <v>0</v>
      </c>
      <c r="I999" s="518" t="str">
        <f t="shared" si="30"/>
        <v>0</v>
      </c>
      <c r="J999" s="520" t="b">
        <f t="shared" si="31"/>
        <v>0</v>
      </c>
      <c r="K999" s="541"/>
      <c r="L999" s="541">
        <f>'Expense Jrnl'!$G503</f>
        <v>0</v>
      </c>
      <c r="M999" s="523">
        <f>'Expense Jrnl'!E265</f>
        <v>0</v>
      </c>
      <c r="N999" s="539">
        <f>'Expense Jrnl'!$H265</f>
        <v>0</v>
      </c>
    </row>
    <row r="1000" spans="2:14" s="1" customFormat="1" ht="30" hidden="1" customHeight="1" x14ac:dyDescent="0.2">
      <c r="B1000" s="517">
        <f>IF(AND('Expense Jrnl'!$G504&lt;&gt;"",'Expense Jrnl'!$C504&lt;&gt;""),1,0)</f>
        <v>0</v>
      </c>
      <c r="C1000" s="517">
        <f>'Expense Jrnl'!$C504</f>
        <v>0</v>
      </c>
      <c r="D1000" s="540">
        <f>'Expense Jrnl'!$D504</f>
        <v>0</v>
      </c>
      <c r="E1000" s="1523">
        <f>'Expense Jrnl'!$F504</f>
        <v>0</v>
      </c>
      <c r="F1000" s="1523"/>
      <c r="G1000" s="519" t="str">
        <f>IF('Expense Jrnl'!$E504="","",'Expense Jrnl'!$E504)</f>
        <v/>
      </c>
      <c r="H1000" s="518">
        <f>'Expense Jrnl'!H504</f>
        <v>0</v>
      </c>
      <c r="I1000" s="518" t="str">
        <f t="shared" si="30"/>
        <v>0</v>
      </c>
      <c r="J1000" s="520" t="b">
        <f t="shared" si="31"/>
        <v>0</v>
      </c>
      <c r="K1000" s="541"/>
      <c r="L1000" s="541">
        <f>'Expense Jrnl'!$G504</f>
        <v>0</v>
      </c>
      <c r="M1000" s="523">
        <f>'Expense Jrnl'!E266</f>
        <v>0</v>
      </c>
      <c r="N1000" s="539">
        <f>'Expense Jrnl'!$H266</f>
        <v>0</v>
      </c>
    </row>
    <row r="1001" spans="2:14" s="1" customFormat="1" ht="30" hidden="1" customHeight="1" x14ac:dyDescent="0.2">
      <c r="B1001" s="517">
        <f>IF(AND('Expense Jrnl'!$G505&lt;&gt;"",'Expense Jrnl'!$C505&lt;&gt;""),1,0)</f>
        <v>0</v>
      </c>
      <c r="C1001" s="517">
        <f>'Expense Jrnl'!$C505</f>
        <v>0</v>
      </c>
      <c r="D1001" s="540">
        <f>'Expense Jrnl'!$D505</f>
        <v>0</v>
      </c>
      <c r="E1001" s="1523">
        <f>'Expense Jrnl'!$F505</f>
        <v>0</v>
      </c>
      <c r="F1001" s="1523"/>
      <c r="G1001" s="519" t="str">
        <f>IF('Expense Jrnl'!$E505="","",'Expense Jrnl'!$E505)</f>
        <v/>
      </c>
      <c r="H1001" s="518">
        <f>'Expense Jrnl'!H505</f>
        <v>0</v>
      </c>
      <c r="I1001" s="518" t="str">
        <f t="shared" si="30"/>
        <v>0</v>
      </c>
      <c r="J1001" s="520" t="b">
        <f t="shared" si="31"/>
        <v>0</v>
      </c>
      <c r="K1001" s="541"/>
      <c r="L1001" s="541">
        <f>'Expense Jrnl'!$G505</f>
        <v>0</v>
      </c>
      <c r="M1001" s="523">
        <f>'Expense Jrnl'!E267</f>
        <v>0</v>
      </c>
      <c r="N1001" s="539">
        <f>'Expense Jrnl'!$H267</f>
        <v>0</v>
      </c>
    </row>
    <row r="1002" spans="2:14" s="1" customFormat="1" ht="30" hidden="1" customHeight="1" x14ac:dyDescent="0.2">
      <c r="B1002" s="517">
        <f>IF(AND('Expense Jrnl'!$G506&lt;&gt;"",'Expense Jrnl'!$C506&lt;&gt;""),1,0)</f>
        <v>0</v>
      </c>
      <c r="C1002" s="517">
        <f>'Expense Jrnl'!$C506</f>
        <v>0</v>
      </c>
      <c r="D1002" s="540">
        <f>'Expense Jrnl'!$D506</f>
        <v>0</v>
      </c>
      <c r="E1002" s="1523">
        <f>'Expense Jrnl'!$F506</f>
        <v>0</v>
      </c>
      <c r="F1002" s="1523"/>
      <c r="G1002" s="519" t="str">
        <f>IF('Expense Jrnl'!$E506="","",'Expense Jrnl'!$E506)</f>
        <v/>
      </c>
      <c r="H1002" s="518">
        <f>'Expense Jrnl'!H506</f>
        <v>0</v>
      </c>
      <c r="I1002" s="518" t="str">
        <f t="shared" si="30"/>
        <v>0</v>
      </c>
      <c r="J1002" s="520" t="b">
        <f t="shared" si="31"/>
        <v>0</v>
      </c>
      <c r="K1002" s="541"/>
      <c r="L1002" s="541">
        <f>'Expense Jrnl'!$G506</f>
        <v>0</v>
      </c>
      <c r="M1002" s="523">
        <f>'Expense Jrnl'!E268</f>
        <v>0</v>
      </c>
      <c r="N1002" s="539">
        <f>'Expense Jrnl'!$H268</f>
        <v>0</v>
      </c>
    </row>
    <row r="1003" spans="2:14" s="1" customFormat="1" ht="30" hidden="1" customHeight="1" x14ac:dyDescent="0.2">
      <c r="B1003" s="517">
        <f>IF(AND('Expense Jrnl'!$G507&lt;&gt;"",'Expense Jrnl'!$C507&lt;&gt;""),1,0)</f>
        <v>0</v>
      </c>
      <c r="C1003" s="517">
        <f>'Expense Jrnl'!$C507</f>
        <v>0</v>
      </c>
      <c r="D1003" s="540">
        <f>'Expense Jrnl'!$D507</f>
        <v>0</v>
      </c>
      <c r="E1003" s="1523">
        <f>'Expense Jrnl'!$F507</f>
        <v>0</v>
      </c>
      <c r="F1003" s="1523"/>
      <c r="G1003" s="519" t="str">
        <f>IF('Expense Jrnl'!$E507="","",'Expense Jrnl'!$E507)</f>
        <v/>
      </c>
      <c r="H1003" s="518">
        <f>'Expense Jrnl'!H507</f>
        <v>0</v>
      </c>
      <c r="I1003" s="518" t="str">
        <f t="shared" si="30"/>
        <v>0</v>
      </c>
      <c r="J1003" s="520" t="b">
        <f t="shared" si="31"/>
        <v>0</v>
      </c>
      <c r="K1003" s="541"/>
      <c r="L1003" s="541">
        <f>'Expense Jrnl'!$G507</f>
        <v>0</v>
      </c>
      <c r="M1003" s="523">
        <f>'Expense Jrnl'!E269</f>
        <v>0</v>
      </c>
      <c r="N1003" s="539">
        <f>'Expense Jrnl'!$H269</f>
        <v>0</v>
      </c>
    </row>
    <row r="1004" spans="2:14" s="1" customFormat="1" ht="30" hidden="1" customHeight="1" x14ac:dyDescent="0.2">
      <c r="B1004" s="517">
        <f>IF(AND('Expense Jrnl'!$G508&lt;&gt;"",'Expense Jrnl'!$C508&lt;&gt;""),1,0)</f>
        <v>0</v>
      </c>
      <c r="C1004" s="517">
        <f>'Expense Jrnl'!$C508</f>
        <v>0</v>
      </c>
      <c r="D1004" s="540">
        <f>'Expense Jrnl'!$D508</f>
        <v>0</v>
      </c>
      <c r="E1004" s="1523">
        <f>'Expense Jrnl'!$F508</f>
        <v>0</v>
      </c>
      <c r="F1004" s="1523"/>
      <c r="G1004" s="519" t="str">
        <f>IF('Expense Jrnl'!$E508="","",'Expense Jrnl'!$E508)</f>
        <v/>
      </c>
      <c r="H1004" s="518">
        <f>'Expense Jrnl'!H508</f>
        <v>0</v>
      </c>
      <c r="I1004" s="518" t="str">
        <f t="shared" si="30"/>
        <v>0</v>
      </c>
      <c r="J1004" s="520" t="b">
        <f t="shared" si="31"/>
        <v>0</v>
      </c>
      <c r="K1004" s="541"/>
      <c r="L1004" s="541">
        <f>'Expense Jrnl'!$G508</f>
        <v>0</v>
      </c>
      <c r="M1004" s="523">
        <f>'Expense Jrnl'!E270</f>
        <v>0</v>
      </c>
      <c r="N1004" s="539">
        <f>'Expense Jrnl'!$H270</f>
        <v>0</v>
      </c>
    </row>
    <row r="1005" spans="2:14" s="1" customFormat="1" ht="30" hidden="1" customHeight="1" x14ac:dyDescent="0.2">
      <c r="B1005" s="517">
        <f>IF(AND('Expense Jrnl'!$G509&lt;&gt;"",'Expense Jrnl'!$C509&lt;&gt;""),1,0)</f>
        <v>0</v>
      </c>
      <c r="C1005" s="517">
        <f>'Expense Jrnl'!$C509</f>
        <v>0</v>
      </c>
      <c r="D1005" s="540">
        <f>'Expense Jrnl'!$D509</f>
        <v>0</v>
      </c>
      <c r="E1005" s="1523">
        <f>'Expense Jrnl'!$F509</f>
        <v>0</v>
      </c>
      <c r="F1005" s="1523"/>
      <c r="G1005" s="519" t="str">
        <f>IF('Expense Jrnl'!$E509="","",'Expense Jrnl'!$E509)</f>
        <v/>
      </c>
      <c r="H1005" s="518">
        <f>'Expense Jrnl'!H509</f>
        <v>0</v>
      </c>
      <c r="I1005" s="518" t="str">
        <f t="shared" si="30"/>
        <v>0</v>
      </c>
      <c r="J1005" s="520" t="b">
        <f t="shared" si="31"/>
        <v>0</v>
      </c>
      <c r="K1005" s="541"/>
      <c r="L1005" s="541">
        <f>'Expense Jrnl'!$G509</f>
        <v>0</v>
      </c>
      <c r="M1005" s="523">
        <f>'Expense Jrnl'!E271</f>
        <v>0</v>
      </c>
      <c r="N1005" s="539">
        <f>'Expense Jrnl'!$H271</f>
        <v>0</v>
      </c>
    </row>
    <row r="1006" spans="2:14" s="1" customFormat="1" ht="30" hidden="1" customHeight="1" x14ac:dyDescent="0.2">
      <c r="B1006" s="517">
        <f>IF(AND('Expense Jrnl'!$G510&lt;&gt;"",'Expense Jrnl'!$C510&lt;&gt;""),1,0)</f>
        <v>0</v>
      </c>
      <c r="C1006" s="517">
        <f>'Expense Jrnl'!$C510</f>
        <v>0</v>
      </c>
      <c r="D1006" s="540">
        <f>'Expense Jrnl'!$D510</f>
        <v>0</v>
      </c>
      <c r="E1006" s="1523">
        <f>'Expense Jrnl'!$F510</f>
        <v>0</v>
      </c>
      <c r="F1006" s="1523"/>
      <c r="G1006" s="519" t="str">
        <f>IF('Expense Jrnl'!$E510="","",'Expense Jrnl'!$E510)</f>
        <v/>
      </c>
      <c r="H1006" s="518">
        <f>'Expense Jrnl'!H510</f>
        <v>0</v>
      </c>
      <c r="I1006" s="518" t="str">
        <f t="shared" si="30"/>
        <v>0</v>
      </c>
      <c r="J1006" s="520" t="b">
        <f t="shared" si="31"/>
        <v>0</v>
      </c>
      <c r="K1006" s="541"/>
      <c r="L1006" s="541">
        <f>'Expense Jrnl'!$G510</f>
        <v>0</v>
      </c>
      <c r="M1006" s="523">
        <f>'Expense Jrnl'!E272</f>
        <v>0</v>
      </c>
      <c r="N1006" s="539">
        <f>'Expense Jrnl'!$H272</f>
        <v>0</v>
      </c>
    </row>
    <row r="1007" spans="2:14" s="1" customFormat="1" ht="30" hidden="1" customHeight="1" x14ac:dyDescent="0.2">
      <c r="B1007" s="517">
        <f>IF(AND('Expense Jrnl'!$G511&lt;&gt;"",'Expense Jrnl'!$C511&lt;&gt;""),1,0)</f>
        <v>0</v>
      </c>
      <c r="C1007" s="517">
        <f>'Expense Jrnl'!$C511</f>
        <v>0</v>
      </c>
      <c r="D1007" s="540">
        <f>'Expense Jrnl'!$D511</f>
        <v>0</v>
      </c>
      <c r="E1007" s="1523">
        <f>'Expense Jrnl'!$F511</f>
        <v>0</v>
      </c>
      <c r="F1007" s="1523"/>
      <c r="G1007" s="519" t="str">
        <f>IF('Expense Jrnl'!$E511="","",'Expense Jrnl'!$E511)</f>
        <v/>
      </c>
      <c r="H1007" s="518">
        <f>'Expense Jrnl'!H511</f>
        <v>0</v>
      </c>
      <c r="I1007" s="518" t="str">
        <f t="shared" si="30"/>
        <v>0</v>
      </c>
      <c r="J1007" s="520" t="b">
        <f t="shared" si="31"/>
        <v>0</v>
      </c>
      <c r="K1007" s="541"/>
      <c r="L1007" s="541">
        <f>'Expense Jrnl'!$G511</f>
        <v>0</v>
      </c>
      <c r="M1007" s="523">
        <f>'Expense Jrnl'!E273</f>
        <v>0</v>
      </c>
      <c r="N1007" s="539">
        <f>'Expense Jrnl'!$H273</f>
        <v>0</v>
      </c>
    </row>
    <row r="1008" spans="2:14" s="1" customFormat="1" ht="30" hidden="1" customHeight="1" x14ac:dyDescent="0.2">
      <c r="B1008" s="517">
        <f>IF(AND('Expense Jrnl'!$G512&lt;&gt;"",'Expense Jrnl'!$C512&lt;&gt;""),1,0)</f>
        <v>0</v>
      </c>
      <c r="C1008" s="517">
        <f>'Expense Jrnl'!$C512</f>
        <v>0</v>
      </c>
      <c r="D1008" s="540">
        <f>'Expense Jrnl'!$D512</f>
        <v>0</v>
      </c>
      <c r="E1008" s="1523">
        <f>'Expense Jrnl'!$F512</f>
        <v>0</v>
      </c>
      <c r="F1008" s="1523"/>
      <c r="G1008" s="519" t="str">
        <f>IF('Expense Jrnl'!$E512="","",'Expense Jrnl'!$E512)</f>
        <v/>
      </c>
      <c r="H1008" s="518">
        <f>'Expense Jrnl'!H512</f>
        <v>0</v>
      </c>
      <c r="I1008" s="518" t="str">
        <f t="shared" si="30"/>
        <v>0</v>
      </c>
      <c r="J1008" s="520" t="b">
        <f t="shared" si="31"/>
        <v>0</v>
      </c>
      <c r="K1008" s="541"/>
      <c r="L1008" s="541">
        <f>'Expense Jrnl'!$G512</f>
        <v>0</v>
      </c>
      <c r="M1008" s="523">
        <f>'Expense Jrnl'!E274</f>
        <v>0</v>
      </c>
      <c r="N1008" s="539">
        <f>'Expense Jrnl'!$H274</f>
        <v>0</v>
      </c>
    </row>
    <row r="1009" spans="2:20" s="1" customFormat="1" ht="30" hidden="1" customHeight="1" x14ac:dyDescent="0.2">
      <c r="B1009" s="517">
        <f>IF(AND('Expense Jrnl'!$G513&lt;&gt;"",'Expense Jrnl'!$C513&lt;&gt;""),1,0)</f>
        <v>0</v>
      </c>
      <c r="C1009" s="517">
        <f>'Expense Jrnl'!$C513</f>
        <v>0</v>
      </c>
      <c r="D1009" s="540">
        <f>'Expense Jrnl'!$D513</f>
        <v>0</v>
      </c>
      <c r="E1009" s="1523">
        <f>'Expense Jrnl'!$F513</f>
        <v>0</v>
      </c>
      <c r="F1009" s="1523"/>
      <c r="G1009" s="519" t="str">
        <f>IF('Expense Jrnl'!$E513="","",'Expense Jrnl'!$E513)</f>
        <v/>
      </c>
      <c r="H1009" s="518">
        <f>'Expense Jrnl'!H513</f>
        <v>0</v>
      </c>
      <c r="I1009" s="518" t="str">
        <f t="shared" si="30"/>
        <v>0</v>
      </c>
      <c r="J1009" s="520" t="b">
        <f t="shared" si="31"/>
        <v>0</v>
      </c>
      <c r="K1009" s="541"/>
      <c r="L1009" s="541">
        <f>'Expense Jrnl'!$G513</f>
        <v>0</v>
      </c>
      <c r="M1009" s="523">
        <f>'Expense Jrnl'!E275</f>
        <v>0</v>
      </c>
      <c r="N1009" s="539">
        <f>'Expense Jrnl'!$H275</f>
        <v>0</v>
      </c>
    </row>
    <row r="1010" spans="2:20" s="1" customFormat="1" ht="30" hidden="1" customHeight="1" x14ac:dyDescent="0.2">
      <c r="B1010" s="517">
        <f>IF(AND('Expense Jrnl'!$G514&lt;&gt;"",'Expense Jrnl'!$C514&lt;&gt;""),1,0)</f>
        <v>0</v>
      </c>
      <c r="C1010" s="517">
        <f>'Expense Jrnl'!$C514</f>
        <v>0</v>
      </c>
      <c r="D1010" s="540">
        <f>'Expense Jrnl'!$D514</f>
        <v>0</v>
      </c>
      <c r="E1010" s="1523">
        <f>'Expense Jrnl'!$F514</f>
        <v>0</v>
      </c>
      <c r="F1010" s="1523"/>
      <c r="G1010" s="519" t="str">
        <f>IF('Expense Jrnl'!$E514="","",'Expense Jrnl'!$E514)</f>
        <v/>
      </c>
      <c r="H1010" s="518">
        <f>'Expense Jrnl'!H514</f>
        <v>0</v>
      </c>
      <c r="I1010" s="518" t="str">
        <f t="shared" si="30"/>
        <v>0</v>
      </c>
      <c r="J1010" s="520" t="b">
        <f t="shared" si="31"/>
        <v>0</v>
      </c>
      <c r="K1010" s="541"/>
      <c r="L1010" s="541">
        <f>'Expense Jrnl'!$G514</f>
        <v>0</v>
      </c>
      <c r="M1010" s="523">
        <f>'Expense Jrnl'!E276</f>
        <v>0</v>
      </c>
      <c r="N1010" s="539">
        <f>'Expense Jrnl'!$H276</f>
        <v>0</v>
      </c>
    </row>
    <row r="1011" spans="2:20" s="1" customFormat="1" ht="30" hidden="1" customHeight="1" x14ac:dyDescent="0.2">
      <c r="B1011" s="517">
        <f>IF(AND('Expense Jrnl'!$G515&lt;&gt;"",'Expense Jrnl'!$C515&lt;&gt;""),1,0)</f>
        <v>0</v>
      </c>
      <c r="C1011" s="517">
        <f>'Expense Jrnl'!$C515</f>
        <v>0</v>
      </c>
      <c r="D1011" s="540">
        <f>'Expense Jrnl'!$D515</f>
        <v>0</v>
      </c>
      <c r="E1011" s="1523">
        <f>'Expense Jrnl'!$F515</f>
        <v>0</v>
      </c>
      <c r="F1011" s="1523"/>
      <c r="G1011" s="519" t="str">
        <f>IF('Expense Jrnl'!$E515="","",'Expense Jrnl'!$E515)</f>
        <v/>
      </c>
      <c r="H1011" s="518">
        <f>'Expense Jrnl'!H515</f>
        <v>0</v>
      </c>
      <c r="I1011" s="518" t="str">
        <f t="shared" si="30"/>
        <v>0</v>
      </c>
      <c r="J1011" s="520" t="b">
        <f t="shared" si="31"/>
        <v>0</v>
      </c>
      <c r="K1011" s="541"/>
      <c r="L1011" s="541">
        <f>'Expense Jrnl'!$G515</f>
        <v>0</v>
      </c>
      <c r="M1011" s="523">
        <f>'Expense Jrnl'!E277</f>
        <v>0</v>
      </c>
      <c r="N1011" s="539">
        <f>'Expense Jrnl'!$H277</f>
        <v>0</v>
      </c>
    </row>
    <row r="1012" spans="2:20" s="1" customFormat="1" ht="6" customHeight="1" x14ac:dyDescent="0.2">
      <c r="B1012" s="138">
        <v>1</v>
      </c>
      <c r="C1012" s="543"/>
      <c r="D1012" s="544"/>
      <c r="E1012" s="545"/>
      <c r="F1012" s="545"/>
      <c r="G1012" s="546"/>
      <c r="H1012" s="547"/>
      <c r="I1012" s="547"/>
      <c r="J1012" s="547"/>
      <c r="K1012" s="548"/>
      <c r="L1012" s="548"/>
      <c r="M1012" s="549"/>
      <c r="N1012" s="550"/>
    </row>
    <row r="1013" spans="2:20" s="1" customFormat="1" ht="30" customHeight="1" x14ac:dyDescent="0.2">
      <c r="B1013" s="138">
        <v>1</v>
      </c>
      <c r="C1013" s="1524" t="str">
        <f>"Balance of Main Bank Account for time period"</f>
        <v>Balance of Main Bank Account for time period</v>
      </c>
      <c r="D1013" s="1524"/>
      <c r="E1013" s="1524"/>
      <c r="F1013" s="1524"/>
      <c r="G1013" s="551"/>
      <c r="H1013" s="552"/>
      <c r="I1013" s="553"/>
      <c r="J1013" s="554"/>
      <c r="K1013" s="555">
        <f>'Acct Detailed Reconcil'!N59</f>
        <v>0</v>
      </c>
      <c r="L1013" s="556"/>
      <c r="M1013" s="549"/>
      <c r="N1013" s="550"/>
    </row>
    <row r="1014" spans="2:20" s="1" customFormat="1" ht="30" customHeight="1" x14ac:dyDescent="0.2">
      <c r="B1014" s="138">
        <v>1</v>
      </c>
      <c r="C1014" s="1524" t="str">
        <f>"Total Revenue for time period"</f>
        <v>Total Revenue for time period</v>
      </c>
      <c r="D1014" s="1524"/>
      <c r="E1014" s="1524"/>
      <c r="F1014" s="1524"/>
      <c r="G1014" s="551"/>
      <c r="H1014" s="552"/>
      <c r="I1014" s="557"/>
      <c r="J1014" s="558"/>
      <c r="K1014" s="555">
        <f>SUM(J10:J509)</f>
        <v>0</v>
      </c>
      <c r="L1014" s="556"/>
      <c r="M1014" s="549"/>
      <c r="N1014" s="550"/>
    </row>
    <row r="1015" spans="2:20" s="1" customFormat="1" ht="30" customHeight="1" x14ac:dyDescent="0.2">
      <c r="B1015" s="138">
        <v>1</v>
      </c>
      <c r="C1015" s="1524" t="str">
        <f>"Total Expenditures for time period"</f>
        <v>Total Expenditures for time period</v>
      </c>
      <c r="D1015" s="1524"/>
      <c r="E1015" s="1524"/>
      <c r="F1015" s="1524"/>
      <c r="G1015" s="551"/>
      <c r="H1015" s="552"/>
      <c r="I1015" s="559"/>
      <c r="J1015" s="560"/>
      <c r="K1015" s="555">
        <f>SUM(J512:J1011)</f>
        <v>0</v>
      </c>
      <c r="L1015" s="556"/>
      <c r="M1015" s="549"/>
      <c r="N1015" s="550"/>
    </row>
    <row r="1016" spans="2:20" ht="20.25" customHeight="1" x14ac:dyDescent="0.2">
      <c r="B1016" s="138">
        <v>1</v>
      </c>
      <c r="C1016" s="561" t="s">
        <v>365</v>
      </c>
      <c r="D1016" s="562"/>
      <c r="E1016" s="562"/>
      <c r="F1016" s="562"/>
      <c r="G1016" s="562"/>
      <c r="H1016" s="562"/>
      <c r="I1016" s="562"/>
      <c r="J1016" s="562"/>
      <c r="K1016" s="562"/>
      <c r="L1016" s="562"/>
      <c r="M1016" s="563"/>
    </row>
    <row r="1017" spans="2:20" ht="118.5" customHeight="1" x14ac:dyDescent="0.2">
      <c r="B1017" s="138">
        <v>1</v>
      </c>
      <c r="C1017" s="564" t="s">
        <v>366</v>
      </c>
      <c r="D1017" s="1525"/>
      <c r="E1017" s="1525"/>
      <c r="F1017" s="1525"/>
      <c r="G1017" s="1525"/>
      <c r="H1017" s="1525"/>
      <c r="I1017" s="565"/>
      <c r="J1017" s="565"/>
      <c r="K1017" s="566"/>
      <c r="L1017" s="566"/>
      <c r="M1017" s="563"/>
      <c r="T1017" s="567"/>
    </row>
    <row r="1018" spans="2:20" ht="26.25" customHeight="1" x14ac:dyDescent="0.2">
      <c r="M1018" s="563"/>
      <c r="T1018" s="567"/>
    </row>
    <row r="1019" spans="2:20" ht="26.25" customHeight="1" x14ac:dyDescent="0.2">
      <c r="C1019" s="478" t="str">
        <f>IF(A3=2,"","")</f>
        <v/>
      </c>
      <c r="M1019" s="563"/>
    </row>
    <row r="1020" spans="2:20" ht="26.25" customHeight="1" x14ac:dyDescent="0.2">
      <c r="M1020" s="563"/>
    </row>
    <row r="1021" spans="2:20" ht="26.25" customHeight="1" x14ac:dyDescent="0.2">
      <c r="M1021" s="563"/>
    </row>
    <row r="1022" spans="2:20" ht="26.25" customHeight="1" x14ac:dyDescent="0.2">
      <c r="M1022" s="563"/>
    </row>
    <row r="1023" spans="2:20" ht="26.25" customHeight="1" x14ac:dyDescent="0.2">
      <c r="M1023" s="563"/>
    </row>
    <row r="1024" spans="2:20" ht="26.25" customHeight="1" x14ac:dyDescent="0.2">
      <c r="M1024" s="563"/>
    </row>
    <row r="1025" spans="13:13" ht="26.25" customHeight="1" x14ac:dyDescent="0.2">
      <c r="M1025" s="563"/>
    </row>
    <row r="1026" spans="13:13" ht="26.25" customHeight="1" x14ac:dyDescent="0.2">
      <c r="M1026" s="563"/>
    </row>
    <row r="1027" spans="13:13" ht="26.25" customHeight="1" x14ac:dyDescent="0.2">
      <c r="M1027" s="563"/>
    </row>
    <row r="1028" spans="13:13" ht="26.25" customHeight="1" x14ac:dyDescent="0.2">
      <c r="M1028" s="563"/>
    </row>
    <row r="1029" spans="13:13" ht="26.25" customHeight="1" x14ac:dyDescent="0.2">
      <c r="M1029" s="563"/>
    </row>
    <row r="1030" spans="13:13" ht="26.25" customHeight="1" x14ac:dyDescent="0.2">
      <c r="M1030" s="563"/>
    </row>
    <row r="1031" spans="13:13" ht="26.25" customHeight="1" x14ac:dyDescent="0.2">
      <c r="M1031" s="563"/>
    </row>
    <row r="1032" spans="13:13" ht="26.25" customHeight="1" x14ac:dyDescent="0.2">
      <c r="M1032" s="563"/>
    </row>
    <row r="1033" spans="13:13" ht="26.25" customHeight="1" x14ac:dyDescent="0.2">
      <c r="M1033" s="563"/>
    </row>
    <row r="1034" spans="13:13" ht="26.25" customHeight="1" x14ac:dyDescent="0.2">
      <c r="M1034" s="563"/>
    </row>
    <row r="1035" spans="13:13" ht="26.25" customHeight="1" x14ac:dyDescent="0.2">
      <c r="M1035" s="563"/>
    </row>
    <row r="1036" spans="13:13" ht="26.25" customHeight="1" x14ac:dyDescent="0.2">
      <c r="M1036" s="563"/>
    </row>
    <row r="1037" spans="13:13" ht="26.25" customHeight="1" x14ac:dyDescent="0.2">
      <c r="M1037" s="563"/>
    </row>
    <row r="1038" spans="13:13" ht="26.25" customHeight="1" x14ac:dyDescent="0.2">
      <c r="M1038" s="563"/>
    </row>
    <row r="1039" spans="13:13" ht="26.25" customHeight="1" x14ac:dyDescent="0.2">
      <c r="M1039" s="563"/>
    </row>
    <row r="1040" spans="13:13" ht="26.25" customHeight="1" x14ac:dyDescent="0.2">
      <c r="M1040" s="563"/>
    </row>
    <row r="1041" spans="13:13" ht="26.25" customHeight="1" x14ac:dyDescent="0.2">
      <c r="M1041" s="563"/>
    </row>
    <row r="1042" spans="13:13" ht="26.25" customHeight="1" x14ac:dyDescent="0.2">
      <c r="M1042" s="563"/>
    </row>
    <row r="1043" spans="13:13" ht="26.25" customHeight="1" x14ac:dyDescent="0.2">
      <c r="M1043" s="563"/>
    </row>
    <row r="1044" spans="13:13" ht="26.25" customHeight="1" x14ac:dyDescent="0.2">
      <c r="M1044" s="563"/>
    </row>
    <row r="1045" spans="13:13" ht="26.25" customHeight="1" x14ac:dyDescent="0.2">
      <c r="M1045" s="563"/>
    </row>
    <row r="1046" spans="13:13" ht="26.25" customHeight="1" x14ac:dyDescent="0.2">
      <c r="M1046" s="563"/>
    </row>
    <row r="1047" spans="13:13" ht="26.25" customHeight="1" x14ac:dyDescent="0.2">
      <c r="M1047" s="563"/>
    </row>
    <row r="1048" spans="13:13" ht="26.25" customHeight="1" x14ac:dyDescent="0.2">
      <c r="M1048" s="563"/>
    </row>
    <row r="1049" spans="13:13" ht="26.25" customHeight="1" x14ac:dyDescent="0.2">
      <c r="M1049" s="563"/>
    </row>
    <row r="1050" spans="13:13" ht="26.25" customHeight="1" x14ac:dyDescent="0.2">
      <c r="M1050" s="563"/>
    </row>
    <row r="1051" spans="13:13" ht="26.25" customHeight="1" x14ac:dyDescent="0.2">
      <c r="M1051" s="563"/>
    </row>
    <row r="1052" spans="13:13" ht="26.25" customHeight="1" x14ac:dyDescent="0.2">
      <c r="M1052" s="563"/>
    </row>
    <row r="1053" spans="13:13" ht="26.25" customHeight="1" x14ac:dyDescent="0.2">
      <c r="M1053" s="563"/>
    </row>
    <row r="1054" spans="13:13" ht="26.25" customHeight="1" x14ac:dyDescent="0.2">
      <c r="M1054" s="563"/>
    </row>
    <row r="1055" spans="13:13" ht="26.25" customHeight="1" x14ac:dyDescent="0.2">
      <c r="M1055" s="563"/>
    </row>
    <row r="1056" spans="13:13" ht="26.25" customHeight="1" x14ac:dyDescent="0.2">
      <c r="M1056" s="563"/>
    </row>
    <row r="1057" spans="13:13" ht="26.25" customHeight="1" x14ac:dyDescent="0.2">
      <c r="M1057" s="563"/>
    </row>
    <row r="1058" spans="13:13" ht="26.25" customHeight="1" x14ac:dyDescent="0.2">
      <c r="M1058" s="563"/>
    </row>
    <row r="1059" spans="13:13" ht="26.25" customHeight="1" x14ac:dyDescent="0.2">
      <c r="M1059" s="563"/>
    </row>
    <row r="1060" spans="13:13" ht="26.25" customHeight="1" x14ac:dyDescent="0.2">
      <c r="M1060" s="563"/>
    </row>
    <row r="1061" spans="13:13" ht="26.25" customHeight="1" x14ac:dyDescent="0.2">
      <c r="M1061" s="563"/>
    </row>
    <row r="1062" spans="13:13" ht="26.25" customHeight="1" x14ac:dyDescent="0.2">
      <c r="M1062" s="563"/>
    </row>
    <row r="1063" spans="13:13" ht="26.25" customHeight="1" x14ac:dyDescent="0.2">
      <c r="M1063" s="563"/>
    </row>
    <row r="1064" spans="13:13" ht="26.25" customHeight="1" x14ac:dyDescent="0.2">
      <c r="M1064" s="563"/>
    </row>
    <row r="1065" spans="13:13" ht="26.25" customHeight="1" x14ac:dyDescent="0.2">
      <c r="M1065" s="563"/>
    </row>
    <row r="1066" spans="13:13" ht="26.25" customHeight="1" x14ac:dyDescent="0.2">
      <c r="M1066" s="563"/>
    </row>
    <row r="1067" spans="13:13" ht="26.25" customHeight="1" x14ac:dyDescent="0.2">
      <c r="M1067" s="563"/>
    </row>
    <row r="1068" spans="13:13" ht="26.25" customHeight="1" x14ac:dyDescent="0.2">
      <c r="M1068" s="563"/>
    </row>
    <row r="1069" spans="13:13" ht="26.25" customHeight="1" x14ac:dyDescent="0.2">
      <c r="M1069" s="563"/>
    </row>
    <row r="1070" spans="13:13" ht="26.25" customHeight="1" x14ac:dyDescent="0.2">
      <c r="M1070" s="563"/>
    </row>
    <row r="1071" spans="13:13" ht="26.25" customHeight="1" x14ac:dyDescent="0.2">
      <c r="M1071" s="563"/>
    </row>
    <row r="1072" spans="13:13" ht="26.25" customHeight="1" x14ac:dyDescent="0.2">
      <c r="M1072" s="563"/>
    </row>
    <row r="1073" spans="13:13" ht="26.25" customHeight="1" x14ac:dyDescent="0.2">
      <c r="M1073" s="563"/>
    </row>
    <row r="1074" spans="13:13" ht="26.25" customHeight="1" x14ac:dyDescent="0.2">
      <c r="M1074" s="563"/>
    </row>
    <row r="1075" spans="13:13" ht="26.25" customHeight="1" x14ac:dyDescent="0.2">
      <c r="M1075" s="563"/>
    </row>
    <row r="1076" spans="13:13" ht="26.25" customHeight="1" x14ac:dyDescent="0.2">
      <c r="M1076" s="563"/>
    </row>
    <row r="1077" spans="13:13" ht="26.25" customHeight="1" x14ac:dyDescent="0.2">
      <c r="M1077" s="563"/>
    </row>
    <row r="1078" spans="13:13" ht="26.25" customHeight="1" x14ac:dyDescent="0.2">
      <c r="M1078" s="563"/>
    </row>
    <row r="1079" spans="13:13" ht="26.25" customHeight="1" x14ac:dyDescent="0.2">
      <c r="M1079" s="563"/>
    </row>
    <row r="1080" spans="13:13" ht="26.25" customHeight="1" x14ac:dyDescent="0.2">
      <c r="M1080" s="563"/>
    </row>
    <row r="1081" spans="13:13" ht="26.25" customHeight="1" x14ac:dyDescent="0.2">
      <c r="M1081" s="563"/>
    </row>
    <row r="1082" spans="13:13" ht="26.25" customHeight="1" x14ac:dyDescent="0.2">
      <c r="M1082" s="563"/>
    </row>
    <row r="1083" spans="13:13" ht="26.25" customHeight="1" x14ac:dyDescent="0.2">
      <c r="M1083" s="563"/>
    </row>
    <row r="1084" spans="13:13" ht="26.25" customHeight="1" x14ac:dyDescent="0.2">
      <c r="M1084" s="563"/>
    </row>
    <row r="1085" spans="13:13" ht="26.25" customHeight="1" x14ac:dyDescent="0.2">
      <c r="M1085" s="563"/>
    </row>
    <row r="1086" spans="13:13" ht="26.25" customHeight="1" x14ac:dyDescent="0.2">
      <c r="M1086" s="563"/>
    </row>
    <row r="1087" spans="13:13" ht="26.25" customHeight="1" x14ac:dyDescent="0.2">
      <c r="M1087" s="563"/>
    </row>
    <row r="1088" spans="13:13" ht="26.25" customHeight="1" x14ac:dyDescent="0.2">
      <c r="M1088" s="563"/>
    </row>
    <row r="1089" spans="13:13" ht="26.25" customHeight="1" x14ac:dyDescent="0.2">
      <c r="M1089" s="563"/>
    </row>
    <row r="1090" spans="13:13" ht="26.25" customHeight="1" x14ac:dyDescent="0.2">
      <c r="M1090" s="563"/>
    </row>
    <row r="1091" spans="13:13" ht="26.25" customHeight="1" x14ac:dyDescent="0.2">
      <c r="M1091" s="563"/>
    </row>
    <row r="1092" spans="13:13" ht="26.25" customHeight="1" x14ac:dyDescent="0.2">
      <c r="M1092" s="563"/>
    </row>
    <row r="1093" spans="13:13" ht="26.25" customHeight="1" x14ac:dyDescent="0.2">
      <c r="M1093" s="563"/>
    </row>
    <row r="1094" spans="13:13" ht="26.25" customHeight="1" x14ac:dyDescent="0.2">
      <c r="M1094" s="563"/>
    </row>
    <row r="1095" spans="13:13" ht="26.25" customHeight="1" x14ac:dyDescent="0.2">
      <c r="M1095" s="563"/>
    </row>
    <row r="1096" spans="13:13" ht="26.25" customHeight="1" x14ac:dyDescent="0.2">
      <c r="M1096" s="563"/>
    </row>
    <row r="1097" spans="13:13" ht="26.25" customHeight="1" x14ac:dyDescent="0.2">
      <c r="M1097" s="563"/>
    </row>
    <row r="1098" spans="13:13" ht="26.25" customHeight="1" x14ac:dyDescent="0.2">
      <c r="M1098" s="563"/>
    </row>
    <row r="1099" spans="13:13" ht="26.25" customHeight="1" x14ac:dyDescent="0.2">
      <c r="M1099" s="563"/>
    </row>
    <row r="1100" spans="13:13" ht="26.25" customHeight="1" x14ac:dyDescent="0.2">
      <c r="M1100" s="563"/>
    </row>
    <row r="1101" spans="13:13" ht="26.25" customHeight="1" x14ac:dyDescent="0.2">
      <c r="M1101" s="563"/>
    </row>
    <row r="1102" spans="13:13" ht="26.25" customHeight="1" x14ac:dyDescent="0.2">
      <c r="M1102" s="563"/>
    </row>
    <row r="1103" spans="13:13" ht="26.25" customHeight="1" x14ac:dyDescent="0.2">
      <c r="M1103" s="563"/>
    </row>
    <row r="1104" spans="13:13" ht="26.25" customHeight="1" x14ac:dyDescent="0.2">
      <c r="M1104" s="563"/>
    </row>
    <row r="1105" spans="13:13" ht="26.25" customHeight="1" x14ac:dyDescent="0.2">
      <c r="M1105" s="563"/>
    </row>
    <row r="1106" spans="13:13" ht="26.25" customHeight="1" x14ac:dyDescent="0.2">
      <c r="M1106" s="563"/>
    </row>
    <row r="1107" spans="13:13" ht="26.25" customHeight="1" x14ac:dyDescent="0.2">
      <c r="M1107" s="563"/>
    </row>
    <row r="1108" spans="13:13" ht="26.25" customHeight="1" x14ac:dyDescent="0.2">
      <c r="M1108" s="563"/>
    </row>
    <row r="1109" spans="13:13" ht="26.25" customHeight="1" x14ac:dyDescent="0.2">
      <c r="M1109" s="563"/>
    </row>
    <row r="1110" spans="13:13" ht="26.25" customHeight="1" x14ac:dyDescent="0.2">
      <c r="M1110" s="563"/>
    </row>
    <row r="1111" spans="13:13" ht="26.25" customHeight="1" x14ac:dyDescent="0.2">
      <c r="M1111" s="563"/>
    </row>
    <row r="1112" spans="13:13" ht="26.25" customHeight="1" x14ac:dyDescent="0.2">
      <c r="M1112" s="563"/>
    </row>
    <row r="1113" spans="13:13" ht="26.25" customHeight="1" x14ac:dyDescent="0.2">
      <c r="M1113" s="563"/>
    </row>
    <row r="1114" spans="13:13" ht="26.25" customHeight="1" x14ac:dyDescent="0.2">
      <c r="M1114" s="563"/>
    </row>
    <row r="1115" spans="13:13" ht="26.25" customHeight="1" x14ac:dyDescent="0.2">
      <c r="M1115" s="563"/>
    </row>
    <row r="1116" spans="13:13" ht="26.25" customHeight="1" x14ac:dyDescent="0.2">
      <c r="M1116" s="563"/>
    </row>
    <row r="1117" spans="13:13" ht="26.25" customHeight="1" x14ac:dyDescent="0.2">
      <c r="M1117" s="563"/>
    </row>
    <row r="1118" spans="13:13" ht="26.25" customHeight="1" x14ac:dyDescent="0.2">
      <c r="M1118" s="563"/>
    </row>
    <row r="1119" spans="13:13" ht="26.25" customHeight="1" x14ac:dyDescent="0.2">
      <c r="M1119" s="563"/>
    </row>
    <row r="1120" spans="13:13" ht="26.25" customHeight="1" x14ac:dyDescent="0.2">
      <c r="M1120" s="563"/>
    </row>
    <row r="1121" spans="13:13" ht="26.25" customHeight="1" x14ac:dyDescent="0.2">
      <c r="M1121" s="563"/>
    </row>
    <row r="1122" spans="13:13" ht="26.25" customHeight="1" x14ac:dyDescent="0.2">
      <c r="M1122" s="563"/>
    </row>
    <row r="1123" spans="13:13" ht="26.25" customHeight="1" x14ac:dyDescent="0.2">
      <c r="M1123" s="563"/>
    </row>
    <row r="1124" spans="13:13" ht="26.25" customHeight="1" x14ac:dyDescent="0.2">
      <c r="M1124" s="563"/>
    </row>
    <row r="1125" spans="13:13" ht="26.25" customHeight="1" x14ac:dyDescent="0.2">
      <c r="M1125" s="563"/>
    </row>
    <row r="1126" spans="13:13" ht="26.25" customHeight="1" x14ac:dyDescent="0.2">
      <c r="M1126" s="563"/>
    </row>
    <row r="1127" spans="13:13" ht="26.25" customHeight="1" x14ac:dyDescent="0.2">
      <c r="M1127" s="563"/>
    </row>
    <row r="1128" spans="13:13" ht="26.25" customHeight="1" x14ac:dyDescent="0.2">
      <c r="M1128" s="563"/>
    </row>
    <row r="1129" spans="13:13" ht="26.25" customHeight="1" x14ac:dyDescent="0.2">
      <c r="M1129" s="563"/>
    </row>
    <row r="1130" spans="13:13" ht="26.25" customHeight="1" x14ac:dyDescent="0.2">
      <c r="M1130" s="563"/>
    </row>
    <row r="1131" spans="13:13" ht="26.25" customHeight="1" x14ac:dyDescent="0.2">
      <c r="M1131" s="563"/>
    </row>
    <row r="1132" spans="13:13" ht="26.25" customHeight="1" x14ac:dyDescent="0.2">
      <c r="M1132" s="563"/>
    </row>
    <row r="1133" spans="13:13" ht="26.25" customHeight="1" x14ac:dyDescent="0.2">
      <c r="M1133" s="563"/>
    </row>
    <row r="1134" spans="13:13" ht="26.25" customHeight="1" x14ac:dyDescent="0.2">
      <c r="M1134" s="563"/>
    </row>
    <row r="1135" spans="13:13" ht="26.25" customHeight="1" x14ac:dyDescent="0.2">
      <c r="M1135" s="563"/>
    </row>
    <row r="1136" spans="13:13" ht="26.25" customHeight="1" x14ac:dyDescent="0.2">
      <c r="M1136" s="563"/>
    </row>
    <row r="1137" spans="13:13" ht="26.25" customHeight="1" x14ac:dyDescent="0.2">
      <c r="M1137" s="563"/>
    </row>
    <row r="1138" spans="13:13" ht="26.25" customHeight="1" x14ac:dyDescent="0.2">
      <c r="M1138" s="563"/>
    </row>
    <row r="1139" spans="13:13" ht="26.25" customHeight="1" x14ac:dyDescent="0.2">
      <c r="M1139" s="563"/>
    </row>
    <row r="1140" spans="13:13" ht="26.25" customHeight="1" x14ac:dyDescent="0.2">
      <c r="M1140" s="563"/>
    </row>
    <row r="1141" spans="13:13" ht="26.25" customHeight="1" x14ac:dyDescent="0.2">
      <c r="M1141" s="563"/>
    </row>
    <row r="1142" spans="13:13" ht="26.25" customHeight="1" x14ac:dyDescent="0.2">
      <c r="M1142" s="563"/>
    </row>
    <row r="1143" spans="13:13" ht="26.25" customHeight="1" x14ac:dyDescent="0.2">
      <c r="M1143" s="563"/>
    </row>
    <row r="1144" spans="13:13" ht="26.25" customHeight="1" x14ac:dyDescent="0.2">
      <c r="M1144" s="563"/>
    </row>
    <row r="1145" spans="13:13" ht="26.25" customHeight="1" x14ac:dyDescent="0.2">
      <c r="M1145" s="563"/>
    </row>
    <row r="1146" spans="13:13" ht="26.25" customHeight="1" x14ac:dyDescent="0.2">
      <c r="M1146" s="563"/>
    </row>
    <row r="1147" spans="13:13" ht="26.25" customHeight="1" x14ac:dyDescent="0.2">
      <c r="M1147" s="563"/>
    </row>
    <row r="1148" spans="13:13" ht="26.25" customHeight="1" x14ac:dyDescent="0.2">
      <c r="M1148" s="563"/>
    </row>
    <row r="1149" spans="13:13" ht="26.25" customHeight="1" x14ac:dyDescent="0.2">
      <c r="M1149" s="563"/>
    </row>
    <row r="1150" spans="13:13" ht="26.25" customHeight="1" x14ac:dyDescent="0.2">
      <c r="M1150" s="563"/>
    </row>
    <row r="1151" spans="13:13" ht="26.25" customHeight="1" x14ac:dyDescent="0.2">
      <c r="M1151" s="563"/>
    </row>
    <row r="1152" spans="13:13" ht="26.25" customHeight="1" x14ac:dyDescent="0.2">
      <c r="M1152" s="563"/>
    </row>
    <row r="1153" spans="13:13" ht="26.25" customHeight="1" x14ac:dyDescent="0.2">
      <c r="M1153" s="563"/>
    </row>
    <row r="1154" spans="13:13" ht="26.25" customHeight="1" x14ac:dyDescent="0.2">
      <c r="M1154" s="563"/>
    </row>
    <row r="1155" spans="13:13" ht="26.25" customHeight="1" x14ac:dyDescent="0.2">
      <c r="M1155" s="563"/>
    </row>
    <row r="1156" spans="13:13" ht="26.25" customHeight="1" x14ac:dyDescent="0.2">
      <c r="M1156" s="563"/>
    </row>
    <row r="1157" spans="13:13" ht="26.25" customHeight="1" x14ac:dyDescent="0.2">
      <c r="M1157" s="563"/>
    </row>
    <row r="1158" spans="13:13" ht="26.25" customHeight="1" x14ac:dyDescent="0.2">
      <c r="M1158" s="563"/>
    </row>
    <row r="1159" spans="13:13" ht="26.25" customHeight="1" x14ac:dyDescent="0.2">
      <c r="M1159" s="563"/>
    </row>
    <row r="1160" spans="13:13" ht="26.25" customHeight="1" x14ac:dyDescent="0.2">
      <c r="M1160" s="563"/>
    </row>
    <row r="1161" spans="13:13" ht="26.25" customHeight="1" x14ac:dyDescent="0.2">
      <c r="M1161" s="563"/>
    </row>
    <row r="1162" spans="13:13" ht="26.25" customHeight="1" x14ac:dyDescent="0.2">
      <c r="M1162" s="563"/>
    </row>
    <row r="1163" spans="13:13" ht="26.25" customHeight="1" x14ac:dyDescent="0.2">
      <c r="M1163" s="563"/>
    </row>
    <row r="1164" spans="13:13" ht="26.25" customHeight="1" x14ac:dyDescent="0.2">
      <c r="M1164" s="563"/>
    </row>
    <row r="1165" spans="13:13" ht="26.25" customHeight="1" x14ac:dyDescent="0.2">
      <c r="M1165" s="563"/>
    </row>
    <row r="1166" spans="13:13" ht="26.25" customHeight="1" x14ac:dyDescent="0.2">
      <c r="M1166" s="563"/>
    </row>
  </sheetData>
  <sheetProtection algorithmName="SHA-512" hashValue="7BVyNrHgEaK/I/7By/dGMK4cG388/FwYJ6GfJPJjlYRLa1K/JELKAVR2A8+COeQKznFfA9U4e8wxkocCrckWaA==" saltValue="gzPvdyel9xfBJXJwy4g5Kw==" spinCount="100000" sheet="1" objects="1" scenarios="1" selectLockedCells="1" autoFilter="0"/>
  <autoFilter ref="B7:N1017">
    <filterColumn colId="0">
      <filters>
        <filter val="1"/>
      </filters>
    </filterColumn>
  </autoFilter>
  <mergeCells count="1010">
    <mergeCell ref="E1009:F1009"/>
    <mergeCell ref="E1010:F1010"/>
    <mergeCell ref="E1011:F1011"/>
    <mergeCell ref="C1013:F1013"/>
    <mergeCell ref="C1014:F1014"/>
    <mergeCell ref="C1015:F1015"/>
    <mergeCell ref="D1017:H1017"/>
    <mergeCell ref="E992:F992"/>
    <mergeCell ref="E993:F993"/>
    <mergeCell ref="E994:F994"/>
    <mergeCell ref="E995:F995"/>
    <mergeCell ref="E996:F996"/>
    <mergeCell ref="E997:F997"/>
    <mergeCell ref="E998:F998"/>
    <mergeCell ref="E999:F999"/>
    <mergeCell ref="E1000:F1000"/>
    <mergeCell ref="E1001:F1001"/>
    <mergeCell ref="E1002:F1002"/>
    <mergeCell ref="E1003:F1003"/>
    <mergeCell ref="E1004:F1004"/>
    <mergeCell ref="E1005:F1005"/>
    <mergeCell ref="E1006:F1006"/>
    <mergeCell ref="E1007:F1007"/>
    <mergeCell ref="E1008:F1008"/>
    <mergeCell ref="E975:F975"/>
    <mergeCell ref="E976:F976"/>
    <mergeCell ref="E977:F977"/>
    <mergeCell ref="E978:F978"/>
    <mergeCell ref="E979:F979"/>
    <mergeCell ref="E980:F980"/>
    <mergeCell ref="E981:F981"/>
    <mergeCell ref="E982:F982"/>
    <mergeCell ref="E983:F983"/>
    <mergeCell ref="E984:F984"/>
    <mergeCell ref="E985:F985"/>
    <mergeCell ref="E986:F986"/>
    <mergeCell ref="E987:F987"/>
    <mergeCell ref="E988:F988"/>
    <mergeCell ref="E989:F989"/>
    <mergeCell ref="E990:F990"/>
    <mergeCell ref="E991:F991"/>
    <mergeCell ref="E958:F958"/>
    <mergeCell ref="E959:F959"/>
    <mergeCell ref="E960:F960"/>
    <mergeCell ref="E961:F961"/>
    <mergeCell ref="E962:F962"/>
    <mergeCell ref="E963:F963"/>
    <mergeCell ref="E964:F964"/>
    <mergeCell ref="E965:F965"/>
    <mergeCell ref="E966:F966"/>
    <mergeCell ref="E967:F967"/>
    <mergeCell ref="E968:F968"/>
    <mergeCell ref="E969:F969"/>
    <mergeCell ref="E970:F970"/>
    <mergeCell ref="E971:F971"/>
    <mergeCell ref="E972:F972"/>
    <mergeCell ref="E973:F973"/>
    <mergeCell ref="E974:F974"/>
    <mergeCell ref="E941:F941"/>
    <mergeCell ref="E942:F942"/>
    <mergeCell ref="E943:F943"/>
    <mergeCell ref="E944:F944"/>
    <mergeCell ref="E945:F945"/>
    <mergeCell ref="E946:F946"/>
    <mergeCell ref="E947:F947"/>
    <mergeCell ref="E948:F948"/>
    <mergeCell ref="E949:F949"/>
    <mergeCell ref="E950:F950"/>
    <mergeCell ref="E951:F951"/>
    <mergeCell ref="E952:F952"/>
    <mergeCell ref="E953:F953"/>
    <mergeCell ref="E954:F954"/>
    <mergeCell ref="E955:F955"/>
    <mergeCell ref="E956:F956"/>
    <mergeCell ref="E957:F957"/>
    <mergeCell ref="E924:F924"/>
    <mergeCell ref="E925:F925"/>
    <mergeCell ref="E926:F926"/>
    <mergeCell ref="E927:F927"/>
    <mergeCell ref="E928:F928"/>
    <mergeCell ref="E929:F929"/>
    <mergeCell ref="E930:F930"/>
    <mergeCell ref="E931:F931"/>
    <mergeCell ref="E932:F932"/>
    <mergeCell ref="E933:F933"/>
    <mergeCell ref="E934:F934"/>
    <mergeCell ref="E935:F935"/>
    <mergeCell ref="E936:F936"/>
    <mergeCell ref="E937:F937"/>
    <mergeCell ref="E938:F938"/>
    <mergeCell ref="E939:F939"/>
    <mergeCell ref="E940:F940"/>
    <mergeCell ref="E907:F907"/>
    <mergeCell ref="E908:F908"/>
    <mergeCell ref="E909:F909"/>
    <mergeCell ref="E910:F910"/>
    <mergeCell ref="E911:F911"/>
    <mergeCell ref="E912:F912"/>
    <mergeCell ref="E913:F913"/>
    <mergeCell ref="E914:F914"/>
    <mergeCell ref="E915:F915"/>
    <mergeCell ref="E916:F916"/>
    <mergeCell ref="E917:F917"/>
    <mergeCell ref="E918:F918"/>
    <mergeCell ref="E919:F919"/>
    <mergeCell ref="E920:F920"/>
    <mergeCell ref="E921:F921"/>
    <mergeCell ref="E922:F922"/>
    <mergeCell ref="E923:F923"/>
    <mergeCell ref="E890:F890"/>
    <mergeCell ref="E891:F891"/>
    <mergeCell ref="E892:F892"/>
    <mergeCell ref="E893:F893"/>
    <mergeCell ref="E894:F894"/>
    <mergeCell ref="E895:F895"/>
    <mergeCell ref="E896:F896"/>
    <mergeCell ref="E897:F897"/>
    <mergeCell ref="E898:F898"/>
    <mergeCell ref="E899:F899"/>
    <mergeCell ref="E900:F900"/>
    <mergeCell ref="E901:F901"/>
    <mergeCell ref="E902:F902"/>
    <mergeCell ref="E903:F903"/>
    <mergeCell ref="E904:F904"/>
    <mergeCell ref="E905:F905"/>
    <mergeCell ref="E906:F906"/>
    <mergeCell ref="E873:F873"/>
    <mergeCell ref="E874:F874"/>
    <mergeCell ref="E875:F875"/>
    <mergeCell ref="E876:F876"/>
    <mergeCell ref="E877:F877"/>
    <mergeCell ref="E878:F878"/>
    <mergeCell ref="E879:F879"/>
    <mergeCell ref="E880:F880"/>
    <mergeCell ref="E881:F881"/>
    <mergeCell ref="E882:F882"/>
    <mergeCell ref="E883:F883"/>
    <mergeCell ref="E884:F884"/>
    <mergeCell ref="E885:F885"/>
    <mergeCell ref="E886:F886"/>
    <mergeCell ref="E887:F887"/>
    <mergeCell ref="E888:F888"/>
    <mergeCell ref="E889:F889"/>
    <mergeCell ref="E856:F856"/>
    <mergeCell ref="E857:F857"/>
    <mergeCell ref="E858:F858"/>
    <mergeCell ref="E859:F859"/>
    <mergeCell ref="E860:F860"/>
    <mergeCell ref="E861:F861"/>
    <mergeCell ref="E862:F862"/>
    <mergeCell ref="E863:F863"/>
    <mergeCell ref="E864:F864"/>
    <mergeCell ref="E865:F865"/>
    <mergeCell ref="E866:F866"/>
    <mergeCell ref="E867:F867"/>
    <mergeCell ref="E868:F868"/>
    <mergeCell ref="E869:F869"/>
    <mergeCell ref="E870:F870"/>
    <mergeCell ref="E871:F871"/>
    <mergeCell ref="E872:F872"/>
    <mergeCell ref="E839:F839"/>
    <mergeCell ref="E840:F840"/>
    <mergeCell ref="E841:F841"/>
    <mergeCell ref="E842:F842"/>
    <mergeCell ref="E843:F843"/>
    <mergeCell ref="E844:F844"/>
    <mergeCell ref="E845:F845"/>
    <mergeCell ref="E846:F846"/>
    <mergeCell ref="E847:F847"/>
    <mergeCell ref="E848:F848"/>
    <mergeCell ref="E849:F849"/>
    <mergeCell ref="E850:F850"/>
    <mergeCell ref="E851:F851"/>
    <mergeCell ref="E852:F852"/>
    <mergeCell ref="E853:F853"/>
    <mergeCell ref="E854:F854"/>
    <mergeCell ref="E855:F855"/>
    <mergeCell ref="E822:F822"/>
    <mergeCell ref="E823:F823"/>
    <mergeCell ref="E824:F824"/>
    <mergeCell ref="E825:F825"/>
    <mergeCell ref="E826:F826"/>
    <mergeCell ref="E827:F827"/>
    <mergeCell ref="E828:F828"/>
    <mergeCell ref="E829:F829"/>
    <mergeCell ref="E830:F830"/>
    <mergeCell ref="E831:F831"/>
    <mergeCell ref="E832:F832"/>
    <mergeCell ref="E833:F833"/>
    <mergeCell ref="E834:F834"/>
    <mergeCell ref="E835:F835"/>
    <mergeCell ref="E836:F836"/>
    <mergeCell ref="E837:F837"/>
    <mergeCell ref="E838:F838"/>
    <mergeCell ref="E805:F805"/>
    <mergeCell ref="E806:F806"/>
    <mergeCell ref="E807:F807"/>
    <mergeCell ref="E808:F808"/>
    <mergeCell ref="E809:F809"/>
    <mergeCell ref="E810:F810"/>
    <mergeCell ref="E811:F811"/>
    <mergeCell ref="E812:F812"/>
    <mergeCell ref="E813:F813"/>
    <mergeCell ref="E814:F814"/>
    <mergeCell ref="E815:F815"/>
    <mergeCell ref="E816:F816"/>
    <mergeCell ref="E817:F817"/>
    <mergeCell ref="E818:F818"/>
    <mergeCell ref="E819:F819"/>
    <mergeCell ref="E820:F820"/>
    <mergeCell ref="E821:F821"/>
    <mergeCell ref="E788:F788"/>
    <mergeCell ref="E789:F789"/>
    <mergeCell ref="E790:F790"/>
    <mergeCell ref="E791:F791"/>
    <mergeCell ref="E792:F792"/>
    <mergeCell ref="E793:F793"/>
    <mergeCell ref="E794:F794"/>
    <mergeCell ref="E795:F795"/>
    <mergeCell ref="E796:F796"/>
    <mergeCell ref="E797:F797"/>
    <mergeCell ref="E798:F798"/>
    <mergeCell ref="E799:F799"/>
    <mergeCell ref="E800:F800"/>
    <mergeCell ref="E801:F801"/>
    <mergeCell ref="E802:F802"/>
    <mergeCell ref="E803:F803"/>
    <mergeCell ref="E804:F804"/>
    <mergeCell ref="E771:F771"/>
    <mergeCell ref="E772:F772"/>
    <mergeCell ref="E773:F773"/>
    <mergeCell ref="E774:F774"/>
    <mergeCell ref="E775:F775"/>
    <mergeCell ref="E776:F776"/>
    <mergeCell ref="E777:F777"/>
    <mergeCell ref="E778:F778"/>
    <mergeCell ref="E779:F779"/>
    <mergeCell ref="E780:F780"/>
    <mergeCell ref="E781:F781"/>
    <mergeCell ref="E782:F782"/>
    <mergeCell ref="E783:F783"/>
    <mergeCell ref="E784:F784"/>
    <mergeCell ref="E785:F785"/>
    <mergeCell ref="E786:F786"/>
    <mergeCell ref="E787:F787"/>
    <mergeCell ref="E754:F754"/>
    <mergeCell ref="E755:F755"/>
    <mergeCell ref="E756:F756"/>
    <mergeCell ref="E757:F757"/>
    <mergeCell ref="E758:F758"/>
    <mergeCell ref="E759:F759"/>
    <mergeCell ref="E760:F760"/>
    <mergeCell ref="E761:F761"/>
    <mergeCell ref="E762:F762"/>
    <mergeCell ref="E763:F763"/>
    <mergeCell ref="E764:F764"/>
    <mergeCell ref="E765:F765"/>
    <mergeCell ref="E766:F766"/>
    <mergeCell ref="E767:F767"/>
    <mergeCell ref="E768:F768"/>
    <mergeCell ref="E769:F769"/>
    <mergeCell ref="E770:F770"/>
    <mergeCell ref="E737:F737"/>
    <mergeCell ref="E738:F738"/>
    <mergeCell ref="E739:F739"/>
    <mergeCell ref="E740:F740"/>
    <mergeCell ref="E741:F741"/>
    <mergeCell ref="E742:F742"/>
    <mergeCell ref="E743:F743"/>
    <mergeCell ref="E744:F744"/>
    <mergeCell ref="E745:F745"/>
    <mergeCell ref="E746:F746"/>
    <mergeCell ref="E747:F747"/>
    <mergeCell ref="E748:F748"/>
    <mergeCell ref="E749:F749"/>
    <mergeCell ref="E750:F750"/>
    <mergeCell ref="E751:F751"/>
    <mergeCell ref="E752:F752"/>
    <mergeCell ref="E753:F753"/>
    <mergeCell ref="E720:F720"/>
    <mergeCell ref="E721:F721"/>
    <mergeCell ref="E722:F722"/>
    <mergeCell ref="E723:F723"/>
    <mergeCell ref="E724:F724"/>
    <mergeCell ref="E725:F725"/>
    <mergeCell ref="E726:F726"/>
    <mergeCell ref="E727:F727"/>
    <mergeCell ref="E728:F728"/>
    <mergeCell ref="E729:F729"/>
    <mergeCell ref="E730:F730"/>
    <mergeCell ref="E731:F731"/>
    <mergeCell ref="E732:F732"/>
    <mergeCell ref="E733:F733"/>
    <mergeCell ref="E734:F734"/>
    <mergeCell ref="E735:F735"/>
    <mergeCell ref="E736:F736"/>
    <mergeCell ref="E703:F703"/>
    <mergeCell ref="E704:F704"/>
    <mergeCell ref="E705:F705"/>
    <mergeCell ref="E706:F706"/>
    <mergeCell ref="E707:F707"/>
    <mergeCell ref="E708:F708"/>
    <mergeCell ref="E709:F709"/>
    <mergeCell ref="E710:F710"/>
    <mergeCell ref="E711:F711"/>
    <mergeCell ref="E712:F712"/>
    <mergeCell ref="E713:F713"/>
    <mergeCell ref="E714:F714"/>
    <mergeCell ref="E715:F715"/>
    <mergeCell ref="E716:F716"/>
    <mergeCell ref="E717:F717"/>
    <mergeCell ref="E718:F718"/>
    <mergeCell ref="E719:F719"/>
    <mergeCell ref="E686:F686"/>
    <mergeCell ref="E687:F687"/>
    <mergeCell ref="E688:F688"/>
    <mergeCell ref="E689:F689"/>
    <mergeCell ref="E690:F690"/>
    <mergeCell ref="E691:F691"/>
    <mergeCell ref="E692:F692"/>
    <mergeCell ref="E693:F693"/>
    <mergeCell ref="E694:F694"/>
    <mergeCell ref="E695:F695"/>
    <mergeCell ref="E696:F696"/>
    <mergeCell ref="E697:F697"/>
    <mergeCell ref="E698:F698"/>
    <mergeCell ref="E699:F699"/>
    <mergeCell ref="E700:F700"/>
    <mergeCell ref="E701:F701"/>
    <mergeCell ref="E702:F702"/>
    <mergeCell ref="E669:F669"/>
    <mergeCell ref="E670:F670"/>
    <mergeCell ref="E671:F671"/>
    <mergeCell ref="E672:F672"/>
    <mergeCell ref="E673:F673"/>
    <mergeCell ref="E674:F674"/>
    <mergeCell ref="E675:F675"/>
    <mergeCell ref="E676:F676"/>
    <mergeCell ref="E677:F677"/>
    <mergeCell ref="E678:F678"/>
    <mergeCell ref="E679:F679"/>
    <mergeCell ref="E680:F680"/>
    <mergeCell ref="E681:F681"/>
    <mergeCell ref="E682:F682"/>
    <mergeCell ref="E683:F683"/>
    <mergeCell ref="E684:F684"/>
    <mergeCell ref="E685:F685"/>
    <mergeCell ref="E652:F652"/>
    <mergeCell ref="E653:F653"/>
    <mergeCell ref="E654:F654"/>
    <mergeCell ref="E655:F655"/>
    <mergeCell ref="E656:F656"/>
    <mergeCell ref="E657:F657"/>
    <mergeCell ref="E658:F658"/>
    <mergeCell ref="E659:F659"/>
    <mergeCell ref="E660:F660"/>
    <mergeCell ref="E661:F661"/>
    <mergeCell ref="E662:F662"/>
    <mergeCell ref="E663:F663"/>
    <mergeCell ref="E664:F664"/>
    <mergeCell ref="E665:F665"/>
    <mergeCell ref="E666:F666"/>
    <mergeCell ref="E667:F667"/>
    <mergeCell ref="E668:F668"/>
    <mergeCell ref="E635:F635"/>
    <mergeCell ref="E636:F636"/>
    <mergeCell ref="E637:F637"/>
    <mergeCell ref="E638:F638"/>
    <mergeCell ref="E639:F639"/>
    <mergeCell ref="E640:F640"/>
    <mergeCell ref="E641:F641"/>
    <mergeCell ref="E642:F642"/>
    <mergeCell ref="E643:F643"/>
    <mergeCell ref="E644:F644"/>
    <mergeCell ref="E645:F645"/>
    <mergeCell ref="E646:F646"/>
    <mergeCell ref="E647:F647"/>
    <mergeCell ref="E648:F648"/>
    <mergeCell ref="E649:F649"/>
    <mergeCell ref="E650:F650"/>
    <mergeCell ref="E651:F651"/>
    <mergeCell ref="E618:F618"/>
    <mergeCell ref="E619:F619"/>
    <mergeCell ref="E620:F620"/>
    <mergeCell ref="E621:F621"/>
    <mergeCell ref="E622:F622"/>
    <mergeCell ref="E623:F623"/>
    <mergeCell ref="E624:F624"/>
    <mergeCell ref="E625:F625"/>
    <mergeCell ref="E626:F626"/>
    <mergeCell ref="E627:F627"/>
    <mergeCell ref="E628:F628"/>
    <mergeCell ref="E629:F629"/>
    <mergeCell ref="E630:F630"/>
    <mergeCell ref="E631:F631"/>
    <mergeCell ref="E632:F632"/>
    <mergeCell ref="E633:F633"/>
    <mergeCell ref="E634:F634"/>
    <mergeCell ref="E601:F601"/>
    <mergeCell ref="E602:F602"/>
    <mergeCell ref="E603:F603"/>
    <mergeCell ref="E604:F604"/>
    <mergeCell ref="E605:F605"/>
    <mergeCell ref="E606:F606"/>
    <mergeCell ref="E607:F607"/>
    <mergeCell ref="E608:F608"/>
    <mergeCell ref="E609:F609"/>
    <mergeCell ref="E610:F610"/>
    <mergeCell ref="E611:F611"/>
    <mergeCell ref="E612:F612"/>
    <mergeCell ref="E613:F613"/>
    <mergeCell ref="E614:F614"/>
    <mergeCell ref="E615:F615"/>
    <mergeCell ref="E616:F616"/>
    <mergeCell ref="E617:F617"/>
    <mergeCell ref="E584:F584"/>
    <mergeCell ref="E585:F585"/>
    <mergeCell ref="E586:F586"/>
    <mergeCell ref="E587:F587"/>
    <mergeCell ref="E588:F588"/>
    <mergeCell ref="E589:F589"/>
    <mergeCell ref="E590:F590"/>
    <mergeCell ref="E591:F591"/>
    <mergeCell ref="E592:F592"/>
    <mergeCell ref="E593:F593"/>
    <mergeCell ref="E594:F594"/>
    <mergeCell ref="E595:F595"/>
    <mergeCell ref="E596:F596"/>
    <mergeCell ref="E597:F597"/>
    <mergeCell ref="E598:F598"/>
    <mergeCell ref="E599:F599"/>
    <mergeCell ref="E600:F600"/>
    <mergeCell ref="E567:F567"/>
    <mergeCell ref="E568:F568"/>
    <mergeCell ref="E569:F569"/>
    <mergeCell ref="E570:F570"/>
    <mergeCell ref="E571:F571"/>
    <mergeCell ref="E572:F572"/>
    <mergeCell ref="E573:F573"/>
    <mergeCell ref="E574:F574"/>
    <mergeCell ref="E575:F575"/>
    <mergeCell ref="E576:F576"/>
    <mergeCell ref="E577:F577"/>
    <mergeCell ref="E578:F578"/>
    <mergeCell ref="E579:F579"/>
    <mergeCell ref="E580:F580"/>
    <mergeCell ref="E581:F581"/>
    <mergeCell ref="E582:F582"/>
    <mergeCell ref="E583:F583"/>
    <mergeCell ref="E550:F550"/>
    <mergeCell ref="E551:F551"/>
    <mergeCell ref="E552:F552"/>
    <mergeCell ref="E553:F553"/>
    <mergeCell ref="E554:F554"/>
    <mergeCell ref="E555:F555"/>
    <mergeCell ref="E556:F556"/>
    <mergeCell ref="E557:F557"/>
    <mergeCell ref="E558:F558"/>
    <mergeCell ref="E559:F559"/>
    <mergeCell ref="E560:F560"/>
    <mergeCell ref="E561:F561"/>
    <mergeCell ref="E562:F562"/>
    <mergeCell ref="E563:F563"/>
    <mergeCell ref="E564:F564"/>
    <mergeCell ref="E565:F565"/>
    <mergeCell ref="E566:F566"/>
    <mergeCell ref="E533:F533"/>
    <mergeCell ref="E534:F534"/>
    <mergeCell ref="E535:F535"/>
    <mergeCell ref="E536:F536"/>
    <mergeCell ref="E537:F537"/>
    <mergeCell ref="E538:F538"/>
    <mergeCell ref="E539:F539"/>
    <mergeCell ref="E540:F540"/>
    <mergeCell ref="E541:F541"/>
    <mergeCell ref="E542:F542"/>
    <mergeCell ref="E543:F543"/>
    <mergeCell ref="E544:F544"/>
    <mergeCell ref="E545:F545"/>
    <mergeCell ref="E546:F546"/>
    <mergeCell ref="E547:F547"/>
    <mergeCell ref="E548:F548"/>
    <mergeCell ref="E549:F549"/>
    <mergeCell ref="E516:F516"/>
    <mergeCell ref="E517:F517"/>
    <mergeCell ref="E518:F518"/>
    <mergeCell ref="E519:F519"/>
    <mergeCell ref="E520:F520"/>
    <mergeCell ref="E521:F521"/>
    <mergeCell ref="E522:F522"/>
    <mergeCell ref="E523:F523"/>
    <mergeCell ref="E524:F524"/>
    <mergeCell ref="E525:F525"/>
    <mergeCell ref="E526:F526"/>
    <mergeCell ref="E527:F527"/>
    <mergeCell ref="E528:F528"/>
    <mergeCell ref="E529:F529"/>
    <mergeCell ref="E530:F530"/>
    <mergeCell ref="E531:F531"/>
    <mergeCell ref="E532:F532"/>
    <mergeCell ref="E497:F497"/>
    <mergeCell ref="E498:F498"/>
    <mergeCell ref="E499:F499"/>
    <mergeCell ref="E500:F500"/>
    <mergeCell ref="E501:F501"/>
    <mergeCell ref="E502:F502"/>
    <mergeCell ref="E503:F503"/>
    <mergeCell ref="E504:F504"/>
    <mergeCell ref="E505:F505"/>
    <mergeCell ref="E506:F506"/>
    <mergeCell ref="E507:F507"/>
    <mergeCell ref="E508:F508"/>
    <mergeCell ref="E509:F509"/>
    <mergeCell ref="E512:F512"/>
    <mergeCell ref="E513:F513"/>
    <mergeCell ref="E514:F514"/>
    <mergeCell ref="E515:F515"/>
    <mergeCell ref="E480:F480"/>
    <mergeCell ref="E481:F481"/>
    <mergeCell ref="E482:F482"/>
    <mergeCell ref="E483:F483"/>
    <mergeCell ref="E484:F484"/>
    <mergeCell ref="E485:F485"/>
    <mergeCell ref="E486:F486"/>
    <mergeCell ref="E487:F487"/>
    <mergeCell ref="E488:F488"/>
    <mergeCell ref="E489:F489"/>
    <mergeCell ref="E490:F490"/>
    <mergeCell ref="E491:F491"/>
    <mergeCell ref="E492:F492"/>
    <mergeCell ref="E493:F493"/>
    <mergeCell ref="E494:F494"/>
    <mergeCell ref="E495:F495"/>
    <mergeCell ref="E496:F496"/>
    <mergeCell ref="E463:F463"/>
    <mergeCell ref="E464:F464"/>
    <mergeCell ref="E465:F465"/>
    <mergeCell ref="E466:F466"/>
    <mergeCell ref="E467:F467"/>
    <mergeCell ref="E468:F468"/>
    <mergeCell ref="E469:F469"/>
    <mergeCell ref="E470:F470"/>
    <mergeCell ref="E471:F471"/>
    <mergeCell ref="E472:F472"/>
    <mergeCell ref="E473:F473"/>
    <mergeCell ref="E474:F474"/>
    <mergeCell ref="E475:F475"/>
    <mergeCell ref="E476:F476"/>
    <mergeCell ref="E477:F477"/>
    <mergeCell ref="E478:F478"/>
    <mergeCell ref="E479:F479"/>
    <mergeCell ref="E446:F446"/>
    <mergeCell ref="E447:F447"/>
    <mergeCell ref="E448:F448"/>
    <mergeCell ref="E449:F449"/>
    <mergeCell ref="E450:F450"/>
    <mergeCell ref="E451:F451"/>
    <mergeCell ref="E452:F452"/>
    <mergeCell ref="E453:F453"/>
    <mergeCell ref="E454:F454"/>
    <mergeCell ref="E455:F455"/>
    <mergeCell ref="E456:F456"/>
    <mergeCell ref="E457:F457"/>
    <mergeCell ref="E458:F458"/>
    <mergeCell ref="E459:F459"/>
    <mergeCell ref="E460:F460"/>
    <mergeCell ref="E461:F461"/>
    <mergeCell ref="E462:F462"/>
    <mergeCell ref="E429:F429"/>
    <mergeCell ref="E430:F430"/>
    <mergeCell ref="E431:F431"/>
    <mergeCell ref="E432:F432"/>
    <mergeCell ref="E433:F433"/>
    <mergeCell ref="E434:F434"/>
    <mergeCell ref="E435:F435"/>
    <mergeCell ref="E436:F436"/>
    <mergeCell ref="E437:F437"/>
    <mergeCell ref="E438:F438"/>
    <mergeCell ref="E439:F439"/>
    <mergeCell ref="E440:F440"/>
    <mergeCell ref="E441:F441"/>
    <mergeCell ref="E442:F442"/>
    <mergeCell ref="E443:F443"/>
    <mergeCell ref="E444:F444"/>
    <mergeCell ref="E445:F445"/>
    <mergeCell ref="E412:F412"/>
    <mergeCell ref="E413:F413"/>
    <mergeCell ref="E414:F414"/>
    <mergeCell ref="E415:F415"/>
    <mergeCell ref="E416:F416"/>
    <mergeCell ref="E417:F417"/>
    <mergeCell ref="E418:F418"/>
    <mergeCell ref="E419:F419"/>
    <mergeCell ref="E420:F420"/>
    <mergeCell ref="E421:F421"/>
    <mergeCell ref="E422:F422"/>
    <mergeCell ref="E423:F423"/>
    <mergeCell ref="E424:F424"/>
    <mergeCell ref="E425:F425"/>
    <mergeCell ref="E426:F426"/>
    <mergeCell ref="E427:F427"/>
    <mergeCell ref="E428:F428"/>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409:F409"/>
    <mergeCell ref="E410:F410"/>
    <mergeCell ref="E411:F411"/>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92:F392"/>
    <mergeCell ref="E393:F393"/>
    <mergeCell ref="E394:F394"/>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75:F375"/>
    <mergeCell ref="E376:F376"/>
    <mergeCell ref="E377:F377"/>
    <mergeCell ref="E344:F344"/>
    <mergeCell ref="E345:F345"/>
    <mergeCell ref="E346:F346"/>
    <mergeCell ref="E347:F347"/>
    <mergeCell ref="E348:F348"/>
    <mergeCell ref="E349:F349"/>
    <mergeCell ref="E350:F350"/>
    <mergeCell ref="E351:F351"/>
    <mergeCell ref="E352:F352"/>
    <mergeCell ref="E353:F353"/>
    <mergeCell ref="E354:F354"/>
    <mergeCell ref="E355:F355"/>
    <mergeCell ref="E356:F356"/>
    <mergeCell ref="E357:F357"/>
    <mergeCell ref="E358:F358"/>
    <mergeCell ref="E359:F359"/>
    <mergeCell ref="E360:F360"/>
    <mergeCell ref="E327:F327"/>
    <mergeCell ref="E328:F328"/>
    <mergeCell ref="E329:F329"/>
    <mergeCell ref="E330:F330"/>
    <mergeCell ref="E331:F331"/>
    <mergeCell ref="E332:F332"/>
    <mergeCell ref="E333:F333"/>
    <mergeCell ref="E334:F334"/>
    <mergeCell ref="E335:F335"/>
    <mergeCell ref="E336:F336"/>
    <mergeCell ref="E337:F337"/>
    <mergeCell ref="E338:F338"/>
    <mergeCell ref="E339:F339"/>
    <mergeCell ref="E340:F340"/>
    <mergeCell ref="E341:F341"/>
    <mergeCell ref="E342:F342"/>
    <mergeCell ref="E343:F343"/>
    <mergeCell ref="E310:F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324:F324"/>
    <mergeCell ref="E325:F325"/>
    <mergeCell ref="E326:F326"/>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307:F307"/>
    <mergeCell ref="E308:F308"/>
    <mergeCell ref="E309:F309"/>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90:F290"/>
    <mergeCell ref="E291:F291"/>
    <mergeCell ref="E292:F292"/>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E272:F272"/>
    <mergeCell ref="E273:F273"/>
    <mergeCell ref="E274:F274"/>
    <mergeCell ref="E275:F275"/>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56:F256"/>
    <mergeCell ref="E257:F257"/>
    <mergeCell ref="E258:F258"/>
    <mergeCell ref="E225:F225"/>
    <mergeCell ref="E226:F226"/>
    <mergeCell ref="E227:F227"/>
    <mergeCell ref="E228:F228"/>
    <mergeCell ref="E229:F229"/>
    <mergeCell ref="E230:F230"/>
    <mergeCell ref="E231:F231"/>
    <mergeCell ref="E232:F232"/>
    <mergeCell ref="E233:F233"/>
    <mergeCell ref="E234:F234"/>
    <mergeCell ref="E235:F235"/>
    <mergeCell ref="E236:F236"/>
    <mergeCell ref="E237:F237"/>
    <mergeCell ref="E238:F238"/>
    <mergeCell ref="E239:F239"/>
    <mergeCell ref="E240:F240"/>
    <mergeCell ref="E241:F241"/>
    <mergeCell ref="E208:F208"/>
    <mergeCell ref="E209:F209"/>
    <mergeCell ref="E210:F210"/>
    <mergeCell ref="E211:F211"/>
    <mergeCell ref="E212:F212"/>
    <mergeCell ref="E213:F213"/>
    <mergeCell ref="E214:F214"/>
    <mergeCell ref="E215:F215"/>
    <mergeCell ref="E216:F216"/>
    <mergeCell ref="E217:F217"/>
    <mergeCell ref="E218:F218"/>
    <mergeCell ref="E219:F219"/>
    <mergeCell ref="E220:F220"/>
    <mergeCell ref="E221:F221"/>
    <mergeCell ref="E222:F222"/>
    <mergeCell ref="E223:F223"/>
    <mergeCell ref="E224:F224"/>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E204:F204"/>
    <mergeCell ref="E205:F205"/>
    <mergeCell ref="E206:F206"/>
    <mergeCell ref="E207:F207"/>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88:F188"/>
    <mergeCell ref="E189:F189"/>
    <mergeCell ref="E190:F190"/>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72:F172"/>
    <mergeCell ref="E173:F173"/>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E156:F156"/>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E139:F139"/>
    <mergeCell ref="E106:F106"/>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120:F120"/>
    <mergeCell ref="E121:F121"/>
    <mergeCell ref="E122:F122"/>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103:F103"/>
    <mergeCell ref="E104:F104"/>
    <mergeCell ref="E105:F105"/>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55:F55"/>
    <mergeCell ref="E56:F56"/>
    <mergeCell ref="E57:F57"/>
    <mergeCell ref="E58:F58"/>
    <mergeCell ref="E59:F59"/>
    <mergeCell ref="E60:F60"/>
    <mergeCell ref="E61:F61"/>
    <mergeCell ref="E62:F62"/>
    <mergeCell ref="E63:F63"/>
    <mergeCell ref="E64:F64"/>
    <mergeCell ref="E65:F65"/>
    <mergeCell ref="E66:F66"/>
    <mergeCell ref="E67:F67"/>
    <mergeCell ref="E68:F68"/>
    <mergeCell ref="E69:F69"/>
    <mergeCell ref="E70:F70"/>
    <mergeCell ref="E71:F71"/>
    <mergeCell ref="E38:F38"/>
    <mergeCell ref="E39:F39"/>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 ref="E37:F37"/>
    <mergeCell ref="C1:L1"/>
    <mergeCell ref="C2:L2"/>
    <mergeCell ref="C3:D3"/>
    <mergeCell ref="G3:H3"/>
    <mergeCell ref="G4:H4"/>
    <mergeCell ref="G6:H6"/>
    <mergeCell ref="E10:F10"/>
    <mergeCell ref="E11:F11"/>
    <mergeCell ref="E12:F12"/>
    <mergeCell ref="E13:F13"/>
    <mergeCell ref="E14:F14"/>
    <mergeCell ref="E15:F15"/>
    <mergeCell ref="E16:F16"/>
    <mergeCell ref="E17:F17"/>
    <mergeCell ref="E18:F18"/>
    <mergeCell ref="E19:F19"/>
    <mergeCell ref="E20:F20"/>
  </mergeCells>
  <conditionalFormatting sqref="K1013:L1015 C1013:C1015 N10:N510 C10:E510 C512:E1012 H10:L510 H512:L1012">
    <cfRule type="cellIs" dxfId="108" priority="2" operator="equal">
      <formula>0</formula>
    </cfRule>
  </conditionalFormatting>
  <conditionalFormatting sqref="T1017:T1018">
    <cfRule type="cellIs" dxfId="107" priority="3" operator="equal">
      <formula>0</formula>
    </cfRule>
  </conditionalFormatting>
  <dataValidations count="2">
    <dataValidation allowBlank="1" showErrorMessage="1" promptTitle="Month" prompt="Select the month for the report here and in cell C1" sqref="M7:M8">
      <formula1>0</formula1>
      <formula2>0</formula2>
    </dataValidation>
    <dataValidation type="date" operator="greaterThan" allowBlank="1" showInputMessage="1" showErrorMessage="1" sqref="E3 G3:H3">
      <formula1>42917</formula1>
      <formula2>0</formula2>
    </dataValidation>
  </dataValidations>
  <printOptions horizontalCentered="1"/>
  <pageMargins left="0.74791666666666701" right="0.27569444444444402" top="0.41944444444444401" bottom="0.95" header="0.109722222222222" footer="0.15763888888888899"/>
  <pageSetup fitToHeight="0" orientation="portrait" horizontalDpi="300" verticalDpi="300"/>
  <headerFooter>
    <oddHeader>&amp;C&amp;16</oddHeader>
    <oddFooter>&amp;L&amp;"Arial,Bold"&amp;8ADJ = Adjustment / Ajustement
BK = Transactions by the bank / par la banque
CC = Credit card / Carte de crédit
CH = Cheque / Chèque
DD = Direct Deposit / Dépôt direct
ET = eTranfer / Trsf électronique
&amp;"Arial,Regular"&amp;10&amp;D&amp;R&amp;P/&amp;N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B1:BR797"/>
  <sheetViews>
    <sheetView showGridLines="0" showRowColHeaders="0" showZeros="0" topLeftCell="A10" zoomScale="85" zoomScaleNormal="85" workbookViewId="0">
      <selection activeCell="N588" sqref="N588"/>
    </sheetView>
  </sheetViews>
  <sheetFormatPr defaultColWidth="11.42578125" defaultRowHeight="12.75" x14ac:dyDescent="0.2"/>
  <cols>
    <col min="1" max="1" width="15.5703125" customWidth="1"/>
    <col min="2" max="2" width="3" customWidth="1"/>
    <col min="3" max="3" width="25.85546875" customWidth="1"/>
    <col min="4" max="4" width="19" customWidth="1"/>
    <col min="5" max="5" width="11.5703125" customWidth="1"/>
    <col min="6" max="6" width="15.7109375" customWidth="1"/>
    <col min="7" max="7" width="17.7109375" customWidth="1"/>
    <col min="8" max="8" width="3" customWidth="1"/>
    <col min="9" max="9" width="21.85546875" customWidth="1"/>
    <col min="10" max="10" width="15" customWidth="1"/>
    <col min="11" max="11" width="15.42578125" customWidth="1"/>
    <col min="12" max="12" width="6.7109375" hidden="1" customWidth="1"/>
    <col min="13" max="13" width="15.7109375" customWidth="1"/>
    <col min="14" max="14" width="21.42578125" customWidth="1"/>
    <col min="15" max="15" width="3" customWidth="1"/>
    <col min="16" max="16" width="1.5703125" style="568" customWidth="1"/>
    <col min="17" max="17" width="19.7109375" style="568" customWidth="1"/>
    <col min="18" max="18" width="24.28515625" style="568" customWidth="1"/>
    <col min="19" max="19" width="15.7109375" style="568" customWidth="1"/>
    <col min="20" max="20" width="19.85546875" style="568" hidden="1" customWidth="1"/>
    <col min="21" max="21" width="15.85546875" style="568" hidden="1" customWidth="1"/>
    <col min="22" max="22" width="15.7109375" style="569" hidden="1" customWidth="1"/>
    <col min="23" max="28" width="15.7109375" style="568" hidden="1" customWidth="1"/>
    <col min="29" max="40" width="15.7109375" style="568" customWidth="1"/>
    <col min="41" max="62" width="15.85546875" style="568" customWidth="1"/>
    <col min="63" max="65" width="15.85546875" customWidth="1"/>
    <col min="66" max="66" width="9.140625" customWidth="1"/>
    <col min="67" max="67" width="8.28515625" customWidth="1"/>
    <col min="68" max="257" width="9.140625" customWidth="1"/>
  </cols>
  <sheetData>
    <row r="1" spans="2:62" ht="33.75" customHeight="1" x14ac:dyDescent="0.4">
      <c r="B1" s="1452" t="str">
        <f>IF(Q2=2,"Réconciliation des comptes","Accounts Reconciliation")</f>
        <v>Accounts Reconciliation</v>
      </c>
      <c r="C1" s="1452"/>
      <c r="D1" s="1452"/>
      <c r="E1" s="1452"/>
      <c r="F1" s="1452"/>
      <c r="G1" s="1452"/>
      <c r="H1" s="1452"/>
      <c r="I1" s="1452"/>
      <c r="J1" s="1452"/>
      <c r="K1" s="1452"/>
      <c r="L1" s="1452"/>
      <c r="M1" s="1452"/>
      <c r="N1" s="1452"/>
      <c r="O1" s="146"/>
    </row>
    <row r="2" spans="2:62" ht="33.75" customHeight="1" x14ac:dyDescent="0.2">
      <c r="B2" s="1514">
        <f>'Data Set up'!B2</f>
        <v>0</v>
      </c>
      <c r="C2" s="1514"/>
      <c r="D2" s="1514"/>
      <c r="E2" s="1514"/>
      <c r="F2" s="1514"/>
      <c r="G2" s="1514"/>
      <c r="H2" s="1514"/>
      <c r="I2" s="1514"/>
      <c r="J2" s="1514"/>
      <c r="K2" s="1514"/>
      <c r="L2" s="1514"/>
      <c r="M2" s="1514"/>
      <c r="N2" s="1514"/>
      <c r="O2" s="349"/>
      <c r="P2" s="570"/>
      <c r="Q2" s="571">
        <f>'Data Set up'!K10</f>
        <v>1</v>
      </c>
      <c r="R2" s="570"/>
      <c r="S2" s="570"/>
    </row>
    <row r="3" spans="2:62" s="1" customFormat="1" ht="24" customHeight="1" x14ac:dyDescent="0.2">
      <c r="B3" s="1526" t="str">
        <f>IF(Q2=2,"Détail des comptes réconciliés","Reconciliated Accounts Details")</f>
        <v>Reconciliated Accounts Details</v>
      </c>
      <c r="C3" s="1526"/>
      <c r="D3" s="1526"/>
      <c r="E3" s="1526"/>
      <c r="F3" s="1526"/>
      <c r="G3" s="1526"/>
      <c r="H3" s="1526"/>
      <c r="I3" s="1526"/>
      <c r="J3" s="1526"/>
      <c r="K3" s="1526"/>
      <c r="L3" s="1526"/>
      <c r="M3" s="1526"/>
      <c r="N3" s="1526"/>
      <c r="O3" s="572"/>
      <c r="Q3" s="573"/>
      <c r="R3" s="80"/>
      <c r="S3" s="80"/>
      <c r="T3" s="80"/>
      <c r="U3" s="80"/>
      <c r="V3" s="144"/>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row>
    <row r="4" spans="2:62" s="1" customFormat="1" ht="33.75" customHeight="1" x14ac:dyDescent="0.2">
      <c r="C4" s="1527" t="str">
        <f>IF($Q$2=2,"En date du","As of")</f>
        <v>As of</v>
      </c>
      <c r="D4" s="1527"/>
      <c r="E4" s="1527"/>
      <c r="F4" s="1527"/>
      <c r="G4" s="1527"/>
      <c r="H4" s="1527"/>
      <c r="I4" s="1527"/>
      <c r="J4" s="1527"/>
      <c r="K4" s="1527"/>
      <c r="L4" s="1527"/>
      <c r="M4" s="1527"/>
      <c r="N4" s="1527"/>
      <c r="O4" s="574"/>
      <c r="P4" s="575"/>
      <c r="R4" s="80"/>
      <c r="S4" s="80"/>
      <c r="T4" s="576" t="str">
        <f>'Data Set up'!F40&amp;" "&amp;'Data Set up'!G40&amp;" "&amp;'Data Set up'!G39</f>
        <v>31 August 2024</v>
      </c>
      <c r="U4" s="80"/>
      <c r="V4" s="144"/>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row>
    <row r="5" spans="2:62" s="1" customFormat="1" ht="33.75" customHeight="1" x14ac:dyDescent="0.2">
      <c r="C5" s="1527">
        <f>J23</f>
        <v>0</v>
      </c>
      <c r="D5" s="1527"/>
      <c r="E5" s="1527"/>
      <c r="F5" s="1527"/>
      <c r="G5" s="1527"/>
      <c r="H5" s="1527"/>
      <c r="I5" s="1527"/>
      <c r="J5" s="1527"/>
      <c r="K5" s="1527"/>
      <c r="L5" s="1527"/>
      <c r="M5" s="1527"/>
      <c r="N5" s="1527"/>
      <c r="O5" s="574"/>
      <c r="P5" s="575"/>
      <c r="R5" s="80"/>
      <c r="S5" s="80"/>
      <c r="T5" s="80" t="s">
        <v>367</v>
      </c>
      <c r="U5" s="80"/>
      <c r="V5" s="144"/>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row>
    <row r="6" spans="2:62" s="1" customFormat="1" ht="40.5" customHeight="1" x14ac:dyDescent="0.2">
      <c r="D6" s="1528" t="str">
        <f>IF($Q$2=2,"Réconciliation détaillée du compte "&amp;F8&amp;" - "&amp;C8,"Detailed Reconciliation of the Account "&amp;F8&amp;" - "&amp;C8)</f>
        <v>Detailed Reconciliation of the Account 1010 - Other Cash in hand</v>
      </c>
      <c r="E6" s="1528"/>
      <c r="F6" s="1528"/>
      <c r="G6" s="1528"/>
      <c r="H6" s="1528"/>
      <c r="I6" s="1528"/>
      <c r="J6" s="1528"/>
      <c r="K6" s="1528"/>
      <c r="L6" s="1528"/>
      <c r="M6" s="1528"/>
      <c r="N6" s="577"/>
      <c r="P6" s="80"/>
      <c r="R6" s="80"/>
      <c r="S6" s="80"/>
      <c r="T6" s="80" t="s">
        <v>368</v>
      </c>
      <c r="U6" s="80"/>
      <c r="V6" s="144"/>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row>
    <row r="7" spans="2:62" s="1" customFormat="1" ht="29.25" customHeight="1" x14ac:dyDescent="0.2">
      <c r="C7" s="1529" t="str">
        <f>IF($Q$2=2,"Réconciliation selon les livres comptables","Reconciliation as per BookKeeping")</f>
        <v>Reconciliation as per BookKeeping</v>
      </c>
      <c r="D7" s="1529"/>
      <c r="E7" s="1529"/>
      <c r="F7" s="1529"/>
      <c r="G7" s="1529"/>
      <c r="I7" s="1529" t="str">
        <f>IF($Q$2=2,"Réconciliation selon l'état de compte","Reconciliation as per Account Statement")</f>
        <v>Reconciliation as per Account Statement</v>
      </c>
      <c r="J7" s="1529"/>
      <c r="K7" s="1529"/>
      <c r="L7" s="1529"/>
      <c r="M7" s="1529"/>
      <c r="N7" s="578" t="str">
        <f>F8</f>
        <v>1010</v>
      </c>
      <c r="P7" s="579"/>
      <c r="R7" s="579"/>
      <c r="S7" s="579"/>
      <c r="T7" s="80" t="s">
        <v>369</v>
      </c>
      <c r="U7" s="579"/>
      <c r="V7" s="47"/>
      <c r="W7" s="579"/>
      <c r="X7" s="579"/>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row>
    <row r="8" spans="2:62" s="1" customFormat="1" ht="25.5" customHeight="1" x14ac:dyDescent="0.2">
      <c r="C8" s="1530" t="str">
        <f>'Data Set up'!I18</f>
        <v>Other Cash in hand</v>
      </c>
      <c r="D8" s="1530"/>
      <c r="E8" s="1530"/>
      <c r="F8" s="580" t="str">
        <f>LEFT('Data Set up'!H18,4)</f>
        <v>1010</v>
      </c>
      <c r="G8" s="355"/>
      <c r="I8" s="1531"/>
      <c r="J8" s="1531"/>
      <c r="K8" s="1531"/>
      <c r="L8" s="1531"/>
      <c r="M8" s="1531"/>
      <c r="N8" s="1531"/>
      <c r="P8" s="80"/>
      <c r="R8" s="80"/>
      <c r="S8" s="80"/>
      <c r="T8" s="80" t="s">
        <v>370</v>
      </c>
      <c r="U8" s="80"/>
      <c r="V8" s="144"/>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row>
    <row r="9" spans="2:62" s="1" customFormat="1" ht="25.5" customHeight="1" x14ac:dyDescent="0.2">
      <c r="C9" s="1532" t="str">
        <f>IF($Q$2=2,"Solde du compte au ","Account Balance on ")</f>
        <v xml:space="preserve">Account Balance on </v>
      </c>
      <c r="D9" s="1532"/>
      <c r="E9" s="1532"/>
      <c r="F9" s="581" t="str">
        <f>'Data Set up'!$F$40&amp;" "&amp;'Data Set up'!$G$40&amp;" "&amp;'Data Set up'!$F$39</f>
        <v>31 August 2023</v>
      </c>
      <c r="G9" s="582">
        <f>'Data Set up'!F18</f>
        <v>0</v>
      </c>
      <c r="I9" s="1533" t="str">
        <f>IF($Q$2=2,"Solde en main en fin d'exercice","End of Year Balance in hand")</f>
        <v>End of Year Balance in hand</v>
      </c>
      <c r="J9" s="1533"/>
      <c r="K9" s="1533"/>
      <c r="L9" s="1533"/>
      <c r="M9" s="1533"/>
      <c r="N9" s="583">
        <v>0</v>
      </c>
      <c r="P9" s="80"/>
      <c r="Q9" s="1534" t="str">
        <f>IF($Q$2=2,"Inscrivez le solde ici","Insert the Balance here")</f>
        <v>Insert the Balance here</v>
      </c>
      <c r="R9" s="1534"/>
      <c r="S9" s="1534"/>
      <c r="T9" s="584">
        <f ca="1">IF(TODAY()&lt;T4,TODAY(),T4)</f>
        <v>45154</v>
      </c>
      <c r="U9" s="585">
        <f>N9*1</f>
        <v>0</v>
      </c>
      <c r="V9" s="144" t="str">
        <f>F8</f>
        <v>1010</v>
      </c>
      <c r="W9" s="208">
        <f>$G9</f>
        <v>0</v>
      </c>
      <c r="X9" s="208">
        <f>$G10</f>
        <v>0</v>
      </c>
      <c r="Y9" s="208">
        <f>$G11</f>
        <v>0</v>
      </c>
      <c r="Z9" s="144" t="str">
        <f>C8</f>
        <v>Other Cash in hand</v>
      </c>
      <c r="AA9" s="80" t="str">
        <f t="shared" ref="AA9:AA19" si="0">CONCATENATE(V9," - ",Z9)</f>
        <v>1010 - Other Cash in hand</v>
      </c>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row>
    <row r="10" spans="2:62" s="1" customFormat="1" ht="25.5" customHeight="1" x14ac:dyDescent="0.2">
      <c r="C10" s="1535" t="str">
        <f>IF($Q$2=2,"Plus: Accroissements (Jrnl des revenus)","Plus: Increases (Revenue Jrnl)")</f>
        <v>Plus: Increases (Revenue Jrnl)</v>
      </c>
      <c r="D10" s="1535"/>
      <c r="E10" s="1535"/>
      <c r="F10" s="1535"/>
      <c r="G10" s="582">
        <f>'Revenue Jrnl'!G523</f>
        <v>0</v>
      </c>
      <c r="H10" s="586"/>
      <c r="P10" s="80"/>
      <c r="Q10" s="80"/>
      <c r="R10" s="80"/>
      <c r="S10" s="80"/>
      <c r="T10" s="80"/>
      <c r="U10" s="80"/>
      <c r="V10" s="144" t="str">
        <f>F22</f>
        <v>1020</v>
      </c>
      <c r="W10" s="208">
        <f>$G23</f>
        <v>0</v>
      </c>
      <c r="X10" s="208">
        <f>$G23</f>
        <v>0</v>
      </c>
      <c r="Y10" s="208">
        <f>$G24</f>
        <v>0</v>
      </c>
      <c r="Z10" s="144" t="str">
        <f>C22</f>
        <v>Main Bank Account</v>
      </c>
      <c r="AA10" s="80" t="str">
        <f t="shared" si="0"/>
        <v>1020 - Main Bank Account</v>
      </c>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row>
    <row r="11" spans="2:62" s="1" customFormat="1" ht="25.5" customHeight="1" x14ac:dyDescent="0.2">
      <c r="C11" s="1535" t="str">
        <f>IF($Q$2=2," Moins: Décroissements (Jrnl des dépenses)","Less: Decreases (Expense Jrnl)")</f>
        <v>Less: Decreases (Expense Jrnl)</v>
      </c>
      <c r="D11" s="1535"/>
      <c r="E11" s="1535"/>
      <c r="F11" s="1535"/>
      <c r="G11" s="582">
        <f>'Expense Jrnl'!G523</f>
        <v>0</v>
      </c>
      <c r="I11" s="579"/>
      <c r="J11" s="579"/>
      <c r="K11" s="579"/>
      <c r="L11" s="579"/>
      <c r="M11" s="579"/>
      <c r="N11" s="587"/>
      <c r="P11" s="80"/>
      <c r="Q11" s="80"/>
      <c r="R11" s="80"/>
      <c r="S11" s="80"/>
      <c r="T11" s="477"/>
      <c r="U11" s="80"/>
      <c r="V11" s="144" t="str">
        <f>F67</f>
        <v>1030</v>
      </c>
      <c r="W11" s="208">
        <f>$G68</f>
        <v>0</v>
      </c>
      <c r="X11" s="208">
        <f>$G69</f>
        <v>0</v>
      </c>
      <c r="Y11" s="208">
        <f>$G70</f>
        <v>0</v>
      </c>
      <c r="Z11" s="144" t="str">
        <f>C67</f>
        <v>Canteen</v>
      </c>
      <c r="AA11" s="80" t="str">
        <f t="shared" si="0"/>
        <v>1030 - Canteen</v>
      </c>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row>
    <row r="12" spans="2:62" s="1" customFormat="1" ht="25.5" customHeight="1" x14ac:dyDescent="0.2">
      <c r="C12" s="1536"/>
      <c r="D12" s="1536"/>
      <c r="E12" s="1536"/>
      <c r="F12" s="1536"/>
      <c r="H12" s="586"/>
      <c r="P12" s="80"/>
      <c r="Q12" s="80"/>
      <c r="R12" s="80"/>
      <c r="S12" s="80"/>
      <c r="T12" s="80"/>
      <c r="U12" s="80"/>
      <c r="V12" s="144" t="str">
        <f>F81</f>
        <v>1040</v>
      </c>
      <c r="W12" s="208">
        <f>$G82</f>
        <v>0</v>
      </c>
      <c r="X12" s="208">
        <f>$G83</f>
        <v>0</v>
      </c>
      <c r="Y12" s="208">
        <f>$G84</f>
        <v>0</v>
      </c>
      <c r="Z12" s="144" t="str">
        <f>C81</f>
        <v>Petty Cash</v>
      </c>
      <c r="AA12" s="80" t="str">
        <f t="shared" si="0"/>
        <v>1040 - Petty Cash</v>
      </c>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row>
    <row r="13" spans="2:62" s="1" customFormat="1" ht="25.5" customHeight="1" x14ac:dyDescent="0.2">
      <c r="C13" s="1537" t="str">
        <f>IF($Q$2=2,F8&amp;" Fonds disponible du compte",F8&amp;" Account Available Funds")</f>
        <v>1010 Account Available Funds</v>
      </c>
      <c r="D13" s="1537"/>
      <c r="E13" s="1537"/>
      <c r="F13" s="1537"/>
      <c r="G13" s="588"/>
      <c r="I13" s="143"/>
      <c r="J13" s="80"/>
      <c r="K13" s="80"/>
      <c r="L13" s="80"/>
      <c r="M13" s="80"/>
      <c r="N13" s="589"/>
      <c r="P13" s="80"/>
      <c r="Q13" s="80"/>
      <c r="R13" s="80"/>
      <c r="S13" s="80"/>
      <c r="T13" s="80"/>
      <c r="U13" s="80"/>
      <c r="V13" s="144" t="str">
        <f>F95</f>
        <v>1050</v>
      </c>
      <c r="W13" s="208">
        <f>$G96</f>
        <v>0</v>
      </c>
      <c r="X13" s="208">
        <f>$G97</f>
        <v>0</v>
      </c>
      <c r="Y13" s="208">
        <f>$G98</f>
        <v>0</v>
      </c>
      <c r="Z13" s="144" t="str">
        <f>C95</f>
        <v>Available (Rename)</v>
      </c>
      <c r="AA13" s="80" t="str">
        <f t="shared" si="0"/>
        <v>1050 - Available (Rename)</v>
      </c>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row>
    <row r="14" spans="2:62" s="1" customFormat="1" ht="25.5" customHeight="1" x14ac:dyDescent="0.2">
      <c r="C14" s="1538" t="str">
        <f>IF($Q$2=2,"Solde reporté à la ligne "&amp;F8&amp;" du Bilan - page 6","This balance fwrd'd to line "&amp;F8&amp;" of Balance Sheet -  page 6")</f>
        <v>This balance fwrd'd to line 1010 of Balance Sheet -  page 6</v>
      </c>
      <c r="D14" s="1538"/>
      <c r="E14" s="1538"/>
      <c r="F14" s="1538"/>
      <c r="G14" s="590">
        <f>IF(AND(SUM(G9+G10-G11)&lt;0.001,SUM(G9+G10-G11)&gt;-0.001),0,SUM(G9+G10-G11))</f>
        <v>0</v>
      </c>
      <c r="H14" s="398"/>
      <c r="J14" s="355"/>
      <c r="K14" s="355"/>
      <c r="L14" s="355"/>
      <c r="M14" s="591"/>
      <c r="N14" s="590">
        <f>N9</f>
        <v>0</v>
      </c>
      <c r="P14" s="80"/>
      <c r="Q14" s="80"/>
      <c r="R14" s="80"/>
      <c r="S14" s="80"/>
      <c r="T14" s="80"/>
      <c r="U14" s="80"/>
      <c r="V14" s="144" t="str">
        <f>F109</f>
        <v>1060</v>
      </c>
      <c r="W14" s="208">
        <f>$G110</f>
        <v>0</v>
      </c>
      <c r="X14" s="208">
        <f>$G111</f>
        <v>0</v>
      </c>
      <c r="Y14" s="208">
        <f>$G112</f>
        <v>0</v>
      </c>
      <c r="Z14" s="144" t="str">
        <f>C109</f>
        <v>Available (Rename)</v>
      </c>
      <c r="AA14" s="80" t="str">
        <f t="shared" si="0"/>
        <v>1060 - Available (Rename)</v>
      </c>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row>
    <row r="15" spans="2:62" s="1" customFormat="1" ht="9.75" customHeight="1" x14ac:dyDescent="0.2">
      <c r="F15" s="592"/>
      <c r="J15" s="586"/>
      <c r="M15" s="593"/>
      <c r="P15" s="80"/>
      <c r="Q15" s="80"/>
      <c r="R15" s="80"/>
      <c r="S15" s="80"/>
      <c r="T15" s="80"/>
      <c r="U15" s="80"/>
      <c r="V15" s="144" t="str">
        <f>F123</f>
        <v>1070</v>
      </c>
      <c r="W15" s="208">
        <f>$G124</f>
        <v>0</v>
      </c>
      <c r="X15" s="208">
        <f>$G125</f>
        <v>0</v>
      </c>
      <c r="Y15" s="208">
        <f>$G126</f>
        <v>0</v>
      </c>
      <c r="Z15" s="144" t="str">
        <f>C123</f>
        <v>Available (Rename)</v>
      </c>
      <c r="AA15" s="80" t="str">
        <f t="shared" si="0"/>
        <v>1070 - Available (Rename)</v>
      </c>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row>
    <row r="16" spans="2:62" s="1" customFormat="1" ht="9.75" customHeight="1" x14ac:dyDescent="0.2">
      <c r="C16" s="355"/>
      <c r="D16" s="355"/>
      <c r="E16" s="355"/>
      <c r="F16" s="355"/>
      <c r="G16" s="355"/>
      <c r="H16" s="355"/>
      <c r="I16" s="355"/>
      <c r="J16" s="355"/>
      <c r="K16" s="355"/>
      <c r="L16" s="355"/>
      <c r="M16" s="355"/>
      <c r="P16" s="80"/>
      <c r="Q16" s="80"/>
      <c r="R16" s="80"/>
      <c r="S16" s="80"/>
      <c r="T16" s="80"/>
      <c r="U16" s="80"/>
      <c r="V16" s="144" t="str">
        <f>F137</f>
        <v>1210</v>
      </c>
      <c r="W16" s="208">
        <f>$G138</f>
        <v>0</v>
      </c>
      <c r="X16" s="208">
        <f>$G139</f>
        <v>0</v>
      </c>
      <c r="Y16" s="208">
        <f>$G140</f>
        <v>0</v>
      </c>
      <c r="Z16" s="144" t="str">
        <f>C137</f>
        <v>Investments GICs</v>
      </c>
      <c r="AA16" s="80" t="str">
        <f t="shared" si="0"/>
        <v>1210 - Investments GICs</v>
      </c>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row>
    <row r="17" spans="3:62" s="1" customFormat="1" ht="44.25" customHeight="1" x14ac:dyDescent="0.2">
      <c r="C17" s="1539"/>
      <c r="D17" s="1539"/>
      <c r="E17" s="1539"/>
      <c r="F17" s="1539"/>
      <c r="G17" s="595">
        <f>IF(AND(G14-N14&lt;0.001,G14-N14&gt;-0.001),0,G14-N14)</f>
        <v>0</v>
      </c>
      <c r="H17" s="1540" t="str">
        <f>IF($Q$2=2,IF(G17=0,$T$7,$T$5),IF(G17=0,$T$8,$T$6))</f>
        <v>Books and Statements balance.</v>
      </c>
      <c r="I17" s="1540"/>
      <c r="J17" s="1540"/>
      <c r="K17" s="1540"/>
      <c r="L17" s="1540"/>
      <c r="M17" s="1540"/>
      <c r="N17" s="1540"/>
      <c r="P17" s="80"/>
      <c r="Q17" s="80"/>
      <c r="R17" s="80"/>
      <c r="S17" s="80"/>
      <c r="T17" s="80"/>
      <c r="U17" s="80"/>
      <c r="V17" s="144" t="str">
        <f>F182</f>
        <v>1220</v>
      </c>
      <c r="W17" s="208">
        <f>$G183</f>
        <v>0</v>
      </c>
      <c r="X17" s="208">
        <f>$G184</f>
        <v>0</v>
      </c>
      <c r="Y17" s="208">
        <f>$G185</f>
        <v>0</v>
      </c>
      <c r="Z17" s="144" t="str">
        <f>C182</f>
        <v>Investments (Mutual Funds and such)</v>
      </c>
      <c r="AA17" s="80" t="str">
        <f t="shared" si="0"/>
        <v>1220 - Investments (Mutual Funds and such)</v>
      </c>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row>
    <row r="18" spans="3:62" s="1" customFormat="1" ht="33" customHeight="1" x14ac:dyDescent="0.2">
      <c r="C18" s="594"/>
      <c r="D18" s="594"/>
      <c r="E18" s="594"/>
      <c r="F18" s="594"/>
      <c r="G18" s="596"/>
      <c r="H18" s="597"/>
      <c r="I18" s="597"/>
      <c r="J18" s="597"/>
      <c r="K18" s="597"/>
      <c r="L18" s="597"/>
      <c r="M18" s="597"/>
      <c r="N18" s="597"/>
      <c r="P18" s="80"/>
      <c r="Q18" s="477"/>
      <c r="R18" s="80"/>
      <c r="S18" s="80"/>
      <c r="T18" s="80"/>
      <c r="U18" s="80"/>
      <c r="V18" s="144" t="str">
        <f>F227</f>
        <v>1230</v>
      </c>
      <c r="W18" s="208">
        <f>$G228</f>
        <v>0</v>
      </c>
      <c r="X18" s="208">
        <f>$G229</f>
        <v>0</v>
      </c>
      <c r="Y18" s="208">
        <f>$G230</f>
        <v>0</v>
      </c>
      <c r="Z18" s="144" t="str">
        <f>C227</f>
        <v>Available (Rename)</v>
      </c>
      <c r="AA18" s="80" t="str">
        <f t="shared" si="0"/>
        <v>1230 - Available (Rename)</v>
      </c>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row>
    <row r="19" spans="3:62" s="1" customFormat="1" ht="18.75" customHeight="1" x14ac:dyDescent="0.2">
      <c r="C19" s="1541"/>
      <c r="D19" s="1541"/>
      <c r="E19" s="1541"/>
      <c r="F19" s="1541"/>
      <c r="G19" s="1541"/>
      <c r="H19" s="1541"/>
      <c r="I19" s="1541"/>
      <c r="J19" s="1541"/>
      <c r="K19" s="1541"/>
      <c r="L19" s="1541"/>
      <c r="M19" s="1541"/>
      <c r="N19" s="1541"/>
      <c r="O19" s="574"/>
      <c r="P19" s="575"/>
      <c r="Q19" s="80"/>
      <c r="R19" s="80"/>
      <c r="S19" s="80"/>
      <c r="T19" s="80"/>
      <c r="U19" s="80"/>
      <c r="V19" s="144" t="str">
        <f>F272</f>
        <v>1240</v>
      </c>
      <c r="W19" s="208">
        <f>$G273</f>
        <v>0</v>
      </c>
      <c r="X19" s="208">
        <f>$G274</f>
        <v>0</v>
      </c>
      <c r="Y19" s="208">
        <f>$G275</f>
        <v>0</v>
      </c>
      <c r="Z19" s="144" t="str">
        <f>C272</f>
        <v>Available (Rename)</v>
      </c>
      <c r="AA19" s="80" t="str">
        <f t="shared" si="0"/>
        <v>1240 - Available (Rename)</v>
      </c>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row>
    <row r="20" spans="3:62" s="1" customFormat="1" ht="40.5" customHeight="1" x14ac:dyDescent="0.2">
      <c r="D20" s="1528" t="str">
        <f>IF($Q$2=2,"Réconciliation détaillée du compte "&amp;F22&amp;" - "&amp;C22,"Detailed Reconciliation of the Account "&amp;F22&amp;" - "&amp;C22)</f>
        <v>Detailed Reconciliation of the Account 1020 - Main Bank Account</v>
      </c>
      <c r="E20" s="1528"/>
      <c r="F20" s="1528"/>
      <c r="G20" s="1528"/>
      <c r="H20" s="1528"/>
      <c r="I20" s="1528"/>
      <c r="J20" s="1528"/>
      <c r="K20" s="1528"/>
      <c r="L20" s="1528"/>
      <c r="M20" s="1528"/>
      <c r="N20" s="577"/>
      <c r="P20" s="80"/>
      <c r="R20" s="80"/>
      <c r="S20" s="80"/>
      <c r="U20" s="80"/>
      <c r="V20" s="144"/>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row>
    <row r="21" spans="3:62" s="1" customFormat="1" ht="29.25" customHeight="1" x14ac:dyDescent="0.2">
      <c r="C21" s="1529" t="str">
        <f>IF($Q$2=2,"Réconciliation selon les livres comptables","Reconciliation as per BookKeeping")</f>
        <v>Reconciliation as per BookKeeping</v>
      </c>
      <c r="D21" s="1529"/>
      <c r="E21" s="1529"/>
      <c r="F21" s="1529"/>
      <c r="G21" s="1529"/>
      <c r="I21" s="1529" t="str">
        <f>IF($Q$2=2,"Réconciliation selon l'état de compte","Reconciliation as per Account Statement")</f>
        <v>Reconciliation as per Account Statement</v>
      </c>
      <c r="J21" s="1529"/>
      <c r="K21" s="1529"/>
      <c r="L21" s="1529"/>
      <c r="M21" s="1529"/>
      <c r="N21" s="578" t="str">
        <f>F22</f>
        <v>1020</v>
      </c>
      <c r="P21" s="579"/>
      <c r="Q21" s="579"/>
      <c r="R21" s="579"/>
      <c r="S21" s="579"/>
      <c r="T21" s="579"/>
      <c r="U21" s="579"/>
      <c r="V21" s="47"/>
      <c r="W21" s="579"/>
      <c r="X21" s="579"/>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row>
    <row r="22" spans="3:62" s="1" customFormat="1" ht="25.5" customHeight="1" x14ac:dyDescent="0.2">
      <c r="C22" s="1542" t="str">
        <f>'Data Set up'!I19</f>
        <v>Main Bank Account</v>
      </c>
      <c r="D22" s="1542"/>
      <c r="E22" s="1542"/>
      <c r="F22" s="580" t="str">
        <f>LEFT('Data Set up'!H19,4)</f>
        <v>1020</v>
      </c>
      <c r="G22" s="355"/>
      <c r="I22" s="1531"/>
      <c r="J22" s="1531"/>
      <c r="K22" s="1531"/>
      <c r="L22" s="1531"/>
      <c r="M22" s="1531"/>
      <c r="N22" s="1531"/>
      <c r="P22" s="80"/>
      <c r="Q22" s="80"/>
      <c r="R22" s="80"/>
      <c r="S22" s="80"/>
      <c r="T22" s="80"/>
      <c r="U22" s="80"/>
      <c r="V22" s="144"/>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row>
    <row r="23" spans="3:62" s="1" customFormat="1" ht="25.5" customHeight="1" x14ac:dyDescent="0.2">
      <c r="C23" s="1532" t="str">
        <f>IF($Q$2=2,"Solde du compte au ","Account Balance on ")</f>
        <v xml:space="preserve">Account Balance on </v>
      </c>
      <c r="D23" s="1532"/>
      <c r="E23" s="1532"/>
      <c r="F23" s="581" t="str">
        <f>'Data Set up'!$F$40&amp;" "&amp;'Data Set up'!$G$40&amp;" "&amp;'Data Set up'!$F$39</f>
        <v>31 August 2023</v>
      </c>
      <c r="G23" s="582">
        <f>'Data Set up'!F19</f>
        <v>0</v>
      </c>
      <c r="I23" s="598" t="s">
        <v>371</v>
      </c>
      <c r="J23" s="599"/>
      <c r="K23" s="1543" t="str">
        <f>IF($Q$2=2,"Solde au compte","Account Balance")</f>
        <v>Account Balance</v>
      </c>
      <c r="L23" s="1543"/>
      <c r="M23" s="1543"/>
      <c r="N23" s="583"/>
      <c r="P23" s="80"/>
      <c r="Q23" s="1534" t="str">
        <f>IF($Q$2=2,"Inscrivez le solde ici","Insert the Balance here")</f>
        <v>Insert the Balance here</v>
      </c>
      <c r="R23" s="1534"/>
      <c r="S23" s="1534"/>
      <c r="T23" s="80"/>
      <c r="U23" s="585">
        <f>N23*1</f>
        <v>0</v>
      </c>
      <c r="V23" s="144"/>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row>
    <row r="24" spans="3:62" s="1" customFormat="1" ht="25.5" customHeight="1" x14ac:dyDescent="0.2">
      <c r="C24" s="1535" t="str">
        <f>IF($Q$2=2,"Plus: Dépôts (Jrnl des revenus)","Plus: Deposits (Revenue Jrnl)")</f>
        <v>Plus: Deposits (Revenue Jrnl)</v>
      </c>
      <c r="D24" s="1535"/>
      <c r="E24" s="1535"/>
      <c r="F24" s="1535"/>
      <c r="G24" s="582">
        <f>'Revenue Jrnl'!G524</f>
        <v>0</v>
      </c>
      <c r="H24" s="586"/>
      <c r="I24" s="1544"/>
      <c r="J24" s="1544"/>
      <c r="K24" s="1544"/>
      <c r="L24" s="1544"/>
      <c r="M24" s="1544"/>
      <c r="N24" s="1544"/>
      <c r="P24" s="80"/>
      <c r="Q24" s="80"/>
      <c r="R24" s="80"/>
      <c r="S24" s="80"/>
      <c r="T24" s="80"/>
      <c r="U24" s="80"/>
      <c r="V24" s="144"/>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row>
    <row r="25" spans="3:62" s="1" customFormat="1" ht="25.5" customHeight="1" x14ac:dyDescent="0.2">
      <c r="C25" s="1535" t="str">
        <f>IF($Q$2=2," Moins Chèques (Jrnl des dépenses)","Less Cheques (Expense Jrnl)")</f>
        <v>Less Cheques (Expense Jrnl)</v>
      </c>
      <c r="D25" s="1535"/>
      <c r="E25" s="1535"/>
      <c r="F25" s="1535"/>
      <c r="G25" s="582">
        <f>'Expense Jrnl'!G524</f>
        <v>0</v>
      </c>
      <c r="I25" s="1545" t="str">
        <f>IF($Q$2=2,"Plus: Dépôts faits mais pas réconciliés au compte","Plus: Deposits made but not reconciled with bank")</f>
        <v>Plus: Deposits made but not reconciled with bank</v>
      </c>
      <c r="J25" s="1545"/>
      <c r="K25" s="1545"/>
      <c r="L25" s="1545"/>
      <c r="M25" s="1545"/>
      <c r="N25" s="600">
        <f>'Revenue Jrnl'!H524</f>
        <v>0</v>
      </c>
      <c r="P25" s="80"/>
      <c r="Q25" s="80"/>
      <c r="R25" s="80"/>
      <c r="S25" s="80"/>
      <c r="T25" s="80"/>
      <c r="U25" s="80"/>
      <c r="V25" s="144"/>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row>
    <row r="26" spans="3:62" s="1" customFormat="1" ht="25.5" customHeight="1" x14ac:dyDescent="0.2">
      <c r="C26" s="1536"/>
      <c r="D26" s="1536"/>
      <c r="E26" s="1536"/>
      <c r="F26" s="1536"/>
      <c r="H26" s="586"/>
      <c r="I26" s="1544"/>
      <c r="J26" s="1544"/>
      <c r="K26" s="1544"/>
      <c r="L26" s="1544"/>
      <c r="M26" s="1544"/>
      <c r="N26" s="1544"/>
      <c r="P26" s="80"/>
      <c r="Q26" s="80"/>
      <c r="V26" s="205"/>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row>
    <row r="27" spans="3:62" s="1" customFormat="1" ht="25.5" customHeight="1" x14ac:dyDescent="0.2">
      <c r="C27" s="1546" t="str">
        <f>IF($Q$2=2,"Les dépôts de l'année précédente (non traités dans l'année précédente)","Previous Year's Deposits not processed in prev year")</f>
        <v>Previous Year's Deposits not processed in prev year</v>
      </c>
      <c r="D27" s="1546"/>
      <c r="E27" s="1546"/>
      <c r="F27" s="1546"/>
      <c r="G27" s="1546"/>
      <c r="I27" s="1547" t="str">
        <f>IF($Q$2=2,"Moins: chèques émis mais non encore encaissés","Less: Cheques Issued but not processed by bank")</f>
        <v>Less: Cheques Issued but not processed by bank</v>
      </c>
      <c r="J27" s="1547"/>
      <c r="K27" s="1547"/>
      <c r="L27" s="1547"/>
      <c r="M27" s="1547"/>
      <c r="N27" s="600">
        <f>'Expense Jrnl'!H524</f>
        <v>0</v>
      </c>
      <c r="P27" s="80"/>
      <c r="Q27" s="80"/>
      <c r="R27" s="80"/>
      <c r="S27" s="80"/>
      <c r="T27" s="80"/>
      <c r="U27" s="80"/>
      <c r="V27" s="144"/>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row>
    <row r="28" spans="3:62" s="1" customFormat="1" ht="25.5" customHeight="1" x14ac:dyDescent="0.2">
      <c r="C28" s="601" t="str">
        <f>IF($Q$2=2,"No.de Réf","Ref No.")</f>
        <v>Ref No.</v>
      </c>
      <c r="D28" s="1548" t="str">
        <f>IF($Q$2=2,"Détails","Details")</f>
        <v>Details</v>
      </c>
      <c r="E28" s="1548"/>
      <c r="F28" s="1548"/>
      <c r="G28" s="601" t="str">
        <f>IF($Q$2=2,"Montant","Amount")</f>
        <v>Amount</v>
      </c>
      <c r="I28" s="1544"/>
      <c r="J28" s="1544"/>
      <c r="K28" s="1544"/>
      <c r="L28" s="1544"/>
      <c r="M28" s="1544"/>
      <c r="N28" s="1544"/>
      <c r="P28" s="80"/>
      <c r="Q28" s="80"/>
      <c r="R28" s="80"/>
      <c r="S28" s="80"/>
      <c r="T28" s="80"/>
      <c r="U28" s="80"/>
      <c r="V28" s="144"/>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row>
    <row r="29" spans="3:62" s="1" customFormat="1" ht="25.5" customHeight="1" x14ac:dyDescent="0.2">
      <c r="C29" s="602" t="str">
        <f>IF('Data Set up'!$J59=$F$22,'Data Set up'!$C59,"")</f>
        <v/>
      </c>
      <c r="D29" s="1549" t="str">
        <f>IF('Data Set up'!$J59=$F$22,'Data Set up'!$D59,"")</f>
        <v/>
      </c>
      <c r="E29" s="1549"/>
      <c r="F29" s="1549"/>
      <c r="G29" s="603" t="str">
        <f>IF('Data Set up'!$J59=$F$22,'Data Set up'!$F59,"")</f>
        <v/>
      </c>
      <c r="I29" s="1547" t="str">
        <f>IF($Q$2=2,"Solde disponible actuel du compte (reconcilié)","Actual Account balance available (reconciled)")</f>
        <v>Actual Account balance available (reconciled)</v>
      </c>
      <c r="J29" s="1547"/>
      <c r="K29" s="1547"/>
      <c r="L29" s="1547"/>
      <c r="M29" s="1547"/>
      <c r="N29" s="590">
        <f>N23+N25-N27</f>
        <v>0</v>
      </c>
      <c r="P29" s="80"/>
      <c r="Q29" s="80"/>
      <c r="R29" s="80"/>
      <c r="S29" s="80"/>
      <c r="T29" s="80"/>
      <c r="U29" s="80"/>
      <c r="V29" s="144"/>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row>
    <row r="30" spans="3:62" s="1" customFormat="1" ht="25.5" customHeight="1" x14ac:dyDescent="0.2">
      <c r="C30" s="602" t="str">
        <f>IF('Data Set up'!$J60=$F$22,'Data Set up'!$C60,"")</f>
        <v/>
      </c>
      <c r="D30" s="1549" t="str">
        <f>IF('Data Set up'!$J60=$F$22,'Data Set up'!$D60,"")</f>
        <v/>
      </c>
      <c r="E30" s="1549"/>
      <c r="F30" s="1549"/>
      <c r="G30" s="603" t="str">
        <f>IF('Data Set up'!$J60=$F$22,'Data Set up'!$F60,"")</f>
        <v/>
      </c>
      <c r="I30" s="355"/>
      <c r="J30" s="355"/>
      <c r="K30" s="355"/>
      <c r="L30" s="355"/>
      <c r="M30" s="355"/>
      <c r="N30" s="355"/>
      <c r="P30" s="80"/>
      <c r="Q30" s="80"/>
      <c r="R30" s="80"/>
      <c r="S30" s="80"/>
      <c r="T30" s="80"/>
      <c r="U30" s="80"/>
      <c r="V30" s="144"/>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3:62" s="1" customFormat="1" ht="25.5" customHeight="1" x14ac:dyDescent="0.2">
      <c r="C31" s="602" t="str">
        <f>IF('Data Set up'!$J61=$F$22,'Data Set up'!$C61,"")</f>
        <v/>
      </c>
      <c r="D31" s="1549" t="str">
        <f>IF('Data Set up'!$J61=$F$22,'Data Set up'!$D61,"")</f>
        <v/>
      </c>
      <c r="E31" s="1549"/>
      <c r="F31" s="1549"/>
      <c r="G31" s="603" t="str">
        <f>IF('Data Set up'!$J61=$F$22,'Data Set up'!$F61,"")</f>
        <v/>
      </c>
      <c r="I31" s="144"/>
      <c r="J31" s="80"/>
      <c r="K31" s="80"/>
      <c r="L31" s="80"/>
      <c r="M31" s="80"/>
      <c r="N31" s="144"/>
      <c r="P31" s="80"/>
      <c r="Q31" s="80"/>
      <c r="R31" s="80"/>
      <c r="S31" s="80"/>
      <c r="T31" s="80"/>
      <c r="U31" s="80"/>
      <c r="V31" s="144"/>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3:62" s="1" customFormat="1" ht="25.5" customHeight="1" x14ac:dyDescent="0.2">
      <c r="C32" s="602" t="str">
        <f>IF('Data Set up'!$J62=$F$22,'Data Set up'!$C62,"")</f>
        <v/>
      </c>
      <c r="D32" s="1549" t="str">
        <f>IF('Data Set up'!$J62=$F$22,'Data Set up'!$D62,"")</f>
        <v/>
      </c>
      <c r="E32" s="1549"/>
      <c r="F32" s="1549"/>
      <c r="G32" s="603" t="str">
        <f>IF('Data Set up'!$J62=$F$22,'Data Set up'!$F62,"")</f>
        <v/>
      </c>
      <c r="I32" s="144"/>
      <c r="J32" s="80"/>
      <c r="K32" s="80"/>
      <c r="L32" s="80"/>
      <c r="M32" s="80"/>
      <c r="N32" s="144"/>
      <c r="P32" s="80"/>
      <c r="Q32" s="80"/>
      <c r="R32" s="80"/>
      <c r="S32" s="80"/>
      <c r="T32" s="80"/>
      <c r="U32" s="80"/>
      <c r="V32" s="144"/>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row>
    <row r="33" spans="3:62" s="1" customFormat="1" ht="25.5" customHeight="1" x14ac:dyDescent="0.2">
      <c r="C33" s="602" t="str">
        <f>IF('Data Set up'!$J63=$F$22,'Data Set up'!$C63,"")</f>
        <v/>
      </c>
      <c r="D33" s="1549" t="str">
        <f>IF('Data Set up'!$J63=$F$22,'Data Set up'!$D63,"")</f>
        <v/>
      </c>
      <c r="E33" s="1549"/>
      <c r="F33" s="1549"/>
      <c r="G33" s="603" t="str">
        <f>IF('Data Set up'!$J63=$F$22,'Data Set up'!$F63,"")</f>
        <v/>
      </c>
      <c r="I33" s="144"/>
      <c r="J33" s="80"/>
      <c r="K33" s="80"/>
      <c r="L33" s="80"/>
      <c r="M33" s="80"/>
      <c r="N33" s="144"/>
      <c r="P33" s="80"/>
      <c r="Q33" s="80"/>
      <c r="R33" s="80"/>
      <c r="S33" s="80"/>
      <c r="T33" s="80"/>
      <c r="U33" s="80"/>
      <c r="V33" s="144"/>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row>
    <row r="34" spans="3:62" s="1" customFormat="1" ht="25.5" customHeight="1" x14ac:dyDescent="0.2">
      <c r="C34" s="602" t="str">
        <f>IF('Data Set up'!$J64=$F$22,'Data Set up'!$C64,"")</f>
        <v/>
      </c>
      <c r="D34" s="1549" t="str">
        <f>IF('Data Set up'!$J64=$F$22,'Data Set up'!$D64,"")</f>
        <v/>
      </c>
      <c r="E34" s="1549"/>
      <c r="F34" s="1549"/>
      <c r="G34" s="603" t="str">
        <f>IF('Data Set up'!$J64=$F$22,'Data Set up'!$F64,"")</f>
        <v/>
      </c>
      <c r="I34" s="144"/>
      <c r="J34" s="80"/>
      <c r="K34" s="80"/>
      <c r="L34" s="80"/>
      <c r="M34" s="80"/>
      <c r="N34" s="144"/>
      <c r="P34" s="80"/>
      <c r="Q34" s="80"/>
      <c r="R34" s="80"/>
      <c r="S34" s="80"/>
      <c r="T34" s="80"/>
      <c r="U34" s="80"/>
      <c r="V34" s="144"/>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row>
    <row r="35" spans="3:62" s="1" customFormat="1" ht="25.5" customHeight="1" x14ac:dyDescent="0.2">
      <c r="C35" s="602" t="str">
        <f>IF('Data Set up'!$J65=$F$22,'Data Set up'!$C65,"")</f>
        <v/>
      </c>
      <c r="D35" s="1549" t="str">
        <f>IF('Data Set up'!$J65=$F$22,'Data Set up'!$D65,"")</f>
        <v/>
      </c>
      <c r="E35" s="1549"/>
      <c r="F35" s="1549"/>
      <c r="G35" s="603" t="str">
        <f>IF('Data Set up'!$J65=$F$22,'Data Set up'!$F65,"")</f>
        <v/>
      </c>
      <c r="I35" s="144"/>
      <c r="J35" s="80"/>
      <c r="K35" s="80"/>
      <c r="L35" s="80"/>
      <c r="M35" s="80"/>
      <c r="N35" s="144"/>
      <c r="P35" s="80"/>
      <c r="Q35" s="80"/>
      <c r="R35" s="80"/>
      <c r="S35" s="80"/>
      <c r="T35" s="80"/>
      <c r="U35" s="80"/>
      <c r="V35" s="144"/>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row>
    <row r="36" spans="3:62" s="1" customFormat="1" ht="25.5" customHeight="1" x14ac:dyDescent="0.2">
      <c r="C36" s="602" t="str">
        <f>IF('Data Set up'!$J66=$F$22,'Data Set up'!$C66,"")</f>
        <v/>
      </c>
      <c r="D36" s="1549" t="str">
        <f>IF('Data Set up'!$J66=$F$22,'Data Set up'!$D66,"")</f>
        <v/>
      </c>
      <c r="E36" s="1549"/>
      <c r="F36" s="1549"/>
      <c r="G36" s="603" t="str">
        <f>IF('Data Set up'!$J66=$F$22,'Data Set up'!$F66,"")</f>
        <v/>
      </c>
      <c r="I36" s="144"/>
      <c r="J36" s="80"/>
      <c r="K36" s="80"/>
      <c r="L36" s="80"/>
      <c r="M36" s="80"/>
      <c r="N36" s="144"/>
      <c r="P36" s="80"/>
      <c r="Q36" s="80"/>
      <c r="R36" s="80"/>
      <c r="S36" s="80"/>
      <c r="T36" s="80"/>
      <c r="U36" s="80"/>
      <c r="V36" s="144"/>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row>
    <row r="37" spans="3:62" s="1" customFormat="1" ht="25.5" customHeight="1" x14ac:dyDescent="0.2">
      <c r="C37" s="602" t="str">
        <f>IF('Data Set up'!$J67=$F$22,'Data Set up'!$C67,"")</f>
        <v/>
      </c>
      <c r="D37" s="1549" t="str">
        <f>IF('Data Set up'!$J67=$F$22,'Data Set up'!$D67,"")</f>
        <v/>
      </c>
      <c r="E37" s="1549"/>
      <c r="F37" s="1549"/>
      <c r="G37" s="603" t="str">
        <f>IF('Data Set up'!$J67=$F$22,'Data Set up'!$F67,"")</f>
        <v/>
      </c>
      <c r="I37" s="144"/>
      <c r="J37" s="80"/>
      <c r="K37" s="80"/>
      <c r="L37" s="80"/>
      <c r="M37" s="80"/>
      <c r="N37" s="144"/>
      <c r="P37" s="80"/>
      <c r="Q37" s="80"/>
      <c r="R37" s="80"/>
      <c r="S37" s="80"/>
      <c r="T37" s="80"/>
      <c r="U37" s="80"/>
      <c r="V37" s="144"/>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row>
    <row r="38" spans="3:62" s="1" customFormat="1" ht="25.5" customHeight="1" x14ac:dyDescent="0.2">
      <c r="C38" s="602" t="str">
        <f>IF('Data Set up'!$J68=$F$22,'Data Set up'!$C68,"")</f>
        <v/>
      </c>
      <c r="D38" s="1549" t="str">
        <f>IF('Data Set up'!$J68=$F$22,'Data Set up'!$D68,"")</f>
        <v/>
      </c>
      <c r="E38" s="1549"/>
      <c r="F38" s="1549"/>
      <c r="G38" s="603" t="str">
        <f>IF('Data Set up'!$J68=$F$22,'Data Set up'!$F68,"")</f>
        <v/>
      </c>
      <c r="I38" s="144"/>
      <c r="J38" s="80"/>
      <c r="K38" s="80"/>
      <c r="L38" s="80"/>
      <c r="M38" s="80"/>
      <c r="N38" s="144"/>
      <c r="P38" s="80"/>
      <c r="Q38" s="80"/>
      <c r="R38" s="80"/>
      <c r="S38" s="80"/>
      <c r="T38" s="80"/>
      <c r="U38" s="80"/>
      <c r="V38" s="144"/>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row>
    <row r="39" spans="3:62" s="1" customFormat="1" ht="25.5" customHeight="1" x14ac:dyDescent="0.2">
      <c r="C39" s="602" t="str">
        <f>IF('Data Set up'!$J69=$F$22,'Data Set up'!$C69,"")</f>
        <v/>
      </c>
      <c r="D39" s="1549" t="str">
        <f>IF('Data Set up'!$J69=$F$22,'Data Set up'!$D69,"")</f>
        <v/>
      </c>
      <c r="E39" s="1549"/>
      <c r="F39" s="1549"/>
      <c r="G39" s="603" t="str">
        <f>IF('Data Set up'!$J69=$F$22,'Data Set up'!$F69,"")</f>
        <v/>
      </c>
      <c r="I39" s="144"/>
      <c r="J39" s="80"/>
      <c r="K39" s="80"/>
      <c r="L39" s="80"/>
      <c r="M39" s="80"/>
      <c r="N39" s="144"/>
      <c r="P39" s="80"/>
      <c r="Q39" s="80"/>
      <c r="R39" s="80"/>
      <c r="S39" s="80"/>
      <c r="T39" s="80"/>
      <c r="U39" s="80"/>
      <c r="V39" s="144"/>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row>
    <row r="40" spans="3:62" s="1" customFormat="1" ht="25.5" customHeight="1" x14ac:dyDescent="0.2">
      <c r="C40" s="602" t="str">
        <f>IF('Data Set up'!$J70=$F$22,'Data Set up'!$C70,"")</f>
        <v/>
      </c>
      <c r="D40" s="1549" t="str">
        <f>IF('Data Set up'!$J70=$F$22,'Data Set up'!$D70,"")</f>
        <v/>
      </c>
      <c r="E40" s="1549"/>
      <c r="F40" s="1549"/>
      <c r="G40" s="603" t="str">
        <f>IF('Data Set up'!$J70=$F$22,'Data Set up'!$F70,"")</f>
        <v/>
      </c>
      <c r="I40" s="144"/>
      <c r="J40" s="80"/>
      <c r="K40" s="80"/>
      <c r="L40" s="80"/>
      <c r="M40" s="80"/>
      <c r="N40" s="144"/>
      <c r="P40" s="80"/>
      <c r="Q40" s="80"/>
      <c r="R40" s="80"/>
      <c r="S40" s="80"/>
      <c r="T40" s="80"/>
      <c r="U40" s="80"/>
      <c r="V40" s="144"/>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row>
    <row r="41" spans="3:62" s="1" customFormat="1" ht="25.5" customHeight="1" x14ac:dyDescent="0.2">
      <c r="C41" s="602" t="str">
        <f>IF('Data Set up'!$J71=$F$22,'Data Set up'!$C71,"")</f>
        <v/>
      </c>
      <c r="D41" s="1549" t="str">
        <f>IF('Data Set up'!$J71=$F$22,'Data Set up'!$D71,"")</f>
        <v/>
      </c>
      <c r="E41" s="1549"/>
      <c r="F41" s="1549"/>
      <c r="G41" s="603" t="str">
        <f>IF('Data Set up'!$J71=$F$22,'Data Set up'!$F71,"")</f>
        <v/>
      </c>
      <c r="I41" s="143"/>
      <c r="J41" s="80"/>
      <c r="K41" s="80"/>
      <c r="L41" s="80"/>
      <c r="M41" s="80"/>
      <c r="N41" s="208"/>
      <c r="P41" s="80"/>
      <c r="Q41" s="80"/>
      <c r="R41" s="80"/>
      <c r="S41" s="80"/>
      <c r="T41" s="80"/>
      <c r="U41" s="80"/>
      <c r="V41" s="144"/>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row>
    <row r="42" spans="3:62" s="1" customFormat="1" ht="25.5" customHeight="1" x14ac:dyDescent="0.2">
      <c r="C42" s="1546" t="str">
        <f>IF($Q$2=2,"Les chèques de l'année précédente (non traités dans l'année précédente)","Previous Year's Cheques (not processed in prev year)")</f>
        <v>Previous Year's Cheques (not processed in prev year)</v>
      </c>
      <c r="D42" s="1546"/>
      <c r="E42" s="1546"/>
      <c r="F42" s="1546"/>
      <c r="G42" s="1546"/>
      <c r="I42" s="604"/>
      <c r="J42" s="605"/>
      <c r="K42" s="605"/>
      <c r="L42" s="605"/>
      <c r="M42" s="605"/>
      <c r="N42" s="208"/>
      <c r="P42" s="80"/>
      <c r="Q42" s="80"/>
      <c r="R42" s="80"/>
      <c r="S42" s="80"/>
      <c r="T42" s="80"/>
      <c r="U42" s="80"/>
      <c r="V42" s="144"/>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row>
    <row r="43" spans="3:62" s="1" customFormat="1" ht="25.5" customHeight="1" x14ac:dyDescent="0.2">
      <c r="C43" s="606" t="str">
        <f>IF($Q$2=2,"Chèque #","Cheque #")</f>
        <v>Cheque #</v>
      </c>
      <c r="D43" s="1548" t="str">
        <f>IF($Q$2=2,"À l'ordre de","Payable to")</f>
        <v>Payable to</v>
      </c>
      <c r="E43" s="1548"/>
      <c r="F43" s="1548"/>
      <c r="G43" s="607" t="str">
        <f>IF($Q$2=2,"Montant","Amount")</f>
        <v>Amount</v>
      </c>
      <c r="H43" s="586"/>
      <c r="I43" s="608"/>
      <c r="J43" s="605"/>
      <c r="K43" s="605"/>
      <c r="L43" s="605"/>
      <c r="M43" s="605"/>
      <c r="N43" s="208"/>
      <c r="P43" s="80"/>
      <c r="Q43" s="144"/>
      <c r="V43" s="144"/>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row>
    <row r="44" spans="3:62" s="1" customFormat="1" ht="25.5" customHeight="1" x14ac:dyDescent="0.2">
      <c r="C44" s="602" t="str">
        <f>IF('Data Set up'!$J76=$F$22,'Data Set up'!$C76,"")</f>
        <v/>
      </c>
      <c r="D44" s="1550" t="str">
        <f>IF('Data Set up'!$J76=$F$22,'Data Set up'!$D76,"")</f>
        <v/>
      </c>
      <c r="E44" s="1550"/>
      <c r="F44" s="1550"/>
      <c r="G44" s="603" t="str">
        <f>IF('Data Set up'!$J76=$F$22,'Data Set up'!$F76,"")</f>
        <v/>
      </c>
      <c r="H44" s="586"/>
      <c r="I44" s="205"/>
      <c r="N44" s="208"/>
      <c r="P44" s="80"/>
      <c r="Q44" s="80"/>
      <c r="R44" s="80"/>
      <c r="S44" s="80"/>
      <c r="T44" s="80"/>
      <c r="U44" s="80"/>
      <c r="V44" s="144"/>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row>
    <row r="45" spans="3:62" s="1" customFormat="1" ht="25.5" customHeight="1" x14ac:dyDescent="0.2">
      <c r="C45" s="602" t="str">
        <f>IF('Data Set up'!$J77=$F$22,'Data Set up'!$C77,"")</f>
        <v/>
      </c>
      <c r="D45" s="1550" t="str">
        <f>IF('Data Set up'!$J77=$F$22,'Data Set up'!$D77,"")</f>
        <v/>
      </c>
      <c r="E45" s="1550"/>
      <c r="F45" s="1550"/>
      <c r="G45" s="603" t="str">
        <f>IF('Data Set up'!$J77=$F$22,'Data Set up'!$F77,"")</f>
        <v/>
      </c>
      <c r="I45" s="355"/>
      <c r="J45" s="355"/>
      <c r="K45" s="355"/>
      <c r="L45" s="355"/>
      <c r="M45" s="355"/>
      <c r="N45" s="355"/>
      <c r="P45" s="80"/>
      <c r="Q45" s="80"/>
      <c r="R45" s="80"/>
      <c r="S45" s="80"/>
      <c r="T45" s="80"/>
      <c r="U45" s="80"/>
      <c r="V45" s="144"/>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row>
    <row r="46" spans="3:62" s="1" customFormat="1" ht="25.5" customHeight="1" x14ac:dyDescent="0.2">
      <c r="C46" s="602" t="str">
        <f>IF('Data Set up'!$J78=$F$22,'Data Set up'!$C78,"")</f>
        <v/>
      </c>
      <c r="D46" s="1550" t="str">
        <f>IF('Data Set up'!$J78=$F$22,'Data Set up'!$D78,"")</f>
        <v/>
      </c>
      <c r="E46" s="1550"/>
      <c r="F46" s="1550"/>
      <c r="G46" s="603" t="str">
        <f>IF('Data Set up'!$J78=$F$22,'Data Set up'!$F78,"")</f>
        <v/>
      </c>
      <c r="I46" s="609"/>
      <c r="J46" s="80"/>
      <c r="K46" s="80"/>
      <c r="L46" s="80"/>
      <c r="M46" s="80"/>
      <c r="N46" s="144"/>
      <c r="P46" s="80"/>
      <c r="Q46" s="80"/>
      <c r="V46" s="205"/>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row>
    <row r="47" spans="3:62" s="1" customFormat="1" ht="25.5" customHeight="1" x14ac:dyDescent="0.2">
      <c r="C47" s="602" t="str">
        <f>IF('Data Set up'!$J79=$F$22,'Data Set up'!$C79,"")</f>
        <v/>
      </c>
      <c r="D47" s="1550" t="str">
        <f>IF('Data Set up'!$J79=$F$22,'Data Set up'!$D79,"")</f>
        <v/>
      </c>
      <c r="E47" s="1550"/>
      <c r="F47" s="1550"/>
      <c r="G47" s="603" t="str">
        <f>IF('Data Set up'!$J79=$F$22,'Data Set up'!$F79,"")</f>
        <v/>
      </c>
      <c r="I47" s="610"/>
      <c r="J47" s="80"/>
      <c r="K47" s="80"/>
      <c r="L47" s="80"/>
      <c r="M47" s="80"/>
      <c r="N47" s="589"/>
      <c r="P47" s="80"/>
      <c r="Q47" s="80"/>
      <c r="R47" s="80"/>
      <c r="S47" s="80"/>
      <c r="T47" s="80"/>
      <c r="U47" s="80"/>
      <c r="V47" s="144"/>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row>
    <row r="48" spans="3:62" s="1" customFormat="1" ht="25.5" customHeight="1" x14ac:dyDescent="0.2">
      <c r="C48" s="602" t="str">
        <f>IF('Data Set up'!$J80=$F$22,'Data Set up'!$C80,"")</f>
        <v/>
      </c>
      <c r="D48" s="1550" t="str">
        <f>IF('Data Set up'!$J80=$F$22,'Data Set up'!$D80,"")</f>
        <v/>
      </c>
      <c r="E48" s="1550"/>
      <c r="F48" s="1550"/>
      <c r="G48" s="603" t="str">
        <f>IF('Data Set up'!$J80=$F$22,'Data Set up'!$F80,"")</f>
        <v/>
      </c>
      <c r="I48" s="610"/>
      <c r="J48" s="80"/>
      <c r="K48" s="80"/>
      <c r="L48" s="80"/>
      <c r="M48" s="80"/>
      <c r="N48" s="589"/>
      <c r="P48" s="80"/>
      <c r="Q48" s="80"/>
      <c r="R48" s="80"/>
      <c r="S48" s="80"/>
      <c r="T48" s="80"/>
      <c r="U48" s="80"/>
      <c r="V48" s="144"/>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row>
    <row r="49" spans="3:62" s="1" customFormat="1" ht="25.5" customHeight="1" x14ac:dyDescent="0.2">
      <c r="C49" s="602" t="str">
        <f>IF('Data Set up'!$J81=$F$22,'Data Set up'!$C81,"")</f>
        <v/>
      </c>
      <c r="D49" s="1550" t="str">
        <f>IF('Data Set up'!$J81=$F$22,'Data Set up'!$D81,"")</f>
        <v/>
      </c>
      <c r="E49" s="1550"/>
      <c r="F49" s="1550"/>
      <c r="G49" s="603" t="str">
        <f>IF('Data Set up'!$J81=$F$22,'Data Set up'!$F81,"")</f>
        <v/>
      </c>
      <c r="I49" s="610"/>
      <c r="J49" s="80"/>
      <c r="K49" s="80"/>
      <c r="L49" s="80"/>
      <c r="M49" s="80"/>
      <c r="N49" s="589"/>
      <c r="P49" s="80"/>
      <c r="Q49" s="80"/>
      <c r="R49" s="80"/>
      <c r="S49" s="80"/>
      <c r="T49" s="80"/>
      <c r="U49" s="80"/>
      <c r="V49" s="144"/>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row>
    <row r="50" spans="3:62" s="1" customFormat="1" ht="25.5" customHeight="1" x14ac:dyDescent="0.2">
      <c r="C50" s="602" t="str">
        <f>IF('Data Set up'!$J82=$F$22,'Data Set up'!$C82,"")</f>
        <v/>
      </c>
      <c r="D50" s="1550" t="str">
        <f>IF('Data Set up'!$J82=$F$22,'Data Set up'!$D82,"")</f>
        <v/>
      </c>
      <c r="E50" s="1550"/>
      <c r="F50" s="1550"/>
      <c r="G50" s="603" t="str">
        <f>IF('Data Set up'!$J82=$F$22,'Data Set up'!$F82,"")</f>
        <v/>
      </c>
      <c r="I50" s="610"/>
      <c r="J50" s="80"/>
      <c r="K50" s="80"/>
      <c r="L50" s="80"/>
      <c r="M50" s="80"/>
      <c r="N50" s="589"/>
      <c r="P50" s="80"/>
      <c r="Q50" s="80"/>
      <c r="R50" s="80"/>
      <c r="S50" s="80"/>
      <c r="T50" s="80"/>
      <c r="U50" s="80"/>
      <c r="V50" s="144"/>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row>
    <row r="51" spans="3:62" s="1" customFormat="1" ht="25.5" customHeight="1" x14ac:dyDescent="0.2">
      <c r="C51" s="602" t="str">
        <f>IF('Data Set up'!$J83=$F$22,'Data Set up'!$C83,"")</f>
        <v/>
      </c>
      <c r="D51" s="1550" t="str">
        <f>IF('Data Set up'!$J83=$F$22,'Data Set up'!$D83,"")</f>
        <v/>
      </c>
      <c r="E51" s="1550"/>
      <c r="F51" s="1550"/>
      <c r="G51" s="603" t="str">
        <f>IF('Data Set up'!$J83=$F$22,'Data Set up'!$F83,"")</f>
        <v/>
      </c>
      <c r="I51" s="611"/>
      <c r="J51" s="1551"/>
      <c r="K51" s="1551"/>
      <c r="L51" s="1551"/>
      <c r="M51" s="1551"/>
      <c r="N51" s="589"/>
      <c r="P51" s="80"/>
      <c r="Q51" s="80"/>
      <c r="R51" s="80"/>
      <c r="S51" s="80"/>
      <c r="T51" s="80"/>
      <c r="U51" s="80"/>
      <c r="V51" s="144"/>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row>
    <row r="52" spans="3:62" s="1" customFormat="1" ht="25.5" customHeight="1" x14ac:dyDescent="0.2">
      <c r="C52" s="602" t="str">
        <f>IF('Data Set up'!$J84=$F$22,'Data Set up'!$C84,"")</f>
        <v/>
      </c>
      <c r="D52" s="1550" t="str">
        <f>IF('Data Set up'!$J84=$F$22,'Data Set up'!$D84,"")</f>
        <v/>
      </c>
      <c r="E52" s="1550"/>
      <c r="F52" s="1550"/>
      <c r="G52" s="603" t="str">
        <f>IF('Data Set up'!$J84=$F$22,'Data Set up'!$F84,"")</f>
        <v/>
      </c>
      <c r="I52" s="612"/>
      <c r="J52" s="1551"/>
      <c r="K52" s="1551"/>
      <c r="L52" s="1551"/>
      <c r="M52" s="1551"/>
      <c r="N52" s="589"/>
      <c r="P52" s="80"/>
      <c r="Q52" s="80"/>
      <c r="R52" s="80"/>
      <c r="S52" s="80"/>
      <c r="T52" s="80"/>
      <c r="U52" s="80"/>
      <c r="V52" s="144"/>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row>
    <row r="53" spans="3:62" s="1" customFormat="1" ht="25.5" customHeight="1" x14ac:dyDescent="0.2">
      <c r="C53" s="602" t="str">
        <f>IF('Data Set up'!$J85=$F$22,'Data Set up'!$C85,"")</f>
        <v/>
      </c>
      <c r="D53" s="1550" t="str">
        <f>IF('Data Set up'!$J85=$F$22,'Data Set up'!$D85,"")</f>
        <v/>
      </c>
      <c r="E53" s="1550"/>
      <c r="F53" s="1550"/>
      <c r="G53" s="603" t="str">
        <f>IF('Data Set up'!$J85=$F$22,'Data Set up'!$F85,"")</f>
        <v/>
      </c>
      <c r="I53" s="611"/>
      <c r="J53" s="1551"/>
      <c r="K53" s="1551"/>
      <c r="L53" s="1551"/>
      <c r="M53" s="1551"/>
      <c r="N53" s="589"/>
      <c r="P53" s="80"/>
      <c r="Q53" s="80"/>
      <c r="R53" s="80"/>
      <c r="S53" s="80"/>
      <c r="T53" s="80"/>
      <c r="U53" s="80"/>
      <c r="V53" s="144"/>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row>
    <row r="54" spans="3:62" s="1" customFormat="1" ht="25.5" customHeight="1" x14ac:dyDescent="0.2">
      <c r="C54" s="602" t="str">
        <f>IF('Data Set up'!$J86=$F$22,'Data Set up'!$C86,"")</f>
        <v/>
      </c>
      <c r="D54" s="1550" t="str">
        <f>IF('Data Set up'!$J86=$F$22,'Data Set up'!$D86,"")</f>
        <v/>
      </c>
      <c r="E54" s="1550"/>
      <c r="F54" s="1550"/>
      <c r="G54" s="603" t="str">
        <f>IF('Data Set up'!$J86=$F$22,'Data Set up'!$F86,"")</f>
        <v/>
      </c>
      <c r="I54" s="611"/>
      <c r="J54" s="1552"/>
      <c r="K54" s="1552"/>
      <c r="L54" s="1552"/>
      <c r="M54" s="1552"/>
      <c r="N54" s="589"/>
      <c r="P54" s="80"/>
      <c r="Q54" s="80"/>
      <c r="R54" s="80"/>
      <c r="S54" s="80"/>
      <c r="T54" s="80"/>
      <c r="U54" s="80"/>
      <c r="V54" s="144"/>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row>
    <row r="55" spans="3:62" s="1" customFormat="1" ht="25.5" customHeight="1" x14ac:dyDescent="0.2">
      <c r="C55" s="602" t="str">
        <f>IF('Data Set up'!$J87=$F$22,'Data Set up'!$C87,"")</f>
        <v/>
      </c>
      <c r="D55" s="1550" t="str">
        <f>IF('Data Set up'!$J87=$F$22,'Data Set up'!$D87,"")</f>
        <v/>
      </c>
      <c r="E55" s="1550"/>
      <c r="F55" s="1550"/>
      <c r="G55" s="603" t="str">
        <f>IF('Data Set up'!$J87=$F$22,'Data Set up'!$F87,"")</f>
        <v/>
      </c>
      <c r="I55" s="143"/>
      <c r="J55" s="1553"/>
      <c r="K55" s="1553"/>
      <c r="L55" s="1553"/>
      <c r="M55" s="1553"/>
      <c r="N55" s="589"/>
      <c r="P55" s="80"/>
      <c r="Q55" s="80"/>
      <c r="R55" s="80"/>
      <c r="S55" s="80"/>
      <c r="T55" s="80"/>
      <c r="U55" s="80"/>
      <c r="V55" s="144"/>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row>
    <row r="56" spans="3:62" s="1" customFormat="1" ht="25.5" customHeight="1" x14ac:dyDescent="0.2">
      <c r="C56" s="602" t="str">
        <f>IF('Data Set up'!$J88=$F$22,'Data Set up'!$C88,"")</f>
        <v/>
      </c>
      <c r="D56" s="1550" t="str">
        <f>IF('Data Set up'!$J88=$F$22,'Data Set up'!$D88,"")</f>
        <v/>
      </c>
      <c r="E56" s="1550"/>
      <c r="F56" s="1550"/>
      <c r="G56" s="603" t="str">
        <f>IF('Data Set up'!$J88=$F$22,'Data Set up'!$F88,"")</f>
        <v/>
      </c>
      <c r="I56" s="143"/>
      <c r="J56" s="1553"/>
      <c r="K56" s="1553"/>
      <c r="L56" s="1553"/>
      <c r="M56" s="1553"/>
      <c r="N56" s="589"/>
      <c r="P56" s="80"/>
      <c r="Q56" s="80"/>
      <c r="R56" s="80"/>
      <c r="S56" s="80"/>
      <c r="T56" s="80"/>
      <c r="U56" s="80"/>
      <c r="V56" s="144"/>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row>
    <row r="57" spans="3:62" s="1" customFormat="1" ht="25.5" customHeight="1" x14ac:dyDescent="0.2">
      <c r="C57" s="1554" t="str">
        <f>IF($Q$2=2,"Montant non-comptabilisé de l'année précédente","Previous Year's non-accounted Amount")</f>
        <v>Previous Year's non-accounted Amount</v>
      </c>
      <c r="D57" s="1554"/>
      <c r="E57" s="1554"/>
      <c r="F57" s="1554"/>
      <c r="G57" s="582">
        <f>SUM(G29:G41)-SUM(G44:G56)</f>
        <v>0</v>
      </c>
      <c r="I57" s="330"/>
      <c r="J57" s="1553"/>
      <c r="K57" s="1553"/>
      <c r="L57" s="1553"/>
      <c r="M57" s="1553"/>
      <c r="N57" s="589"/>
      <c r="P57" s="80"/>
      <c r="Q57" s="80"/>
      <c r="R57" s="80"/>
      <c r="S57" s="80"/>
      <c r="T57" s="80"/>
      <c r="U57" s="80"/>
      <c r="V57" s="144"/>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row>
    <row r="58" spans="3:62" s="1" customFormat="1" ht="25.5" customHeight="1" x14ac:dyDescent="0.2">
      <c r="C58" s="1537" t="str">
        <f>IF($Q$2=2,F22&amp;" Fonds disponible du compte",F22&amp;" Account Available Funds")</f>
        <v>1020 Account Available Funds</v>
      </c>
      <c r="D58" s="1537"/>
      <c r="E58" s="1537"/>
      <c r="F58" s="1537"/>
      <c r="G58" s="588"/>
      <c r="I58" s="143"/>
      <c r="J58" s="1553"/>
      <c r="K58" s="1553"/>
      <c r="L58" s="1553"/>
      <c r="M58" s="1553"/>
      <c r="N58" s="589"/>
      <c r="P58" s="80"/>
      <c r="Q58" s="80"/>
      <c r="R58" s="80"/>
      <c r="S58" s="80"/>
      <c r="T58" s="80"/>
      <c r="U58" s="80"/>
      <c r="V58" s="144"/>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row>
    <row r="59" spans="3:62" s="1" customFormat="1" ht="25.5" customHeight="1" x14ac:dyDescent="0.2">
      <c r="C59" s="1538" t="str">
        <f>IF($Q$2=2,"Solde reporté à la ligne "&amp;F22&amp;" du Bilan - page 6","This balance fwrd'd to line "&amp;F22&amp;" of Balance Sheet -  page 6")</f>
        <v>This balance fwrd'd to line 1020 of Balance Sheet -  page 6</v>
      </c>
      <c r="D59" s="1538"/>
      <c r="E59" s="1538"/>
      <c r="F59" s="1538"/>
      <c r="G59" s="590">
        <f>IF(AND(SUM(G23+G24-G25+G57)&lt;0.001,SUM(G23+G24-G25+G57)&gt;-0.001),0,SUM(G23+G24-G25+G57))</f>
        <v>0</v>
      </c>
      <c r="H59" s="398"/>
      <c r="J59" s="355"/>
      <c r="K59" s="355"/>
      <c r="L59" s="355"/>
      <c r="M59" s="591"/>
      <c r="N59" s="590">
        <f>N29</f>
        <v>0</v>
      </c>
      <c r="P59" s="80"/>
      <c r="Q59" s="80"/>
      <c r="R59" s="80"/>
      <c r="S59" s="80"/>
      <c r="T59" s="80"/>
      <c r="U59" s="80"/>
      <c r="V59" s="144"/>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row>
    <row r="60" spans="3:62" s="1" customFormat="1" ht="9.75" customHeight="1" x14ac:dyDescent="0.2">
      <c r="F60" s="592"/>
      <c r="J60" s="586"/>
      <c r="M60" s="593"/>
      <c r="P60" s="80"/>
      <c r="Q60" s="80"/>
      <c r="R60" s="80"/>
      <c r="S60" s="80"/>
      <c r="T60" s="80"/>
      <c r="U60" s="80"/>
      <c r="V60" s="144"/>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row>
    <row r="61" spans="3:62" s="1" customFormat="1" ht="27.75" customHeight="1" x14ac:dyDescent="0.2">
      <c r="C61" s="355"/>
      <c r="D61" s="355"/>
      <c r="E61" s="355"/>
      <c r="F61" s="355"/>
      <c r="G61" s="355"/>
      <c r="H61" s="355"/>
      <c r="I61" s="355"/>
      <c r="J61" s="355"/>
      <c r="K61" s="355"/>
      <c r="L61" s="355"/>
      <c r="M61" s="355"/>
      <c r="P61" s="80"/>
      <c r="Q61" s="80"/>
      <c r="R61" s="80"/>
      <c r="S61" s="80"/>
      <c r="T61" s="80"/>
      <c r="U61" s="80"/>
      <c r="V61" s="144"/>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row>
    <row r="62" spans="3:62" s="1" customFormat="1" ht="44.25" customHeight="1" x14ac:dyDescent="0.2">
      <c r="C62" s="1539"/>
      <c r="D62" s="1539"/>
      <c r="E62" s="1539"/>
      <c r="F62" s="1539"/>
      <c r="G62" s="595">
        <f>IF(AND(G59-N59&lt;0.001,G59-N59&gt;-0.001),0,G59-N59)</f>
        <v>0</v>
      </c>
      <c r="H62" s="1540" t="str">
        <f>IF($Q$2=2,IF(G62=0,$T$7,$T$5),IF(G62=0,$T$8,$T$6))</f>
        <v>Books and Statements balance.</v>
      </c>
      <c r="I62" s="1540"/>
      <c r="J62" s="1540"/>
      <c r="K62" s="1540"/>
      <c r="L62" s="1540"/>
      <c r="M62" s="1540"/>
      <c r="N62" s="1540"/>
      <c r="P62" s="80"/>
      <c r="Q62" s="80"/>
      <c r="R62" s="80"/>
      <c r="S62" s="80"/>
      <c r="T62" s="80"/>
      <c r="U62" s="80"/>
      <c r="V62" s="144"/>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row>
    <row r="63" spans="3:62" s="1" customFormat="1" ht="33" customHeight="1" x14ac:dyDescent="0.2">
      <c r="C63" s="594"/>
      <c r="D63" s="594"/>
      <c r="E63" s="594"/>
      <c r="F63" s="594"/>
      <c r="G63" s="596"/>
      <c r="H63" s="597"/>
      <c r="I63" s="597"/>
      <c r="J63" s="597"/>
      <c r="K63" s="597"/>
      <c r="L63" s="597"/>
      <c r="M63" s="597"/>
      <c r="N63" s="597"/>
      <c r="P63" s="80"/>
      <c r="Q63" s="80"/>
      <c r="R63" s="80"/>
      <c r="S63" s="80"/>
      <c r="T63" s="80"/>
      <c r="U63" s="80"/>
      <c r="V63" s="144"/>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row>
    <row r="64" spans="3:62" s="1" customFormat="1" ht="18" customHeight="1" x14ac:dyDescent="0.2">
      <c r="C64" s="1541"/>
      <c r="D64" s="1541"/>
      <c r="E64" s="1541"/>
      <c r="F64" s="1541"/>
      <c r="G64" s="1541"/>
      <c r="H64" s="1541"/>
      <c r="I64" s="1541"/>
      <c r="J64" s="1541"/>
      <c r="K64" s="1541"/>
      <c r="L64" s="1541"/>
      <c r="M64" s="1541"/>
      <c r="N64" s="1541"/>
      <c r="P64" s="80"/>
      <c r="Q64" s="80"/>
      <c r="R64" s="80"/>
      <c r="S64" s="80"/>
      <c r="T64" s="80"/>
      <c r="U64" s="80"/>
      <c r="V64" s="144"/>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row>
    <row r="65" spans="3:62" s="1" customFormat="1" ht="40.5" customHeight="1" x14ac:dyDescent="0.2">
      <c r="D65" s="1528" t="str">
        <f>IF($Q$2=2,"Réconciliation détaillée du compte "&amp;F67&amp;" - "&amp;C67,"Detailed Reconciliation of the Account "&amp;F67&amp;" - "&amp;C67)</f>
        <v>Detailed Reconciliation of the Account 1030 - Canteen</v>
      </c>
      <c r="E65" s="1528"/>
      <c r="F65" s="1528"/>
      <c r="G65" s="1528"/>
      <c r="H65" s="1528"/>
      <c r="I65" s="1528"/>
      <c r="J65" s="1528"/>
      <c r="K65" s="1528"/>
      <c r="L65" s="1528"/>
      <c r="M65" s="1528"/>
      <c r="N65" s="577"/>
      <c r="P65" s="80"/>
      <c r="Q65" s="613"/>
      <c r="R65" s="80"/>
      <c r="S65" s="605"/>
      <c r="T65" s="80"/>
      <c r="U65" s="80"/>
      <c r="V65" s="144"/>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row>
    <row r="66" spans="3:62" s="1" customFormat="1" ht="29.25" customHeight="1" x14ac:dyDescent="0.2">
      <c r="C66" s="1529" t="str">
        <f>IF($Q$2=2,"Réconciliation selon les livres comptables","Reconciliation as per BookKeeping")</f>
        <v>Reconciliation as per BookKeeping</v>
      </c>
      <c r="D66" s="1529"/>
      <c r="E66" s="1529"/>
      <c r="F66" s="1529"/>
      <c r="G66" s="1529"/>
      <c r="I66" s="1529" t="str">
        <f>IF($Q$2=2,"Réconciliation selon l'état de compte","Reconciliation as per Account Statement")</f>
        <v>Reconciliation as per Account Statement</v>
      </c>
      <c r="J66" s="1529"/>
      <c r="K66" s="1529"/>
      <c r="L66" s="1529"/>
      <c r="M66" s="1529"/>
      <c r="N66" s="578" t="str">
        <f>F67</f>
        <v>1030</v>
      </c>
      <c r="P66" s="579"/>
      <c r="Q66" s="579"/>
      <c r="R66" s="579"/>
      <c r="S66" s="614"/>
      <c r="T66" s="579"/>
      <c r="U66" s="579"/>
      <c r="V66" s="47"/>
      <c r="W66" s="579"/>
      <c r="X66" s="579"/>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row>
    <row r="67" spans="3:62" s="1" customFormat="1" ht="25.5" customHeight="1" x14ac:dyDescent="0.2">
      <c r="C67" s="1555" t="str">
        <f>'Data Set up'!I20</f>
        <v>Canteen</v>
      </c>
      <c r="D67" s="1555"/>
      <c r="E67" s="1555"/>
      <c r="F67" s="580" t="str">
        <f>LEFT('Data Set up'!H20,4)</f>
        <v>1030</v>
      </c>
      <c r="G67" s="355"/>
      <c r="I67" s="1531"/>
      <c r="J67" s="1531"/>
      <c r="K67" s="1531"/>
      <c r="L67" s="1531"/>
      <c r="M67" s="1531"/>
      <c r="N67" s="1531"/>
      <c r="P67" s="80"/>
      <c r="Q67" s="80"/>
      <c r="R67" s="80"/>
      <c r="S67" s="605"/>
      <c r="T67" s="80"/>
      <c r="U67" s="80"/>
      <c r="V67" s="144"/>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row>
    <row r="68" spans="3:62" s="1" customFormat="1" ht="25.5" customHeight="1" x14ac:dyDescent="0.2">
      <c r="C68" s="1532" t="str">
        <f>IF($Q$2=2,"Solde du compte au ","Account Balance on ")</f>
        <v xml:space="preserve">Account Balance on </v>
      </c>
      <c r="D68" s="1532"/>
      <c r="E68" s="1532"/>
      <c r="F68" s="581" t="str">
        <f>'Data Set up'!$F$40&amp;" "&amp;'Data Set up'!$G$40&amp;" "&amp;'Data Set up'!$F$39</f>
        <v>31 August 2023</v>
      </c>
      <c r="G68" s="582">
        <f>'Data Set up'!F20</f>
        <v>0</v>
      </c>
      <c r="I68" s="1533" t="str">
        <f>IF($Q$2=2,"Solde au compte en fin d'exercice","End of Year Account Balance")</f>
        <v>End of Year Account Balance</v>
      </c>
      <c r="J68" s="1533"/>
      <c r="K68" s="1533"/>
      <c r="L68" s="1533"/>
      <c r="M68" s="1533"/>
      <c r="N68" s="583"/>
      <c r="P68" s="80"/>
      <c r="Q68" s="1534" t="str">
        <f>IF($Q$2=2,"Inscrivez le solde ici","Insert the Balance here")</f>
        <v>Insert the Balance here</v>
      </c>
      <c r="R68" s="1534"/>
      <c r="S68" s="1534"/>
      <c r="T68" s="80"/>
      <c r="U68" s="585">
        <f>N68*1</f>
        <v>0</v>
      </c>
      <c r="V68" s="144"/>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row>
    <row r="69" spans="3:62" s="1" customFormat="1" ht="25.5" customHeight="1" x14ac:dyDescent="0.2">
      <c r="C69" s="1535" t="str">
        <f>IF($Q$2=2,"Plus: Dépôts/Ventes (Jrnl des revenus)","Plus: Deposits/Sales (Revenue Jrnl)")</f>
        <v>Plus: Deposits/Sales (Revenue Jrnl)</v>
      </c>
      <c r="D69" s="1535"/>
      <c r="E69" s="1535"/>
      <c r="F69" s="1535"/>
      <c r="G69" s="582">
        <f>'Revenue Jrnl'!G525</f>
        <v>0</v>
      </c>
      <c r="H69" s="586"/>
      <c r="P69" s="80"/>
      <c r="Q69" s="80"/>
      <c r="R69" s="80"/>
      <c r="S69" s="605"/>
      <c r="T69" s="80"/>
      <c r="U69" s="80"/>
      <c r="V69" s="144"/>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row>
    <row r="70" spans="3:62" s="1" customFormat="1" ht="25.5" customHeight="1" x14ac:dyDescent="0.2">
      <c r="C70" s="1535" t="str">
        <f>IF($Q$2=2," Moins: Chèques/Achats (Jrnl des dépenses)","Less: Cheques/Purchases (Expense Jrnl)")</f>
        <v>Less: Cheques/Purchases (Expense Jrnl)</v>
      </c>
      <c r="D70" s="1535"/>
      <c r="E70" s="1535"/>
      <c r="F70" s="1535"/>
      <c r="G70" s="582">
        <f>'Expense Jrnl'!G525</f>
        <v>0</v>
      </c>
      <c r="I70" s="579"/>
      <c r="J70" s="579"/>
      <c r="K70" s="579"/>
      <c r="L70" s="579"/>
      <c r="M70" s="579"/>
      <c r="N70" s="587"/>
      <c r="P70" s="80"/>
      <c r="Q70" s="80"/>
      <c r="R70" s="80"/>
      <c r="S70" s="605"/>
      <c r="T70" s="80"/>
      <c r="U70" s="80"/>
      <c r="V70" s="144"/>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row>
    <row r="71" spans="3:62" s="1" customFormat="1" ht="25.5" customHeight="1" x14ac:dyDescent="0.2">
      <c r="C71" s="1536"/>
      <c r="D71" s="1536"/>
      <c r="E71" s="1536"/>
      <c r="F71" s="1536"/>
      <c r="H71" s="586"/>
      <c r="P71" s="80"/>
      <c r="Q71" s="80"/>
      <c r="R71" s="80"/>
      <c r="S71" s="605"/>
      <c r="T71" s="80"/>
      <c r="U71" s="80"/>
      <c r="V71" s="144"/>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row>
    <row r="72" spans="3:62" s="1" customFormat="1" ht="25.5" customHeight="1" x14ac:dyDescent="0.2">
      <c r="C72" s="1537" t="str">
        <f>IF($Q$2=2,F67&amp;" Fonds disponible du compte",F67&amp;" Account Available Funds")</f>
        <v>1030 Account Available Funds</v>
      </c>
      <c r="D72" s="1537"/>
      <c r="E72" s="1537"/>
      <c r="F72" s="1537"/>
      <c r="G72" s="588"/>
      <c r="I72" s="143"/>
      <c r="J72" s="80"/>
      <c r="K72" s="80"/>
      <c r="L72" s="80"/>
      <c r="M72" s="80"/>
      <c r="N72" s="589"/>
      <c r="P72" s="80"/>
      <c r="Q72" s="80"/>
      <c r="R72" s="80"/>
      <c r="S72" s="605"/>
      <c r="T72" s="80"/>
      <c r="U72" s="80"/>
      <c r="V72" s="144"/>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row>
    <row r="73" spans="3:62" s="1" customFormat="1" ht="25.5" customHeight="1" x14ac:dyDescent="0.2">
      <c r="C73" s="1538" t="str">
        <f>IF($Q$2=2,"Solde reporté à la ligne "&amp;F67&amp;" du Bilan - page 6","This balance fwrd'd to line "&amp;F67&amp;" of Balance Sheet -  page 6")</f>
        <v>This balance fwrd'd to line 1030 of Balance Sheet -  page 6</v>
      </c>
      <c r="D73" s="1538"/>
      <c r="E73" s="1538"/>
      <c r="F73" s="1538"/>
      <c r="G73" s="590">
        <f>IF(AND(SUM(G68+G69-G70)&lt;0.001,SUM(G68+G69-G70)&gt;-0.001),0,SUM(G68+G69-G70))</f>
        <v>0</v>
      </c>
      <c r="H73" s="398"/>
      <c r="J73" s="355"/>
      <c r="K73" s="355"/>
      <c r="L73" s="355"/>
      <c r="M73" s="591"/>
      <c r="N73" s="590">
        <f>N68</f>
        <v>0</v>
      </c>
      <c r="P73" s="80"/>
      <c r="Q73" s="80"/>
      <c r="R73" s="80"/>
      <c r="S73" s="605"/>
      <c r="T73" s="80"/>
      <c r="U73" s="80"/>
      <c r="V73" s="144"/>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row>
    <row r="74" spans="3:62" s="1" customFormat="1" ht="9.75" customHeight="1" x14ac:dyDescent="0.2">
      <c r="F74" s="592"/>
      <c r="J74" s="586"/>
      <c r="M74" s="593"/>
      <c r="P74" s="80"/>
      <c r="Q74" s="80"/>
      <c r="R74" s="80"/>
      <c r="S74" s="605"/>
      <c r="T74" s="80"/>
      <c r="U74" s="80"/>
      <c r="V74" s="144"/>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row>
    <row r="75" spans="3:62" s="1" customFormat="1" ht="9.75" customHeight="1" x14ac:dyDescent="0.2">
      <c r="C75" s="355"/>
      <c r="D75" s="355"/>
      <c r="E75" s="355"/>
      <c r="F75" s="355"/>
      <c r="G75" s="355"/>
      <c r="H75" s="355"/>
      <c r="I75" s="355"/>
      <c r="J75" s="355"/>
      <c r="K75" s="355"/>
      <c r="L75" s="355"/>
      <c r="M75" s="355"/>
      <c r="P75" s="80"/>
      <c r="Q75" s="80"/>
      <c r="R75" s="80"/>
      <c r="S75" s="605"/>
      <c r="T75" s="80"/>
      <c r="U75" s="80"/>
      <c r="V75" s="144"/>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row>
    <row r="76" spans="3:62" s="1" customFormat="1" ht="44.25" customHeight="1" x14ac:dyDescent="0.2">
      <c r="C76" s="1539"/>
      <c r="D76" s="1539"/>
      <c r="E76" s="1539"/>
      <c r="F76" s="1539"/>
      <c r="G76" s="595">
        <f>IF(AND(G73-N73&lt;0.001,G73-N73&gt;-0.001),0,G73-N73)</f>
        <v>0</v>
      </c>
      <c r="H76" s="1540" t="str">
        <f>IF($Q$2=2,IF(G76=0,$T$7,$T$5),IF(G76=0,$T$8,$T$6))</f>
        <v>Books and Statements balance.</v>
      </c>
      <c r="I76" s="1540"/>
      <c r="J76" s="1540"/>
      <c r="K76" s="1540"/>
      <c r="L76" s="1540"/>
      <c r="M76" s="1540"/>
      <c r="N76" s="1540"/>
      <c r="P76" s="80"/>
      <c r="Q76" s="80"/>
      <c r="R76" s="80"/>
      <c r="S76" s="605"/>
      <c r="T76" s="80"/>
      <c r="U76" s="80"/>
      <c r="V76" s="144"/>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row>
    <row r="77" spans="3:62" s="1" customFormat="1" ht="33" customHeight="1" x14ac:dyDescent="0.2">
      <c r="C77" s="594"/>
      <c r="D77" s="594"/>
      <c r="E77" s="594"/>
      <c r="F77" s="594"/>
      <c r="G77" s="615"/>
      <c r="H77" s="597"/>
      <c r="I77" s="597"/>
      <c r="J77" s="597"/>
      <c r="K77" s="597"/>
      <c r="L77" s="597"/>
      <c r="M77" s="597"/>
      <c r="N77" s="597"/>
      <c r="P77" s="80"/>
      <c r="Q77" s="80"/>
      <c r="R77" s="80"/>
      <c r="S77" s="605"/>
      <c r="T77" s="80"/>
      <c r="U77" s="80"/>
      <c r="V77" s="144"/>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row>
    <row r="78" spans="3:62" ht="18.75" customHeight="1" x14ac:dyDescent="0.2">
      <c r="C78" s="1541"/>
      <c r="D78" s="1541"/>
      <c r="E78" s="1541"/>
      <c r="F78" s="1541"/>
      <c r="G78" s="1541"/>
      <c r="H78" s="1541"/>
      <c r="I78" s="1541"/>
      <c r="J78" s="1541"/>
      <c r="K78" s="1541"/>
      <c r="L78" s="1541"/>
      <c r="M78" s="1541"/>
      <c r="N78" s="1541"/>
    </row>
    <row r="79" spans="3:62" s="1" customFormat="1" ht="40.5" customHeight="1" x14ac:dyDescent="0.2">
      <c r="D79" s="1528" t="str">
        <f>IF($Q$2=2,"Réconciliation détaillée du compte "&amp;F81&amp;" - "&amp;C81,"Detailed Reconciliation of the Account "&amp;F81&amp;" - "&amp;C81)</f>
        <v>Detailed Reconciliation of the Account 1040 - Petty Cash</v>
      </c>
      <c r="E79" s="1528"/>
      <c r="F79" s="1528"/>
      <c r="G79" s="1528"/>
      <c r="H79" s="1528"/>
      <c r="I79" s="1528"/>
      <c r="J79" s="1528"/>
      <c r="K79" s="1528"/>
      <c r="L79" s="1528"/>
      <c r="M79" s="1528"/>
      <c r="N79" s="577"/>
      <c r="P79" s="80"/>
      <c r="Q79" s="80"/>
      <c r="R79" s="80"/>
      <c r="S79" s="80"/>
      <c r="T79" s="80"/>
      <c r="U79" s="80"/>
      <c r="V79" s="144"/>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row>
    <row r="80" spans="3:62" s="1" customFormat="1" ht="29.25" customHeight="1" x14ac:dyDescent="0.2">
      <c r="C80" s="1529" t="str">
        <f>IF($Q$2=2,"Réconciliation selon les livres comptables","Reconciliation as per BookKeeping")</f>
        <v>Reconciliation as per BookKeeping</v>
      </c>
      <c r="D80" s="1529"/>
      <c r="E80" s="1529"/>
      <c r="F80" s="1529"/>
      <c r="G80" s="1529"/>
      <c r="I80" s="1529" t="str">
        <f>IF($Q$2=2,"Réconciliation selon l'état de compte","Reconciliation as per Account Statement")</f>
        <v>Reconciliation as per Account Statement</v>
      </c>
      <c r="J80" s="1529"/>
      <c r="K80" s="1529"/>
      <c r="L80" s="1529"/>
      <c r="M80" s="1529"/>
      <c r="N80" s="578" t="str">
        <f>F81</f>
        <v>1040</v>
      </c>
      <c r="P80" s="579"/>
      <c r="Q80" s="579"/>
      <c r="R80" s="579"/>
      <c r="S80" s="579"/>
      <c r="T80" s="579"/>
      <c r="U80" s="579"/>
      <c r="V80" s="47"/>
      <c r="W80" s="579"/>
      <c r="X80" s="579"/>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row>
    <row r="81" spans="3:62" s="1" customFormat="1" ht="25.5" customHeight="1" x14ac:dyDescent="0.2">
      <c r="C81" s="1542" t="str">
        <f>'Data Set up'!I21</f>
        <v>Petty Cash</v>
      </c>
      <c r="D81" s="1542"/>
      <c r="E81" s="1542"/>
      <c r="F81" s="580" t="str">
        <f>LEFT('Data Set up'!H21,4)</f>
        <v>1040</v>
      </c>
      <c r="G81" s="355"/>
      <c r="I81" s="1556"/>
      <c r="J81" s="1556"/>
      <c r="K81" s="1556"/>
      <c r="L81" s="1556"/>
      <c r="M81" s="1556"/>
      <c r="N81" s="1556"/>
      <c r="P81" s="80"/>
      <c r="Q81" s="80"/>
      <c r="R81" s="80"/>
      <c r="S81" s="80"/>
      <c r="T81" s="80"/>
      <c r="U81" s="80"/>
      <c r="V81" s="144"/>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row>
    <row r="82" spans="3:62" s="1" customFormat="1" ht="25.5" customHeight="1" x14ac:dyDescent="0.2">
      <c r="C82" s="1532" t="str">
        <f>IF($Q$2=2,"Solde du compte au ","Account Balance on ")</f>
        <v xml:space="preserve">Account Balance on </v>
      </c>
      <c r="D82" s="1532"/>
      <c r="E82" s="1532"/>
      <c r="F82" s="581" t="str">
        <f>'Data Set up'!$F$40&amp;" "&amp;'Data Set up'!$G$40&amp;" "&amp;'Data Set up'!$F$39</f>
        <v>31 August 2023</v>
      </c>
      <c r="G82" s="582">
        <f>'Data Set up'!F21</f>
        <v>0</v>
      </c>
      <c r="I82" s="1533" t="str">
        <f>IF($Q$2=2,"Solde au compte en fin d'exercice","End of Year Account Balance")</f>
        <v>End of Year Account Balance</v>
      </c>
      <c r="J82" s="1533"/>
      <c r="K82" s="1533"/>
      <c r="L82" s="1533"/>
      <c r="M82" s="1533"/>
      <c r="N82" s="583"/>
      <c r="P82" s="80"/>
      <c r="Q82" s="1534" t="str">
        <f>IF($Q$2=2,"Inscrivez le solde ici","Insert the Balance here")</f>
        <v>Insert the Balance here</v>
      </c>
      <c r="R82" s="1534"/>
      <c r="S82" s="1534"/>
      <c r="T82" s="80"/>
      <c r="U82" s="585">
        <f>N82*1</f>
        <v>0</v>
      </c>
      <c r="V82" s="144"/>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row>
    <row r="83" spans="3:62" s="1" customFormat="1" ht="25.5" customHeight="1" x14ac:dyDescent="0.2">
      <c r="C83" s="1535" t="str">
        <f>IF($Q$2=2,"Plus: Dépôts (Jrnl des revenus)","Plus: Deposits (Revenue Jrnl)")</f>
        <v>Plus: Deposits (Revenue Jrnl)</v>
      </c>
      <c r="D83" s="1535"/>
      <c r="E83" s="1535"/>
      <c r="F83" s="1535"/>
      <c r="G83" s="582">
        <f>'Revenue Jrnl'!G526</f>
        <v>0</v>
      </c>
      <c r="H83" s="586"/>
      <c r="P83" s="80"/>
      <c r="Q83" s="80"/>
      <c r="R83" s="80"/>
      <c r="S83" s="80"/>
      <c r="T83" s="80"/>
      <c r="U83" s="80"/>
      <c r="V83" s="144"/>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row>
    <row r="84" spans="3:62" s="1" customFormat="1" ht="25.5" customHeight="1" x14ac:dyDescent="0.2">
      <c r="C84" s="1535" t="str">
        <f>IF($Q$2=2," Moins: Chèques (Jrnl des dépenses)","Less: Cheques (Expense Jrnl)")</f>
        <v>Less: Cheques (Expense Jrnl)</v>
      </c>
      <c r="D84" s="1535"/>
      <c r="E84" s="1535"/>
      <c r="F84" s="1535"/>
      <c r="G84" s="582">
        <f>'Expense Jrnl'!G526</f>
        <v>0</v>
      </c>
      <c r="I84" s="616"/>
      <c r="J84" s="616"/>
      <c r="K84" s="616"/>
      <c r="L84" s="616"/>
      <c r="M84" s="616"/>
      <c r="N84" s="587"/>
      <c r="P84" s="80"/>
      <c r="Q84" s="80"/>
      <c r="R84" s="80"/>
      <c r="S84" s="80"/>
      <c r="T84" s="80"/>
      <c r="U84" s="80"/>
      <c r="V84" s="144"/>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row>
    <row r="85" spans="3:62" s="1" customFormat="1" ht="25.5" customHeight="1" x14ac:dyDescent="0.2">
      <c r="C85" s="579"/>
      <c r="D85" s="579"/>
      <c r="E85" s="579"/>
      <c r="F85" s="579"/>
      <c r="G85" s="587"/>
      <c r="I85" s="330"/>
      <c r="J85" s="80"/>
      <c r="K85" s="80"/>
      <c r="L85" s="80"/>
      <c r="M85" s="80"/>
      <c r="N85" s="589"/>
      <c r="P85" s="80"/>
      <c r="Q85" s="80"/>
      <c r="R85" s="80"/>
      <c r="S85" s="80"/>
      <c r="T85" s="80"/>
      <c r="U85" s="80"/>
      <c r="V85" s="144"/>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row>
    <row r="86" spans="3:62" s="1" customFormat="1" ht="25.5" customHeight="1" x14ac:dyDescent="0.2">
      <c r="C86" s="1557" t="str">
        <f>IF($Q$2=2,F81&amp;" Fonds disponible du compte",F81&amp;" Account Available Funds")</f>
        <v>1040 Account Available Funds</v>
      </c>
      <c r="D86" s="1557"/>
      <c r="E86" s="1557"/>
      <c r="F86" s="1557"/>
      <c r="G86" s="588"/>
      <c r="I86" s="143"/>
      <c r="J86" s="80"/>
      <c r="K86" s="80"/>
      <c r="L86" s="80"/>
      <c r="M86" s="80"/>
      <c r="N86" s="589"/>
      <c r="P86" s="80"/>
      <c r="Q86" s="80"/>
      <c r="R86" s="80"/>
      <c r="S86" s="80"/>
      <c r="T86" s="80"/>
      <c r="U86" s="80"/>
      <c r="V86" s="144"/>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row>
    <row r="87" spans="3:62" s="1" customFormat="1" ht="25.5" customHeight="1" x14ac:dyDescent="0.2">
      <c r="C87" s="1558" t="str">
        <f>IF($Q$2=2,"Solde reporté à la ligne "&amp;F81&amp;" du Bilan - page 6","This balance fwrd'd to line "&amp;F81&amp;" of Balance Sheet -  page 6")</f>
        <v>This balance fwrd'd to line 1040 of Balance Sheet -  page 6</v>
      </c>
      <c r="D87" s="1558"/>
      <c r="E87" s="1558"/>
      <c r="F87" s="1558"/>
      <c r="G87" s="590">
        <f>IF(AND(SUM(G82+G83-G84)&lt;0.001,SUM(G82+G83-G84)&gt;-0.001),0,SUM(G82+G83-G84))</f>
        <v>0</v>
      </c>
      <c r="H87" s="398"/>
      <c r="J87" s="355"/>
      <c r="K87" s="355"/>
      <c r="L87" s="355"/>
      <c r="M87" s="591"/>
      <c r="N87" s="590">
        <f>N82</f>
        <v>0</v>
      </c>
      <c r="P87" s="80"/>
      <c r="Q87" s="80"/>
      <c r="R87" s="80"/>
      <c r="S87" s="80"/>
      <c r="T87" s="80"/>
      <c r="U87" s="80"/>
      <c r="V87" s="144"/>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row>
    <row r="88" spans="3:62" s="1" customFormat="1" ht="9.75" customHeight="1" x14ac:dyDescent="0.2">
      <c r="F88" s="592"/>
      <c r="J88" s="586"/>
      <c r="M88" s="593"/>
      <c r="P88" s="80"/>
      <c r="Q88" s="80"/>
      <c r="R88" s="80"/>
      <c r="S88" s="80"/>
      <c r="T88" s="80"/>
      <c r="U88" s="80"/>
      <c r="V88" s="144"/>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row>
    <row r="89" spans="3:62" s="1" customFormat="1" ht="9.75" customHeight="1" x14ac:dyDescent="0.2">
      <c r="C89" s="355"/>
      <c r="D89" s="355"/>
      <c r="E89" s="355"/>
      <c r="F89" s="355"/>
      <c r="G89" s="355"/>
      <c r="H89" s="355"/>
      <c r="I89" s="355"/>
      <c r="J89" s="355"/>
      <c r="K89" s="355"/>
      <c r="L89" s="355"/>
      <c r="M89" s="355"/>
      <c r="P89" s="80"/>
      <c r="Q89" s="80"/>
      <c r="R89" s="80"/>
      <c r="S89" s="80"/>
      <c r="T89" s="80"/>
      <c r="U89" s="80"/>
      <c r="V89" s="144"/>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row>
    <row r="90" spans="3:62" s="1" customFormat="1" ht="44.25" customHeight="1" x14ac:dyDescent="0.2">
      <c r="C90" s="1539"/>
      <c r="D90" s="1539"/>
      <c r="E90" s="1539"/>
      <c r="F90" s="1539"/>
      <c r="G90" s="595">
        <f>IF(AND(G87-N87&lt;0.001,G87-N87&gt;-0.001),0,G87-N87)</f>
        <v>0</v>
      </c>
      <c r="H90" s="1540" t="str">
        <f>IF($Q$2=2,IF(G90=0,$T$7,$T$5),IF(G90=0,$T$8,$T$6))</f>
        <v>Books and Statements balance.</v>
      </c>
      <c r="I90" s="1540"/>
      <c r="J90" s="1540"/>
      <c r="K90" s="1540"/>
      <c r="L90" s="1540"/>
      <c r="M90" s="1540"/>
      <c r="N90" s="1540"/>
      <c r="P90" s="80"/>
      <c r="Q90" s="80"/>
      <c r="R90" s="80"/>
      <c r="S90" s="80"/>
      <c r="T90" s="80"/>
      <c r="U90" s="80"/>
      <c r="V90" s="144"/>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row>
    <row r="91" spans="3:62" s="1" customFormat="1" ht="33" customHeight="1" x14ac:dyDescent="0.2">
      <c r="C91" s="594"/>
      <c r="D91" s="594"/>
      <c r="E91" s="594"/>
      <c r="F91" s="594"/>
      <c r="G91" s="596"/>
      <c r="H91" s="597"/>
      <c r="I91" s="597"/>
      <c r="J91" s="597"/>
      <c r="K91" s="597"/>
      <c r="L91" s="597"/>
      <c r="M91" s="597"/>
      <c r="N91" s="597"/>
      <c r="P91" s="80"/>
      <c r="Q91" s="80"/>
      <c r="R91" s="80"/>
      <c r="S91" s="80"/>
      <c r="T91" s="80"/>
      <c r="U91" s="80"/>
      <c r="V91" s="144"/>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row>
    <row r="92" spans="3:62" ht="18.75" customHeight="1" x14ac:dyDescent="0.2">
      <c r="C92" s="1541"/>
      <c r="D92" s="1541"/>
      <c r="E92" s="1541"/>
      <c r="F92" s="1541"/>
      <c r="G92" s="1541"/>
      <c r="H92" s="1541"/>
      <c r="I92" s="1541"/>
      <c r="J92" s="1541"/>
      <c r="K92" s="1541"/>
      <c r="L92" s="1541"/>
      <c r="M92" s="1541"/>
      <c r="N92" s="1541"/>
    </row>
    <row r="93" spans="3:62" s="1" customFormat="1" ht="40.5" customHeight="1" x14ac:dyDescent="0.2">
      <c r="D93" s="1528" t="str">
        <f>IF($Q$2=2,"Réconciliation détaillée du compte "&amp;F95&amp;" - "&amp;C95,"Detailed Reconciliation of the Account "&amp;F95&amp;" - "&amp;C95)</f>
        <v>Detailed Reconciliation of the Account 1050 - Available (Rename)</v>
      </c>
      <c r="E93" s="1528"/>
      <c r="F93" s="1528"/>
      <c r="G93" s="1528"/>
      <c r="H93" s="1528"/>
      <c r="I93" s="1528"/>
      <c r="J93" s="1528"/>
      <c r="K93" s="1528"/>
      <c r="L93" s="1528"/>
      <c r="M93" s="1528"/>
      <c r="N93" s="577"/>
      <c r="P93" s="80"/>
      <c r="Q93" s="80"/>
      <c r="R93" s="80"/>
      <c r="S93" s="80"/>
      <c r="T93" s="80"/>
      <c r="U93" s="80"/>
      <c r="V93" s="144"/>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row>
    <row r="94" spans="3:62" s="1" customFormat="1" ht="29.25" customHeight="1" x14ac:dyDescent="0.2">
      <c r="C94" s="1529" t="str">
        <f>IF($Q$2=2,"Réconciliation selon les livres comptables","Reconciliation as per BookKeeping")</f>
        <v>Reconciliation as per BookKeeping</v>
      </c>
      <c r="D94" s="1529"/>
      <c r="E94" s="1529"/>
      <c r="F94" s="1529"/>
      <c r="G94" s="1529"/>
      <c r="I94" s="1529" t="str">
        <f>IF($Q$2=2,"Réconciliation selon l'état de compte","Reconciliation as per Account Statement")</f>
        <v>Reconciliation as per Account Statement</v>
      </c>
      <c r="J94" s="1529"/>
      <c r="K94" s="1529"/>
      <c r="L94" s="1529"/>
      <c r="M94" s="1529"/>
      <c r="N94" s="578" t="str">
        <f>F95</f>
        <v>1050</v>
      </c>
      <c r="P94" s="579"/>
      <c r="Q94" s="579"/>
      <c r="R94" s="579"/>
      <c r="S94" s="579"/>
      <c r="T94" s="579"/>
      <c r="U94" s="579"/>
      <c r="V94" s="47"/>
      <c r="W94" s="579"/>
      <c r="X94" s="579"/>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row>
    <row r="95" spans="3:62" s="1" customFormat="1" ht="25.5" customHeight="1" x14ac:dyDescent="0.2">
      <c r="C95" s="1542" t="str">
        <f>'Data Set up'!I22</f>
        <v>Available (Rename)</v>
      </c>
      <c r="D95" s="1542"/>
      <c r="E95" s="1542"/>
      <c r="F95" s="580" t="str">
        <f>LEFT('Data Set up'!H22,4)</f>
        <v>1050</v>
      </c>
      <c r="G95" s="355"/>
      <c r="I95" s="1556"/>
      <c r="J95" s="1556"/>
      <c r="K95" s="1556"/>
      <c r="L95" s="1556"/>
      <c r="M95" s="1556"/>
      <c r="N95" s="1556"/>
      <c r="P95" s="80"/>
      <c r="Q95" s="80"/>
      <c r="R95" s="80"/>
      <c r="S95" s="80"/>
      <c r="T95" s="80"/>
      <c r="U95" s="80"/>
      <c r="V95" s="144"/>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row>
    <row r="96" spans="3:62" s="1" customFormat="1" ht="25.5" customHeight="1" x14ac:dyDescent="0.2">
      <c r="C96" s="1532" t="str">
        <f>IF($Q$2=2,"Solde du compte au ","Account Balance on ")</f>
        <v xml:space="preserve">Account Balance on </v>
      </c>
      <c r="D96" s="1532"/>
      <c r="E96" s="1532"/>
      <c r="F96" s="581" t="str">
        <f>'Data Set up'!$F$40&amp;" "&amp;'Data Set up'!$G$40&amp;" "&amp;'Data Set up'!$F$39</f>
        <v>31 August 2023</v>
      </c>
      <c r="G96" s="582">
        <f>'Data Set up'!F22</f>
        <v>0</v>
      </c>
      <c r="I96" s="1533" t="str">
        <f>IF($Q$2=2,"Solde au compte en fin d'exercice","End of Year Account Balance")</f>
        <v>End of Year Account Balance</v>
      </c>
      <c r="J96" s="1533"/>
      <c r="K96" s="1533"/>
      <c r="L96" s="1533"/>
      <c r="M96" s="1533"/>
      <c r="N96" s="583"/>
      <c r="P96" s="80"/>
      <c r="Q96" s="1534" t="str">
        <f>IF($Q$2=2,"Inscrivez le solde ici","Insert the Balance here")</f>
        <v>Insert the Balance here</v>
      </c>
      <c r="R96" s="1534"/>
      <c r="S96" s="1534"/>
      <c r="T96" s="80"/>
      <c r="U96" s="585">
        <f>N96*1</f>
        <v>0</v>
      </c>
      <c r="V96" s="144"/>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row>
    <row r="97" spans="3:62" s="1" customFormat="1" ht="25.5" customHeight="1" x14ac:dyDescent="0.2">
      <c r="C97" s="1559" t="str">
        <f>IF($Q$2=2,"Plus: Achats (Jrnl des revenus)","Plus: Purchases (Revenue Jrnl)")</f>
        <v>Plus: Purchases (Revenue Jrnl)</v>
      </c>
      <c r="D97" s="1559"/>
      <c r="E97" s="1559"/>
      <c r="F97" s="1559"/>
      <c r="G97" s="582">
        <f>'Revenue Jrnl'!G527</f>
        <v>0</v>
      </c>
      <c r="H97" s="586"/>
      <c r="P97" s="80"/>
      <c r="Q97" s="80"/>
      <c r="R97" s="80"/>
      <c r="S97" s="80"/>
      <c r="T97" s="80"/>
      <c r="U97" s="80"/>
      <c r="V97" s="144"/>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row>
    <row r="98" spans="3:62" s="1" customFormat="1" ht="25.5" customHeight="1" x14ac:dyDescent="0.2">
      <c r="C98" s="1559" t="str">
        <f>IF($Q$2=2," Moins: Ventes (Jrnl des dépenses)","Less: Sales (Expense Jrnl)")</f>
        <v>Less: Sales (Expense Jrnl)</v>
      </c>
      <c r="D98" s="1559"/>
      <c r="E98" s="1559"/>
      <c r="F98" s="1559"/>
      <c r="G98" s="582">
        <f>'Expense Jrnl'!G527</f>
        <v>0</v>
      </c>
      <c r="I98" s="616"/>
      <c r="J98" s="616"/>
      <c r="K98" s="616"/>
      <c r="L98" s="616"/>
      <c r="M98" s="616"/>
      <c r="N98" s="587"/>
      <c r="P98" s="80"/>
      <c r="Q98" s="80"/>
      <c r="R98" s="80"/>
      <c r="S98" s="80"/>
      <c r="T98" s="80"/>
      <c r="U98" s="80"/>
      <c r="V98" s="144"/>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row>
    <row r="99" spans="3:62" s="1" customFormat="1" ht="25.5" customHeight="1" x14ac:dyDescent="0.2">
      <c r="C99" s="617"/>
      <c r="D99" s="618"/>
      <c r="E99" s="618"/>
      <c r="F99" s="618"/>
      <c r="G99" s="587"/>
      <c r="I99" s="616"/>
      <c r="J99" s="616"/>
      <c r="K99" s="616"/>
      <c r="L99" s="616"/>
      <c r="M99" s="616"/>
      <c r="N99" s="587"/>
      <c r="P99" s="80"/>
      <c r="Q99" s="80"/>
      <c r="R99" s="80"/>
      <c r="S99" s="80"/>
      <c r="T99" s="80"/>
      <c r="U99" s="80"/>
      <c r="V99" s="144"/>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row>
    <row r="100" spans="3:62" s="1" customFormat="1" ht="25.5" customHeight="1" x14ac:dyDescent="0.2">
      <c r="C100" s="1537" t="str">
        <f>IF($Q$2=2,F95&amp;" Fonds disponible du compte",F95&amp;" Account Available Funds")</f>
        <v>1050 Account Available Funds</v>
      </c>
      <c r="D100" s="1537"/>
      <c r="E100" s="1537"/>
      <c r="F100" s="1537"/>
      <c r="G100" s="588"/>
      <c r="I100" s="143"/>
      <c r="J100" s="80"/>
      <c r="K100" s="80"/>
      <c r="L100" s="80"/>
      <c r="M100" s="80"/>
      <c r="N100" s="589"/>
      <c r="P100" s="80"/>
      <c r="Q100" s="80"/>
      <c r="R100" s="80"/>
      <c r="S100" s="80"/>
      <c r="T100" s="80"/>
      <c r="U100" s="80"/>
      <c r="V100" s="144"/>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row>
    <row r="101" spans="3:62" s="1" customFormat="1" ht="25.5" customHeight="1" x14ac:dyDescent="0.2">
      <c r="C101" s="1558" t="str">
        <f>IF($Q$2=2,"Solde reporté à la ligne "&amp;F95&amp;" du Bilan - page 6","This balance fwrd'd to line "&amp;F95&amp;" of Balance Sheet -  page 6")</f>
        <v>This balance fwrd'd to line 1050 of Balance Sheet -  page 6</v>
      </c>
      <c r="D101" s="1558"/>
      <c r="E101" s="1558"/>
      <c r="F101" s="1558"/>
      <c r="G101" s="590">
        <f>IF(AND(SUM(G95+G96-G97)&lt;0.001,SUM(G95+G96-G97)&gt;-0.001),0,SUM(G96+G97-G98))</f>
        <v>0</v>
      </c>
      <c r="H101" s="398"/>
      <c r="J101" s="355"/>
      <c r="K101" s="355"/>
      <c r="L101" s="355"/>
      <c r="M101" s="591"/>
      <c r="N101" s="590">
        <f>N96*1</f>
        <v>0</v>
      </c>
      <c r="P101" s="80"/>
      <c r="Q101" s="80"/>
      <c r="R101" s="80"/>
      <c r="S101" s="80"/>
      <c r="T101" s="80"/>
      <c r="U101" s="80"/>
      <c r="V101" s="144"/>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row>
    <row r="102" spans="3:62" s="1" customFormat="1" ht="9.75" customHeight="1" x14ac:dyDescent="0.2">
      <c r="F102" s="592"/>
      <c r="J102" s="586"/>
      <c r="M102" s="593"/>
      <c r="P102" s="80"/>
      <c r="Q102" s="80"/>
      <c r="R102" s="80"/>
      <c r="S102" s="80"/>
      <c r="T102" s="80"/>
      <c r="U102" s="80"/>
      <c r="V102" s="144"/>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row>
    <row r="103" spans="3:62" s="1" customFormat="1" ht="9.75" customHeight="1" x14ac:dyDescent="0.2">
      <c r="C103" s="355"/>
      <c r="D103" s="355"/>
      <c r="E103" s="355"/>
      <c r="F103" s="355"/>
      <c r="G103" s="355"/>
      <c r="H103" s="355"/>
      <c r="I103" s="355"/>
      <c r="J103" s="355"/>
      <c r="K103" s="355"/>
      <c r="L103" s="355"/>
      <c r="M103" s="355"/>
      <c r="P103" s="80"/>
      <c r="Q103" s="80"/>
      <c r="R103" s="80"/>
      <c r="S103" s="80"/>
      <c r="T103" s="80"/>
      <c r="U103" s="80"/>
      <c r="V103" s="144"/>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row>
    <row r="104" spans="3:62" s="1" customFormat="1" ht="44.25" customHeight="1" x14ac:dyDescent="0.2">
      <c r="C104" s="1539"/>
      <c r="D104" s="1539"/>
      <c r="E104" s="1539"/>
      <c r="F104" s="1539"/>
      <c r="G104" s="595">
        <f>IF(AND(G101-N101&lt;0.001,G101-N101&gt;-0.001),0,G101-N101)</f>
        <v>0</v>
      </c>
      <c r="H104" s="1540" t="str">
        <f>IF($Q$2=2,IF(G104=0,$T$7,$T$5),IF(G104=0,$T$8,$T$6))</f>
        <v>Books and Statements balance.</v>
      </c>
      <c r="I104" s="1540"/>
      <c r="J104" s="1540"/>
      <c r="K104" s="1540"/>
      <c r="L104" s="1540"/>
      <c r="M104" s="1540"/>
      <c r="N104" s="1540"/>
      <c r="P104" s="80"/>
      <c r="Q104" s="80"/>
      <c r="R104" s="80"/>
      <c r="S104" s="80"/>
      <c r="T104" s="80"/>
      <c r="U104" s="80"/>
      <c r="V104" s="144"/>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row>
    <row r="105" spans="3:62" s="1" customFormat="1" ht="33" customHeight="1" x14ac:dyDescent="0.2">
      <c r="C105" s="594"/>
      <c r="D105" s="594"/>
      <c r="E105" s="594"/>
      <c r="F105" s="594"/>
      <c r="G105" s="596"/>
      <c r="H105" s="597"/>
      <c r="I105" s="597"/>
      <c r="J105" s="597"/>
      <c r="K105" s="597"/>
      <c r="L105" s="597"/>
      <c r="M105" s="597"/>
      <c r="N105" s="597"/>
      <c r="P105" s="80"/>
      <c r="Q105" s="80"/>
      <c r="R105" s="80"/>
      <c r="S105" s="80"/>
      <c r="T105" s="80"/>
      <c r="U105" s="80"/>
      <c r="V105" s="144"/>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row>
    <row r="106" spans="3:62" ht="18.75" customHeight="1" x14ac:dyDescent="0.2">
      <c r="C106" s="1541"/>
      <c r="D106" s="1541"/>
      <c r="E106" s="1541"/>
      <c r="F106" s="1541"/>
      <c r="G106" s="1541"/>
      <c r="H106" s="1541"/>
      <c r="I106" s="1541"/>
      <c r="J106" s="1541"/>
      <c r="K106" s="1541"/>
      <c r="L106" s="1541"/>
      <c r="M106" s="1541"/>
      <c r="N106" s="1541"/>
    </row>
    <row r="107" spans="3:62" s="1" customFormat="1" ht="40.5" customHeight="1" x14ac:dyDescent="0.2">
      <c r="D107" s="1528" t="str">
        <f>IF($Q$2=2,"Réconciliation détaillée du compte "&amp;F109&amp;" - "&amp;C109,"Detailed Reconciliation of the Account "&amp;F109&amp;" - "&amp;C109)</f>
        <v>Detailed Reconciliation of the Account 1060 - Available (Rename)</v>
      </c>
      <c r="E107" s="1528"/>
      <c r="F107" s="1528"/>
      <c r="G107" s="1528"/>
      <c r="H107" s="1528"/>
      <c r="I107" s="1528"/>
      <c r="J107" s="1528"/>
      <c r="K107" s="1528"/>
      <c r="L107" s="1528"/>
      <c r="M107" s="1528"/>
      <c r="N107" s="577"/>
      <c r="P107" s="80"/>
      <c r="Q107" s="80"/>
      <c r="R107" s="80"/>
      <c r="S107" s="80"/>
      <c r="T107" s="80"/>
      <c r="U107" s="80"/>
      <c r="V107" s="144"/>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row>
    <row r="108" spans="3:62" s="1" customFormat="1" ht="29.25" customHeight="1" x14ac:dyDescent="0.2">
      <c r="C108" s="1529" t="str">
        <f>IF($Q$2=2,"Réconciliation selon les livres comptables","Reconciliation as per BookKeeping")</f>
        <v>Reconciliation as per BookKeeping</v>
      </c>
      <c r="D108" s="1529"/>
      <c r="E108" s="1529"/>
      <c r="F108" s="1529"/>
      <c r="G108" s="1529"/>
      <c r="I108" s="1529" t="str">
        <f>IF($Q$2=2,"Réconciliation selon l'état de compte","Reconciliation as per Account Statement")</f>
        <v>Reconciliation as per Account Statement</v>
      </c>
      <c r="J108" s="1529"/>
      <c r="K108" s="1529"/>
      <c r="L108" s="1529"/>
      <c r="M108" s="1529"/>
      <c r="N108" s="578" t="str">
        <f>F109</f>
        <v>1060</v>
      </c>
      <c r="P108" s="579"/>
      <c r="Q108" s="579"/>
      <c r="R108" s="579"/>
      <c r="S108" s="579"/>
      <c r="T108" s="579"/>
      <c r="U108" s="579"/>
      <c r="V108" s="47"/>
      <c r="W108" s="579"/>
      <c r="X108" s="579"/>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row>
    <row r="109" spans="3:62" s="1" customFormat="1" ht="25.5" customHeight="1" x14ac:dyDescent="0.2">
      <c r="C109" s="1542" t="str">
        <f>'Data Set up'!I23</f>
        <v>Available (Rename)</v>
      </c>
      <c r="D109" s="1542"/>
      <c r="E109" s="1542"/>
      <c r="F109" s="580" t="str">
        <f>LEFT('Data Set up'!H23,4)</f>
        <v>1060</v>
      </c>
      <c r="G109" s="355"/>
      <c r="I109" s="1556"/>
      <c r="J109" s="1556"/>
      <c r="K109" s="1556"/>
      <c r="L109" s="1556"/>
      <c r="M109" s="1556"/>
      <c r="N109" s="1556"/>
      <c r="P109" s="80"/>
      <c r="Q109" s="80"/>
      <c r="R109" s="80"/>
      <c r="S109" s="80"/>
      <c r="T109" s="80"/>
      <c r="U109" s="80"/>
      <c r="V109" s="144"/>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row>
    <row r="110" spans="3:62" s="1" customFormat="1" ht="25.5" customHeight="1" x14ac:dyDescent="0.2">
      <c r="C110" s="1532" t="str">
        <f>IF($Q$2=2,"Solde du compte au ","Account Balance on ")</f>
        <v xml:space="preserve">Account Balance on </v>
      </c>
      <c r="D110" s="1532"/>
      <c r="E110" s="1532"/>
      <c r="F110" s="581" t="str">
        <f>'Data Set up'!$F$40&amp;" "&amp;'Data Set up'!$G$40&amp;" "&amp;'Data Set up'!$F$39</f>
        <v>31 August 2023</v>
      </c>
      <c r="G110" s="582">
        <f>'Data Set up'!F23</f>
        <v>0</v>
      </c>
      <c r="I110" s="1533" t="str">
        <f>IF($Q$2=2,"Solde au compte en fin d'exercice","End of Year Account Balance")</f>
        <v>End of Year Account Balance</v>
      </c>
      <c r="J110" s="1533"/>
      <c r="K110" s="1533"/>
      <c r="L110" s="1533"/>
      <c r="M110" s="1533"/>
      <c r="N110" s="583"/>
      <c r="P110" s="80"/>
      <c r="Q110" s="1534" t="str">
        <f>IF($Q$2=2,"Inscrivez le solde ici","Insert the Balance here")</f>
        <v>Insert the Balance here</v>
      </c>
      <c r="R110" s="1534"/>
      <c r="S110" s="1534"/>
      <c r="T110" s="80"/>
      <c r="U110" s="585">
        <f>N110*1</f>
        <v>0</v>
      </c>
      <c r="V110" s="144"/>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row>
    <row r="111" spans="3:62" s="1" customFormat="1" ht="25.5" customHeight="1" x14ac:dyDescent="0.2">
      <c r="C111" s="1559" t="str">
        <f>IF($Q$2=2,"Plus: Gain en capital/Achats (Jrnl des revenus)","Plus: Capital Gain/Purchases (Revenue Jrnl)")</f>
        <v>Plus: Capital Gain/Purchases (Revenue Jrnl)</v>
      </c>
      <c r="D111" s="1559"/>
      <c r="E111" s="1559"/>
      <c r="F111" s="1559"/>
      <c r="G111" s="582">
        <f>'Revenue Jrnl'!G528</f>
        <v>0</v>
      </c>
      <c r="H111" s="586"/>
      <c r="P111" s="80"/>
      <c r="Q111" s="80"/>
      <c r="R111" s="80"/>
      <c r="S111" s="80"/>
      <c r="T111" s="80"/>
      <c r="U111" s="80"/>
      <c r="V111" s="144"/>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row>
    <row r="112" spans="3:62" s="1" customFormat="1" ht="25.5" customHeight="1" x14ac:dyDescent="0.2">
      <c r="C112" s="1559" t="str">
        <f>IF($Q$2=2," Moins: Perte en capital/Ventes ou retrait) (Jrnl des dépenses)","Less: Capital Lost/Sales or Withdraw) (Expense Jrnl)")</f>
        <v>Less: Capital Lost/Sales or Withdraw) (Expense Jrnl)</v>
      </c>
      <c r="D112" s="1559"/>
      <c r="E112" s="1559"/>
      <c r="F112" s="1559"/>
      <c r="G112" s="582">
        <f>'Expense Jrnl'!G528</f>
        <v>0</v>
      </c>
      <c r="I112" s="616"/>
      <c r="J112" s="616"/>
      <c r="K112" s="616"/>
      <c r="L112" s="616"/>
      <c r="M112" s="616"/>
      <c r="N112" s="587"/>
      <c r="P112" s="80"/>
      <c r="Q112" s="80"/>
      <c r="R112" s="80"/>
      <c r="S112" s="80"/>
      <c r="T112" s="80"/>
      <c r="U112" s="80"/>
      <c r="V112" s="144"/>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row>
    <row r="113" spans="3:62" s="1" customFormat="1" ht="25.5" customHeight="1" x14ac:dyDescent="0.2">
      <c r="C113" s="1536"/>
      <c r="D113" s="1536"/>
      <c r="E113" s="1536"/>
      <c r="F113" s="1536"/>
      <c r="H113" s="586"/>
      <c r="P113" s="80"/>
      <c r="Q113" s="80"/>
      <c r="R113" s="80"/>
      <c r="S113" s="80"/>
      <c r="T113" s="80"/>
      <c r="U113" s="80"/>
      <c r="V113" s="144"/>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row>
    <row r="114" spans="3:62" s="1" customFormat="1" ht="25.5" customHeight="1" x14ac:dyDescent="0.2">
      <c r="C114" s="1537" t="str">
        <f>IF($Q$2=2,F109&amp;" Fonds disponible du compte",F109&amp;" Account Available Funds")</f>
        <v>1060 Account Available Funds</v>
      </c>
      <c r="D114" s="1537"/>
      <c r="E114" s="1537"/>
      <c r="F114" s="1537"/>
      <c r="G114" s="588"/>
      <c r="I114" s="143"/>
      <c r="J114" s="80"/>
      <c r="K114" s="80"/>
      <c r="L114" s="80"/>
      <c r="M114" s="80"/>
      <c r="N114" s="589"/>
      <c r="P114" s="80"/>
      <c r="Q114" s="80"/>
      <c r="R114" s="80"/>
      <c r="S114" s="80"/>
      <c r="T114" s="80"/>
      <c r="U114" s="80"/>
      <c r="V114" s="144"/>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row>
    <row r="115" spans="3:62" s="1" customFormat="1" ht="25.5" customHeight="1" x14ac:dyDescent="0.2">
      <c r="C115" s="1558" t="str">
        <f>IF($Q$2=2,"Solde reporté à la ligne "&amp;F109&amp;" du Bilan - page 6","This balance fwrd'd to line "&amp;F109&amp;" of Balance Sheet -  page 6")</f>
        <v>This balance fwrd'd to line 1060 of Balance Sheet -  page 6</v>
      </c>
      <c r="D115" s="1558"/>
      <c r="E115" s="1558"/>
      <c r="F115" s="1558"/>
      <c r="G115" s="590">
        <f>IF(AND(SUM(G110+G111-G112)&lt;0.001,SUM(G110+G111-G112)&gt;-0.001),0,SUM(G110+G111-G112))</f>
        <v>0</v>
      </c>
      <c r="H115" s="398"/>
      <c r="J115" s="355"/>
      <c r="K115" s="355"/>
      <c r="L115" s="355"/>
      <c r="M115" s="591"/>
      <c r="N115" s="590">
        <f>N110*1</f>
        <v>0</v>
      </c>
      <c r="P115" s="80"/>
      <c r="Q115" s="80"/>
      <c r="R115" s="80"/>
      <c r="S115" s="80"/>
      <c r="T115" s="80"/>
      <c r="U115" s="80"/>
      <c r="V115" s="144"/>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row>
    <row r="116" spans="3:62" s="1" customFormat="1" ht="9.75" customHeight="1" x14ac:dyDescent="0.2">
      <c r="F116" s="592"/>
      <c r="J116" s="586"/>
      <c r="M116" s="593"/>
      <c r="P116" s="80"/>
      <c r="Q116" s="80"/>
      <c r="R116" s="80"/>
      <c r="S116" s="80"/>
      <c r="T116" s="80"/>
      <c r="U116" s="80"/>
      <c r="V116" s="144"/>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row>
    <row r="117" spans="3:62" s="1" customFormat="1" ht="9.75" customHeight="1" x14ac:dyDescent="0.2">
      <c r="C117" s="355"/>
      <c r="D117" s="355"/>
      <c r="E117" s="355"/>
      <c r="F117" s="355"/>
      <c r="G117" s="355"/>
      <c r="H117" s="355"/>
      <c r="I117" s="355"/>
      <c r="J117" s="355"/>
      <c r="K117" s="355"/>
      <c r="L117" s="355"/>
      <c r="M117" s="355"/>
      <c r="P117" s="80"/>
      <c r="Q117" s="80"/>
      <c r="R117" s="80"/>
      <c r="S117" s="80"/>
      <c r="T117" s="80"/>
      <c r="U117" s="80"/>
      <c r="V117" s="144"/>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row>
    <row r="118" spans="3:62" s="1" customFormat="1" ht="44.25" customHeight="1" x14ac:dyDescent="0.2">
      <c r="C118" s="1539"/>
      <c r="D118" s="1539"/>
      <c r="E118" s="1539"/>
      <c r="F118" s="1539"/>
      <c r="G118" s="595">
        <f>IF(AND(G115-N115&lt;0.001,G115-N115&gt;-0.001),0,G115-N115)</f>
        <v>0</v>
      </c>
      <c r="H118" s="1540" t="str">
        <f>IF($Q$2=2,IF(G118=0,$T$7,$T$5),IF(G118=0,$T$8,$T$6))</f>
        <v>Books and Statements balance.</v>
      </c>
      <c r="I118" s="1540"/>
      <c r="J118" s="1540"/>
      <c r="K118" s="1540"/>
      <c r="L118" s="1540"/>
      <c r="M118" s="1540"/>
      <c r="N118" s="1540"/>
      <c r="P118" s="80"/>
      <c r="Q118" s="80"/>
      <c r="R118" s="80"/>
      <c r="S118" s="80"/>
      <c r="T118" s="80"/>
      <c r="U118" s="80"/>
      <c r="V118" s="144"/>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row>
    <row r="119" spans="3:62" s="1" customFormat="1" ht="33" customHeight="1" x14ac:dyDescent="0.2">
      <c r="C119" s="594"/>
      <c r="D119" s="594"/>
      <c r="E119" s="594"/>
      <c r="F119" s="594"/>
      <c r="G119" s="596"/>
      <c r="H119" s="597"/>
      <c r="I119" s="597"/>
      <c r="J119" s="597"/>
      <c r="K119" s="597"/>
      <c r="L119" s="597"/>
      <c r="M119" s="597"/>
      <c r="N119" s="597"/>
      <c r="P119" s="80"/>
      <c r="Q119" s="80"/>
      <c r="R119" s="80"/>
      <c r="S119" s="80"/>
      <c r="T119" s="80"/>
      <c r="U119" s="80"/>
      <c r="V119" s="144"/>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row>
    <row r="120" spans="3:62" ht="18.75" customHeight="1" x14ac:dyDescent="0.2">
      <c r="C120" s="1541"/>
      <c r="D120" s="1541"/>
      <c r="E120" s="1541"/>
      <c r="F120" s="1541"/>
      <c r="G120" s="1541"/>
      <c r="H120" s="1541"/>
      <c r="I120" s="1541"/>
      <c r="J120" s="1541"/>
      <c r="K120" s="1541"/>
      <c r="L120" s="1541"/>
      <c r="M120" s="1541"/>
      <c r="N120" s="1541"/>
    </row>
    <row r="121" spans="3:62" s="1" customFormat="1" ht="40.5" customHeight="1" x14ac:dyDescent="0.2">
      <c r="D121" s="1528" t="str">
        <f>IF($Q$2,"Réconciliation détaillée du compte "&amp;F123&amp;" - "&amp;C123,"Detailed Reconciliation of the Account "&amp;F123&amp;" - "&amp;C123)</f>
        <v>Réconciliation détaillée du compte 1070 - Available (Rename)</v>
      </c>
      <c r="E121" s="1528"/>
      <c r="F121" s="1528"/>
      <c r="G121" s="1528"/>
      <c r="H121" s="1528"/>
      <c r="I121" s="1528"/>
      <c r="J121" s="1528"/>
      <c r="K121" s="1528"/>
      <c r="L121" s="1528"/>
      <c r="M121" s="1528"/>
      <c r="N121" s="577"/>
      <c r="P121" s="80"/>
      <c r="Q121" s="80"/>
      <c r="R121" s="80"/>
      <c r="S121" s="80"/>
      <c r="T121" s="80"/>
      <c r="U121" s="80"/>
      <c r="V121" s="144"/>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row>
    <row r="122" spans="3:62" s="1" customFormat="1" ht="29.25" customHeight="1" x14ac:dyDescent="0.2">
      <c r="C122" s="1529" t="str">
        <f>IF($Q$2=2,"Réconciliation selon les livres comptables","Reconciliation as per BookKeeping")</f>
        <v>Reconciliation as per BookKeeping</v>
      </c>
      <c r="D122" s="1529"/>
      <c r="E122" s="1529"/>
      <c r="F122" s="1529"/>
      <c r="G122" s="1529"/>
      <c r="H122" s="619"/>
      <c r="I122" s="1529" t="str">
        <f>IF($Q$2=2,"Réconciliation selon l'état de compte","Reconciliation as per Account Statement")</f>
        <v>Reconciliation as per Account Statement</v>
      </c>
      <c r="J122" s="1529"/>
      <c r="K122" s="1529"/>
      <c r="L122" s="1529"/>
      <c r="M122" s="1529"/>
      <c r="N122" s="578" t="str">
        <f>F123</f>
        <v>1070</v>
      </c>
      <c r="P122" s="579"/>
      <c r="Q122" s="579"/>
      <c r="R122" s="579"/>
      <c r="S122" s="579"/>
      <c r="T122" s="579"/>
      <c r="U122" s="579"/>
      <c r="V122" s="47"/>
      <c r="W122" s="579"/>
      <c r="X122" s="579"/>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row>
    <row r="123" spans="3:62" s="1" customFormat="1" ht="25.5" customHeight="1" x14ac:dyDescent="0.2">
      <c r="C123" s="1542" t="str">
        <f>'Data Set up'!I24</f>
        <v>Available (Rename)</v>
      </c>
      <c r="D123" s="1542"/>
      <c r="E123" s="1542"/>
      <c r="F123" s="580" t="str">
        <f>LEFT('Data Set up'!H24,4)</f>
        <v>1070</v>
      </c>
      <c r="G123" s="620"/>
      <c r="H123" s="619"/>
      <c r="I123" s="1560"/>
      <c r="J123" s="1560"/>
      <c r="K123" s="1560"/>
      <c r="L123" s="1560"/>
      <c r="M123" s="1560"/>
      <c r="N123" s="1560"/>
      <c r="P123" s="80"/>
      <c r="Q123" s="80"/>
      <c r="R123" s="80"/>
      <c r="S123" s="80"/>
      <c r="T123" s="80"/>
      <c r="U123" s="80"/>
      <c r="V123" s="144"/>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row>
    <row r="124" spans="3:62" s="1" customFormat="1" ht="25.5" customHeight="1" x14ac:dyDescent="0.2">
      <c r="C124" s="1532" t="str">
        <f>IF($Q$2=2,"Solde du compte au ","Account Balance on ")</f>
        <v xml:space="preserve">Account Balance on </v>
      </c>
      <c r="D124" s="1532"/>
      <c r="E124" s="1532"/>
      <c r="F124" s="581" t="str">
        <f>'Data Set up'!$F$40&amp;" "&amp;'Data Set up'!$G$40&amp;" "&amp;'Data Set up'!$F$39</f>
        <v>31 August 2023</v>
      </c>
      <c r="G124" s="621">
        <f>'Data Set up'!F24</f>
        <v>0</v>
      </c>
      <c r="H124" s="619"/>
      <c r="I124" s="1533" t="str">
        <f>IF($Q$2=2,"Solde au compte en fin d'exercice","End of Year Account Balance")</f>
        <v>End of Year Account Balance</v>
      </c>
      <c r="J124" s="1533"/>
      <c r="K124" s="1533"/>
      <c r="L124" s="1533"/>
      <c r="M124" s="1533"/>
      <c r="N124" s="583"/>
      <c r="P124" s="80"/>
      <c r="Q124" s="1534" t="str">
        <f>IF($Q$2=2,"Inscrivez le solde ici","Insert the Balance here")</f>
        <v>Insert the Balance here</v>
      </c>
      <c r="R124" s="1534"/>
      <c r="S124" s="1534"/>
      <c r="T124" s="80"/>
      <c r="U124" s="585">
        <f>N124*1</f>
        <v>0</v>
      </c>
      <c r="V124" s="144"/>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row>
    <row r="125" spans="3:62" s="1" customFormat="1" ht="25.5" customHeight="1" x14ac:dyDescent="0.2">
      <c r="C125" s="1535" t="str">
        <f>IF($Q$2=2,"Plus: Accroissements (Jrnl des revenus)","Plus: Increase (Revenue Jrnl)")</f>
        <v>Plus: Increase (Revenue Jrnl)</v>
      </c>
      <c r="D125" s="1535"/>
      <c r="E125" s="1535"/>
      <c r="F125" s="1535"/>
      <c r="G125" s="621">
        <f>'Revenue Jrnl'!G529</f>
        <v>0</v>
      </c>
      <c r="H125" s="620"/>
      <c r="P125" s="80"/>
      <c r="Q125" s="80"/>
      <c r="R125" s="80"/>
      <c r="S125" s="80"/>
      <c r="T125" s="80"/>
      <c r="U125" s="80"/>
      <c r="V125" s="144"/>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row>
    <row r="126" spans="3:62" s="1" customFormat="1" ht="25.5" customHeight="1" x14ac:dyDescent="0.2">
      <c r="C126" s="1535" t="str">
        <f>IF($Q$2=2," Moins: Décroissements (Jrnl des dépenses)","Less: Decreases (Expense Jrnl)")</f>
        <v>Less: Decreases (Expense Jrnl)</v>
      </c>
      <c r="D126" s="1535"/>
      <c r="E126" s="1535"/>
      <c r="F126" s="1535"/>
      <c r="G126" s="621">
        <f>'Expense Jrnl'!G529</f>
        <v>0</v>
      </c>
      <c r="H126" s="619"/>
      <c r="I126" s="616"/>
      <c r="J126" s="616"/>
      <c r="K126" s="616"/>
      <c r="L126" s="616"/>
      <c r="M126" s="616"/>
      <c r="N126" s="622"/>
      <c r="P126" s="80"/>
      <c r="Q126" s="80"/>
      <c r="R126" s="80"/>
      <c r="S126" s="80"/>
      <c r="T126" s="80"/>
      <c r="U126" s="80"/>
      <c r="V126" s="144"/>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row>
    <row r="127" spans="3:62" s="1" customFormat="1" ht="25.5" customHeight="1" x14ac:dyDescent="0.2">
      <c r="C127" s="1561"/>
      <c r="D127" s="1561"/>
      <c r="E127" s="1561"/>
      <c r="F127" s="1561"/>
      <c r="G127" s="619"/>
      <c r="H127" s="620"/>
      <c r="P127" s="80"/>
      <c r="Q127" s="80"/>
      <c r="R127" s="80"/>
      <c r="S127" s="80"/>
      <c r="T127" s="80"/>
      <c r="U127" s="80"/>
      <c r="V127" s="144"/>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row>
    <row r="128" spans="3:62" s="1" customFormat="1" ht="25.5" customHeight="1" x14ac:dyDescent="0.2">
      <c r="C128" s="1537" t="str">
        <f>IF($Q$2=2,F123&amp;" Fonds disponible du compte",F123&amp;" Account Available Funds")</f>
        <v>1070 Account Available Funds</v>
      </c>
      <c r="D128" s="1537"/>
      <c r="E128" s="1537"/>
      <c r="F128" s="1537"/>
      <c r="G128" s="623"/>
      <c r="H128" s="619"/>
      <c r="I128" s="620"/>
      <c r="J128" s="1562"/>
      <c r="K128" s="1562"/>
      <c r="L128" s="1562"/>
      <c r="M128" s="1562"/>
      <c r="N128" s="624"/>
      <c r="P128" s="80"/>
      <c r="Q128" s="80"/>
      <c r="R128" s="80"/>
      <c r="S128" s="80"/>
      <c r="T128" s="80"/>
      <c r="U128" s="80"/>
      <c r="V128" s="144"/>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row>
    <row r="129" spans="3:62" s="1" customFormat="1" ht="25.5" customHeight="1" x14ac:dyDescent="0.2">
      <c r="C129" s="1558" t="str">
        <f>IF($Q$2=2,"Solde reporté à la ligne "&amp;F123&amp;" du Bilan - page 6","This balance fwrd'd to line "&amp;F123&amp;" of Balance Sheet -  page 6")</f>
        <v>This balance fwrd'd to line 1070 of Balance Sheet -  page 6</v>
      </c>
      <c r="D129" s="1558"/>
      <c r="E129" s="1558"/>
      <c r="F129" s="1558"/>
      <c r="G129" s="590">
        <f>IF(AND(SUM(G124+G125-G126)&lt;0.001,SUM(G124+G125-G126)&gt;-0.001),0,SUM(G124+G125-G126))</f>
        <v>0</v>
      </c>
      <c r="H129" s="625"/>
      <c r="I129" s="619"/>
      <c r="J129" s="620"/>
      <c r="K129" s="620"/>
      <c r="L129" s="620"/>
      <c r="M129" s="626"/>
      <c r="N129" s="627">
        <f>N124*1</f>
        <v>0</v>
      </c>
      <c r="P129" s="80"/>
      <c r="Q129" s="80"/>
      <c r="R129" s="80"/>
      <c r="S129" s="80"/>
      <c r="T129" s="80"/>
      <c r="U129" s="80"/>
      <c r="V129" s="144"/>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row>
    <row r="130" spans="3:62" s="1" customFormat="1" ht="9.75" customHeight="1" x14ac:dyDescent="0.2">
      <c r="C130" s="619"/>
      <c r="D130" s="619"/>
      <c r="E130" s="619"/>
      <c r="F130" s="628"/>
      <c r="G130" s="619"/>
      <c r="H130" s="619"/>
      <c r="I130" s="619"/>
      <c r="J130" s="620"/>
      <c r="K130" s="619"/>
      <c r="L130" s="619"/>
      <c r="M130" s="629"/>
      <c r="N130" s="619"/>
      <c r="P130" s="80"/>
      <c r="Q130" s="80"/>
      <c r="R130" s="80"/>
      <c r="S130" s="80"/>
      <c r="T130" s="80"/>
      <c r="U130" s="80"/>
      <c r="V130" s="144"/>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row>
    <row r="131" spans="3:62" s="1" customFormat="1" ht="9.75" customHeight="1" x14ac:dyDescent="0.2">
      <c r="C131" s="355"/>
      <c r="D131" s="355"/>
      <c r="E131" s="355"/>
      <c r="F131" s="355"/>
      <c r="G131" s="355"/>
      <c r="H131" s="355"/>
      <c r="I131" s="355"/>
      <c r="J131" s="355"/>
      <c r="K131" s="355"/>
      <c r="L131" s="355"/>
      <c r="M131" s="355"/>
      <c r="N131" s="619"/>
      <c r="P131" s="80"/>
      <c r="Q131" s="80"/>
      <c r="R131" s="80"/>
      <c r="S131" s="80"/>
      <c r="T131" s="80"/>
      <c r="U131" s="80"/>
      <c r="V131" s="144"/>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row>
    <row r="132" spans="3:62" s="1" customFormat="1" ht="44.25" customHeight="1" x14ac:dyDescent="0.2">
      <c r="C132" s="1563"/>
      <c r="D132" s="1563"/>
      <c r="E132" s="1563"/>
      <c r="F132" s="1563"/>
      <c r="G132" s="595">
        <f>IF(AND(G129-N129&lt;0.001,G129-N129&gt;-0.001),0,G129-N129)</f>
        <v>0</v>
      </c>
      <c r="H132" s="1540" t="str">
        <f>IF($Q$2=2,IF(G132=0,$T$7,$T$5),IF(G132=0,$T$8,$T$6))</f>
        <v>Books and Statements balance.</v>
      </c>
      <c r="I132" s="1540"/>
      <c r="J132" s="1540"/>
      <c r="K132" s="1540"/>
      <c r="L132" s="1540"/>
      <c r="M132" s="1540"/>
      <c r="N132" s="1540"/>
      <c r="P132" s="80"/>
      <c r="Q132" s="80"/>
      <c r="R132" s="80"/>
      <c r="S132" s="80"/>
      <c r="T132" s="80"/>
      <c r="U132" s="80"/>
      <c r="V132" s="144"/>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row>
    <row r="133" spans="3:62" s="1" customFormat="1" ht="33" customHeight="1" x14ac:dyDescent="0.2">
      <c r="C133" s="630"/>
      <c r="D133" s="630"/>
      <c r="E133" s="630"/>
      <c r="F133" s="630"/>
      <c r="G133" s="631"/>
      <c r="H133" s="632"/>
      <c r="I133" s="632"/>
      <c r="J133" s="632"/>
      <c r="K133" s="632"/>
      <c r="L133" s="632"/>
      <c r="M133" s="632"/>
      <c r="N133" s="632"/>
      <c r="P133" s="80"/>
      <c r="Q133" s="80"/>
      <c r="R133" s="80"/>
      <c r="S133" s="80"/>
      <c r="T133" s="80"/>
      <c r="U133" s="80"/>
      <c r="V133" s="144"/>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row>
    <row r="134" spans="3:62" ht="18.75" customHeight="1" x14ac:dyDescent="0.2">
      <c r="C134" s="1541"/>
      <c r="D134" s="1541"/>
      <c r="E134" s="1541"/>
      <c r="F134" s="1541"/>
      <c r="G134" s="1541"/>
      <c r="H134" s="1541"/>
      <c r="I134" s="1541"/>
      <c r="J134" s="1541"/>
      <c r="K134" s="1541"/>
      <c r="L134" s="1541"/>
      <c r="M134" s="1541"/>
      <c r="N134" s="1541"/>
    </row>
    <row r="135" spans="3:62" s="1" customFormat="1" ht="40.5" customHeight="1" x14ac:dyDescent="0.2">
      <c r="D135" s="1528" t="str">
        <f>IF($Q$2,"Réconciliation détaillée du compte "&amp;F137&amp;" - "&amp;C137,"Detailed Reconciliation of the Account "&amp;F137&amp;" - "&amp;C137)</f>
        <v>Réconciliation détaillée du compte 1210 - Investments GICs</v>
      </c>
      <c r="E135" s="1528"/>
      <c r="F135" s="1528"/>
      <c r="G135" s="1528"/>
      <c r="H135" s="1528"/>
      <c r="I135" s="1528"/>
      <c r="J135" s="1528"/>
      <c r="K135" s="1528"/>
      <c r="L135" s="1528"/>
      <c r="M135" s="1528"/>
      <c r="N135" s="577"/>
      <c r="P135" s="80"/>
      <c r="Q135" s="80"/>
      <c r="R135" s="80"/>
      <c r="S135" s="80"/>
      <c r="T135" s="80"/>
      <c r="U135" s="80"/>
      <c r="V135" s="144"/>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row>
    <row r="136" spans="3:62" s="1" customFormat="1" ht="29.25" customHeight="1" x14ac:dyDescent="0.2">
      <c r="C136" s="1529" t="str">
        <f>IF($Q$2=2,"Réconciliation selon les livres comptables","Reconciliation as per BookKeeping")</f>
        <v>Reconciliation as per BookKeeping</v>
      </c>
      <c r="D136" s="1529"/>
      <c r="E136" s="1529"/>
      <c r="F136" s="1529"/>
      <c r="G136" s="1529"/>
      <c r="H136" s="619"/>
      <c r="I136" s="1529" t="str">
        <f>IF($Q$2=2,"Réconciliation selon l'état de compte","Reconciliation as per Account Statement")</f>
        <v>Reconciliation as per Account Statement</v>
      </c>
      <c r="J136" s="1529"/>
      <c r="K136" s="1529"/>
      <c r="L136" s="1529"/>
      <c r="M136" s="1529"/>
      <c r="N136" s="578" t="str">
        <f>F137</f>
        <v>1210</v>
      </c>
      <c r="P136" s="579"/>
      <c r="Q136" s="579"/>
      <c r="R136" s="579"/>
      <c r="S136" s="579"/>
      <c r="T136" s="579"/>
      <c r="U136" s="579"/>
      <c r="V136" s="47"/>
      <c r="W136" s="579"/>
      <c r="X136" s="579"/>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row>
    <row r="137" spans="3:62" s="1" customFormat="1" ht="25.5" customHeight="1" x14ac:dyDescent="0.2">
      <c r="C137" s="1542" t="str">
        <f>'Data Set up'!I25</f>
        <v>Investments GICs</v>
      </c>
      <c r="D137" s="1542"/>
      <c r="E137" s="1542"/>
      <c r="F137" s="580" t="str">
        <f>LEFT('Data Set up'!H25,4)</f>
        <v>1210</v>
      </c>
      <c r="G137" s="620"/>
      <c r="H137" s="619"/>
      <c r="I137" s="1560"/>
      <c r="J137" s="1560"/>
      <c r="K137" s="1560"/>
      <c r="L137" s="1560"/>
      <c r="M137" s="1560"/>
      <c r="N137" s="1560"/>
      <c r="P137" s="80"/>
      <c r="Q137" s="80"/>
      <c r="R137" s="80"/>
      <c r="S137" s="80"/>
      <c r="T137" s="80"/>
      <c r="U137" s="80"/>
      <c r="V137" s="144"/>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row>
    <row r="138" spans="3:62" s="1" customFormat="1" ht="25.5" customHeight="1" x14ac:dyDescent="0.2">
      <c r="C138" s="1532" t="str">
        <f>IF($Q$2=2,"Solde du compte au ","Account Balance on ")</f>
        <v xml:space="preserve">Account Balance on </v>
      </c>
      <c r="D138" s="1532"/>
      <c r="E138" s="1532"/>
      <c r="F138" s="581" t="str">
        <f>'Data Set up'!$F$40&amp;" "&amp;'Data Set up'!$G$40&amp;" "&amp;'Data Set up'!$F$39</f>
        <v>31 August 2023</v>
      </c>
      <c r="G138" s="621">
        <f>'Data Set up'!F25</f>
        <v>0</v>
      </c>
      <c r="H138" s="619"/>
      <c r="I138" s="1533" t="str">
        <f>IF($Q$2=2,"Solde au compte en fin d'exercice","End of Year Account Balance")</f>
        <v>End of Year Account Balance</v>
      </c>
      <c r="J138" s="1533"/>
      <c r="K138" s="1533"/>
      <c r="L138" s="1533"/>
      <c r="M138" s="1533"/>
      <c r="N138" s="583"/>
      <c r="P138" s="80"/>
      <c r="Q138" s="1534" t="str">
        <f>IF($Q$2=2,"Inscrivez le solde ici","Insert the Balance here")</f>
        <v>Insert the Balance here</v>
      </c>
      <c r="R138" s="1534"/>
      <c r="S138" s="1534"/>
      <c r="T138" s="80"/>
      <c r="U138" s="585">
        <f>N138*1</f>
        <v>0</v>
      </c>
      <c r="V138" s="144"/>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row>
    <row r="139" spans="3:62" s="1" customFormat="1" ht="25.5" customHeight="1" x14ac:dyDescent="0.2">
      <c r="C139" s="1535" t="str">
        <f>IF($Q$2=2,"Plus: Accroissements (Jrnl des revenus)","Plus: Increase (Revenue Jrnl)")</f>
        <v>Plus: Increase (Revenue Jrnl)</v>
      </c>
      <c r="D139" s="1535"/>
      <c r="E139" s="1535"/>
      <c r="F139" s="1535"/>
      <c r="G139" s="621">
        <f>'Revenue Jrnl'!G530</f>
        <v>0</v>
      </c>
      <c r="H139" s="620"/>
      <c r="I139" s="1560"/>
      <c r="J139" s="1560"/>
      <c r="K139" s="1560"/>
      <c r="L139" s="1560"/>
      <c r="M139" s="1560"/>
      <c r="N139" s="1560"/>
      <c r="P139" s="80"/>
      <c r="Q139" s="80"/>
      <c r="R139" s="80"/>
      <c r="S139" s="80"/>
      <c r="T139" s="80"/>
      <c r="U139" s="80"/>
      <c r="V139" s="144"/>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row>
    <row r="140" spans="3:62" s="1" customFormat="1" ht="25.5" customHeight="1" x14ac:dyDescent="0.2">
      <c r="C140" s="1535" t="str">
        <f>IF($Q$2=2," Moins: Décroissements (Jrnl des dépenses)","Less: Decreases (Expense Jrnl)")</f>
        <v>Less: Decreases (Expense Jrnl)</v>
      </c>
      <c r="D140" s="1535"/>
      <c r="E140" s="1535"/>
      <c r="F140" s="1535"/>
      <c r="G140" s="621">
        <f>'Expense Jrnl'!G530</f>
        <v>0</v>
      </c>
      <c r="H140" s="619"/>
      <c r="I140" s="1545" t="str">
        <f>IF($Q$2=2,"Plus: Encaissements faits mais pas réconciliés","Plus: Cashing made but not reconciled")</f>
        <v>Plus: Cashing made but not reconciled</v>
      </c>
      <c r="J140" s="1545"/>
      <c r="K140" s="1545"/>
      <c r="L140" s="1545"/>
      <c r="M140" s="1545"/>
      <c r="N140" s="633">
        <f>'Revenue Jrnl'!H530</f>
        <v>0</v>
      </c>
      <c r="P140" s="80"/>
      <c r="Q140" s="80"/>
      <c r="R140" s="80"/>
      <c r="S140" s="80"/>
      <c r="T140" s="80"/>
      <c r="U140" s="80"/>
      <c r="V140" s="144"/>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row>
    <row r="141" spans="3:62" s="1" customFormat="1" ht="25.5" customHeight="1" x14ac:dyDescent="0.2">
      <c r="C141" s="1561"/>
      <c r="D141" s="1561"/>
      <c r="E141" s="1561"/>
      <c r="F141" s="1561"/>
      <c r="G141" s="619"/>
      <c r="H141" s="620"/>
      <c r="I141" s="1560"/>
      <c r="J141" s="1560"/>
      <c r="K141" s="1560"/>
      <c r="L141" s="1560"/>
      <c r="M141" s="1560"/>
      <c r="N141" s="1560"/>
      <c r="P141" s="80"/>
      <c r="Q141" s="80"/>
      <c r="R141" s="80"/>
      <c r="S141" s="80"/>
      <c r="T141" s="80"/>
      <c r="U141" s="80"/>
      <c r="V141" s="144"/>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row>
    <row r="142" spans="3:62" s="1" customFormat="1" ht="25.5" customHeight="1" x14ac:dyDescent="0.2">
      <c r="C142" s="1564" t="str">
        <f>IF($Q$2=2,"Les dépôts de l'année précédente (non traités dans l'année précédente)","Previous Year's Deposits (not processed in prev year)")</f>
        <v>Previous Year's Deposits (not processed in prev year)</v>
      </c>
      <c r="D142" s="1564"/>
      <c r="E142" s="1564"/>
      <c r="F142" s="1564"/>
      <c r="G142" s="1564"/>
      <c r="H142" s="619"/>
      <c r="I142" s="1547" t="str">
        <f>IF($Q$2=2,"Moins: Décaissements émis mais non encore enr.","Less: Disbursements made but not processed")</f>
        <v>Less: Disbursements made but not processed</v>
      </c>
      <c r="J142" s="1547"/>
      <c r="K142" s="1547"/>
      <c r="L142" s="1547"/>
      <c r="M142" s="1547"/>
      <c r="N142" s="633">
        <f>'Expense Jrnl'!H530</f>
        <v>0</v>
      </c>
      <c r="P142" s="80"/>
      <c r="Q142" s="80"/>
      <c r="R142" s="80"/>
      <c r="S142" s="80"/>
      <c r="T142" s="80"/>
      <c r="U142" s="80"/>
      <c r="V142" s="144"/>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row>
    <row r="143" spans="3:62" s="1" customFormat="1" ht="25.5" customHeight="1" x14ac:dyDescent="0.2">
      <c r="C143" s="601" t="str">
        <f>IF($Q$2=2,"No.de Réf","Ref No.")</f>
        <v>Ref No.</v>
      </c>
      <c r="D143" s="1548" t="str">
        <f>IF($Q$2=2,"Détails","Details")</f>
        <v>Details</v>
      </c>
      <c r="E143" s="1548"/>
      <c r="F143" s="1548"/>
      <c r="G143" s="601" t="str">
        <f>IF($Q$2=2,"Montant","Amount")</f>
        <v>Amount</v>
      </c>
      <c r="H143" s="619"/>
      <c r="I143" s="1560"/>
      <c r="J143" s="1560"/>
      <c r="K143" s="1560"/>
      <c r="L143" s="1560"/>
      <c r="M143" s="1560"/>
      <c r="N143" s="1560"/>
      <c r="P143" s="80"/>
      <c r="Q143" s="80"/>
      <c r="R143" s="80"/>
      <c r="S143" s="80"/>
      <c r="T143" s="80"/>
      <c r="U143" s="80"/>
      <c r="V143" s="144"/>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row>
    <row r="144" spans="3:62" s="1" customFormat="1" ht="25.5" customHeight="1" x14ac:dyDescent="0.2">
      <c r="C144" s="602" t="str">
        <f>IF('Data Set up'!$J59=$F$137,'Data Set up'!$C59,"")</f>
        <v/>
      </c>
      <c r="D144" s="1565" t="str">
        <f>IF('Data Set up'!$J59=$F$137,'Data Set up'!$D59,"")</f>
        <v/>
      </c>
      <c r="E144" s="1565"/>
      <c r="F144" s="1565"/>
      <c r="G144" s="634" t="str">
        <f>IF('Data Set up'!$J59=$F$137,'Data Set up'!$F59,"")</f>
        <v/>
      </c>
      <c r="H144" s="619"/>
      <c r="I144" s="1547" t="str">
        <f>IF($Q$2=2,"Solde disponible actuel du compte (reconcilié)","Actual Account balance available (reconciled)")</f>
        <v>Actual Account balance available (reconciled)</v>
      </c>
      <c r="J144" s="1547"/>
      <c r="K144" s="1547"/>
      <c r="L144" s="1547"/>
      <c r="M144" s="1547"/>
      <c r="N144" s="627">
        <f>N138+N140-N142</f>
        <v>0</v>
      </c>
      <c r="P144" s="80"/>
      <c r="Q144" s="80"/>
      <c r="R144" s="80"/>
      <c r="S144" s="80"/>
      <c r="T144" s="80"/>
      <c r="U144" s="80"/>
      <c r="V144" s="144"/>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row>
    <row r="145" spans="3:62" s="1" customFormat="1" ht="25.5" customHeight="1" x14ac:dyDescent="0.2">
      <c r="C145" s="602" t="str">
        <f>IF('Data Set up'!$J60=$F$137,'Data Set up'!$C60,"")</f>
        <v/>
      </c>
      <c r="D145" s="1565" t="str">
        <f>IF('Data Set up'!$J60=$F$137,'Data Set up'!$D60,"")</f>
        <v/>
      </c>
      <c r="E145" s="1565"/>
      <c r="F145" s="1565"/>
      <c r="G145" s="634" t="str">
        <f>IF('Data Set up'!$J60=$F$137,'Data Set up'!$F60,"")</f>
        <v/>
      </c>
      <c r="H145" s="619"/>
      <c r="I145" s="620"/>
      <c r="J145" s="620"/>
      <c r="K145" s="620"/>
      <c r="L145" s="620"/>
      <c r="M145" s="620"/>
      <c r="P145" s="80"/>
      <c r="Q145" s="80"/>
      <c r="R145" s="80"/>
      <c r="S145" s="80"/>
      <c r="T145" s="80"/>
      <c r="U145" s="80"/>
      <c r="V145" s="144"/>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row>
    <row r="146" spans="3:62" s="1" customFormat="1" ht="25.5" customHeight="1" x14ac:dyDescent="0.2">
      <c r="C146" s="602" t="str">
        <f>IF('Data Set up'!$J61=$F$137,'Data Set up'!$C61,"")</f>
        <v/>
      </c>
      <c r="D146" s="1565" t="str">
        <f>IF('Data Set up'!$J61=$F$137,'Data Set up'!$D61,"")</f>
        <v/>
      </c>
      <c r="E146" s="1565"/>
      <c r="F146" s="1565"/>
      <c r="G146" s="634" t="str">
        <f>IF('Data Set up'!$J61=$F$137,'Data Set up'!$F61,"")</f>
        <v/>
      </c>
      <c r="H146" s="619"/>
      <c r="I146" s="620"/>
      <c r="J146" s="620"/>
      <c r="K146" s="620"/>
      <c r="L146" s="620"/>
      <c r="M146" s="620"/>
      <c r="P146" s="80"/>
      <c r="Q146" s="80"/>
      <c r="R146" s="80"/>
      <c r="S146" s="80"/>
      <c r="T146" s="80"/>
      <c r="U146" s="80"/>
      <c r="V146" s="144"/>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row>
    <row r="147" spans="3:62" s="1" customFormat="1" ht="25.5" customHeight="1" x14ac:dyDescent="0.2">
      <c r="C147" s="602" t="str">
        <f>IF('Data Set up'!$J62=$F$137,'Data Set up'!$C62,"")</f>
        <v/>
      </c>
      <c r="D147" s="1565" t="str">
        <f>IF('Data Set up'!$J62=$F$137,'Data Set up'!$D62,"")</f>
        <v/>
      </c>
      <c r="E147" s="1565"/>
      <c r="F147" s="1565"/>
      <c r="G147" s="634" t="str">
        <f>IF('Data Set up'!$J62=$F$137,'Data Set up'!$F62,"")</f>
        <v/>
      </c>
      <c r="H147" s="619"/>
      <c r="I147" s="620"/>
      <c r="J147" s="620"/>
      <c r="K147" s="620"/>
      <c r="L147" s="620"/>
      <c r="M147" s="620"/>
      <c r="P147" s="80"/>
      <c r="Q147" s="80"/>
      <c r="R147" s="80"/>
      <c r="S147" s="80"/>
      <c r="T147" s="80"/>
      <c r="U147" s="80"/>
      <c r="V147" s="144"/>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row>
    <row r="148" spans="3:62" s="1" customFormat="1" ht="25.5" customHeight="1" x14ac:dyDescent="0.2">
      <c r="C148" s="602" t="str">
        <f>IF('Data Set up'!$J63=$F$137,'Data Set up'!$C63,"")</f>
        <v/>
      </c>
      <c r="D148" s="1565" t="str">
        <f>IF('Data Set up'!$J63=$F$137,'Data Set up'!$D63,"")</f>
        <v/>
      </c>
      <c r="E148" s="1565"/>
      <c r="F148" s="1565"/>
      <c r="G148" s="634" t="str">
        <f>IF('Data Set up'!$J63=$F$137,'Data Set up'!$F63,"")</f>
        <v/>
      </c>
      <c r="H148" s="619"/>
      <c r="I148" s="620"/>
      <c r="J148" s="620"/>
      <c r="K148" s="620"/>
      <c r="L148" s="620"/>
      <c r="M148" s="620"/>
      <c r="P148" s="80"/>
      <c r="Q148" s="80"/>
      <c r="R148" s="80"/>
      <c r="S148" s="80"/>
      <c r="T148" s="80"/>
      <c r="U148" s="80"/>
      <c r="V148" s="144"/>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row>
    <row r="149" spans="3:62" s="1" customFormat="1" ht="25.5" customHeight="1" x14ac:dyDescent="0.2">
      <c r="C149" s="602" t="str">
        <f>IF('Data Set up'!$J64=$F$137,'Data Set up'!$C64,"")</f>
        <v/>
      </c>
      <c r="D149" s="1565" t="str">
        <f>IF('Data Set up'!$J64=$F$137,'Data Set up'!$D64,"")</f>
        <v/>
      </c>
      <c r="E149" s="1565"/>
      <c r="F149" s="1565"/>
      <c r="G149" s="634" t="str">
        <f>IF('Data Set up'!$J64=$F$137,'Data Set up'!$F64,"")</f>
        <v/>
      </c>
      <c r="H149" s="619"/>
      <c r="I149" s="620"/>
      <c r="J149" s="620"/>
      <c r="K149" s="620"/>
      <c r="L149" s="620"/>
      <c r="M149" s="620"/>
      <c r="P149" s="80"/>
      <c r="Q149" s="80"/>
      <c r="R149" s="80"/>
      <c r="S149" s="80"/>
      <c r="T149" s="80"/>
      <c r="U149" s="80"/>
      <c r="V149" s="144"/>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row>
    <row r="150" spans="3:62" s="1" customFormat="1" ht="25.5" customHeight="1" x14ac:dyDescent="0.2">
      <c r="C150" s="602" t="str">
        <f>IF('Data Set up'!$J65=$F$137,'Data Set up'!$C65,"")</f>
        <v/>
      </c>
      <c r="D150" s="1565" t="str">
        <f>IF('Data Set up'!$J65=$F$137,'Data Set up'!$D65,"")</f>
        <v/>
      </c>
      <c r="E150" s="1565"/>
      <c r="F150" s="1565"/>
      <c r="G150" s="634" t="str">
        <f>IF('Data Set up'!$J65=$F$137,'Data Set up'!$F65,"")</f>
        <v/>
      </c>
      <c r="H150" s="619"/>
      <c r="I150" s="620"/>
      <c r="J150" s="620"/>
      <c r="K150" s="620"/>
      <c r="L150" s="620"/>
      <c r="M150" s="620"/>
      <c r="P150" s="80"/>
      <c r="Q150" s="80"/>
      <c r="R150" s="80"/>
      <c r="S150" s="80"/>
      <c r="T150" s="80"/>
      <c r="U150" s="80"/>
      <c r="V150" s="144"/>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row>
    <row r="151" spans="3:62" s="1" customFormat="1" ht="25.5" customHeight="1" x14ac:dyDescent="0.2">
      <c r="C151" s="602" t="str">
        <f>IF('Data Set up'!$J66=$F$137,'Data Set up'!$C66,"")</f>
        <v/>
      </c>
      <c r="D151" s="1565" t="str">
        <f>IF('Data Set up'!$J66=$F$137,'Data Set up'!$D66,"")</f>
        <v/>
      </c>
      <c r="E151" s="1565"/>
      <c r="F151" s="1565"/>
      <c r="G151" s="634" t="str">
        <f>IF('Data Set up'!$J66=$F$137,'Data Set up'!$F66,"")</f>
        <v/>
      </c>
      <c r="H151" s="619"/>
      <c r="I151" s="620"/>
      <c r="J151" s="620"/>
      <c r="K151" s="620"/>
      <c r="L151" s="620"/>
      <c r="M151" s="620"/>
      <c r="P151" s="80"/>
      <c r="Q151" s="80"/>
      <c r="R151" s="80"/>
      <c r="S151" s="80"/>
      <c r="T151" s="80"/>
      <c r="U151" s="80"/>
      <c r="V151" s="144"/>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row>
    <row r="152" spans="3:62" s="1" customFormat="1" ht="25.5" customHeight="1" x14ac:dyDescent="0.2">
      <c r="C152" s="602" t="str">
        <f>IF('Data Set up'!$J67=$F$137,'Data Set up'!$C67,"")</f>
        <v/>
      </c>
      <c r="D152" s="1565" t="str">
        <f>IF('Data Set up'!$J67=$F$137,'Data Set up'!$D67,"")</f>
        <v/>
      </c>
      <c r="E152" s="1565"/>
      <c r="F152" s="1565"/>
      <c r="G152" s="634" t="str">
        <f>IF('Data Set up'!$J67=$F$137,'Data Set up'!$F67,"")</f>
        <v/>
      </c>
      <c r="H152" s="619"/>
      <c r="I152" s="620"/>
      <c r="J152" s="620"/>
      <c r="K152" s="620"/>
      <c r="L152" s="620"/>
      <c r="M152" s="620"/>
      <c r="P152" s="80"/>
      <c r="Q152" s="80"/>
      <c r="R152" s="80"/>
      <c r="S152" s="80"/>
      <c r="T152" s="80"/>
      <c r="U152" s="80"/>
      <c r="V152" s="144"/>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row>
    <row r="153" spans="3:62" s="1" customFormat="1" ht="25.5" customHeight="1" x14ac:dyDescent="0.2">
      <c r="C153" s="602" t="str">
        <f>IF('Data Set up'!$J68=$F$137,'Data Set up'!$C68,"")</f>
        <v/>
      </c>
      <c r="D153" s="1565" t="str">
        <f>IF('Data Set up'!$J68=$F$137,'Data Set up'!$D68,"")</f>
        <v/>
      </c>
      <c r="E153" s="1565"/>
      <c r="F153" s="1565"/>
      <c r="G153" s="634" t="str">
        <f>IF('Data Set up'!$J68=$F$137,'Data Set up'!$F68,"")</f>
        <v/>
      </c>
      <c r="H153" s="619"/>
      <c r="I153" s="620"/>
      <c r="J153" s="620"/>
      <c r="K153" s="620"/>
      <c r="L153" s="620"/>
      <c r="M153" s="620"/>
      <c r="P153" s="80"/>
      <c r="Q153" s="80"/>
      <c r="R153" s="80"/>
      <c r="S153" s="80"/>
      <c r="T153" s="80"/>
      <c r="U153" s="80"/>
      <c r="V153" s="144"/>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0"/>
      <c r="BH153" s="80"/>
      <c r="BI153" s="80"/>
      <c r="BJ153" s="80"/>
    </row>
    <row r="154" spans="3:62" s="1" customFormat="1" ht="25.5" customHeight="1" x14ac:dyDescent="0.2">
      <c r="C154" s="602" t="str">
        <f>IF('Data Set up'!$J69=$F$137,'Data Set up'!$C69,"")</f>
        <v/>
      </c>
      <c r="D154" s="1565" t="str">
        <f>IF('Data Set up'!$J69=$F$137,'Data Set up'!$D69,"")</f>
        <v/>
      </c>
      <c r="E154" s="1565"/>
      <c r="F154" s="1565"/>
      <c r="G154" s="634" t="str">
        <f>IF('Data Set up'!$J69=$F$137,'Data Set up'!$F69,"")</f>
        <v/>
      </c>
      <c r="H154" s="619"/>
      <c r="I154" s="620"/>
      <c r="J154" s="620"/>
      <c r="K154" s="620"/>
      <c r="L154" s="620"/>
      <c r="M154" s="620"/>
      <c r="P154" s="80"/>
      <c r="Q154" s="80"/>
      <c r="R154" s="80"/>
      <c r="S154" s="80"/>
      <c r="T154" s="80"/>
      <c r="U154" s="80"/>
      <c r="V154" s="144"/>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row>
    <row r="155" spans="3:62" s="1" customFormat="1" ht="25.5" customHeight="1" x14ac:dyDescent="0.2">
      <c r="C155" s="602" t="str">
        <f>IF('Data Set up'!$J70=$F$137,'Data Set up'!$C70,"")</f>
        <v/>
      </c>
      <c r="D155" s="1565" t="str">
        <f>IF('Data Set up'!$J70=$F$137,'Data Set up'!$D70,"")</f>
        <v/>
      </c>
      <c r="E155" s="1565"/>
      <c r="F155" s="1565"/>
      <c r="G155" s="634" t="str">
        <f>IF('Data Set up'!$J70=$F$137,'Data Set up'!$F70,"")</f>
        <v/>
      </c>
      <c r="H155" s="619"/>
      <c r="I155" s="635"/>
      <c r="J155" s="635"/>
      <c r="K155" s="635"/>
      <c r="L155" s="635"/>
      <c r="M155" s="635"/>
      <c r="N155" s="635"/>
      <c r="P155" s="80"/>
      <c r="Q155" s="80"/>
      <c r="R155" s="80"/>
      <c r="S155" s="80"/>
      <c r="T155" s="80"/>
      <c r="U155" s="80"/>
      <c r="V155" s="144"/>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0"/>
      <c r="BH155" s="80"/>
      <c r="BI155" s="80"/>
      <c r="BJ155" s="80"/>
    </row>
    <row r="156" spans="3:62" s="1" customFormat="1" ht="25.5" customHeight="1" x14ac:dyDescent="0.2">
      <c r="C156" s="602" t="str">
        <f>IF('Data Set up'!$J71=$F$137,'Data Set up'!$C71,"")</f>
        <v/>
      </c>
      <c r="D156" s="1565" t="str">
        <f>IF('Data Set up'!$J71=$F$137,'Data Set up'!$D71,"")</f>
        <v/>
      </c>
      <c r="E156" s="1565"/>
      <c r="F156" s="1565"/>
      <c r="G156" s="634" t="str">
        <f>IF('Data Set up'!$J71=$F$137,'Data Set up'!$F71,"")</f>
        <v/>
      </c>
      <c r="H156" s="619"/>
      <c r="I156" s="620"/>
      <c r="J156" s="635"/>
      <c r="K156" s="635"/>
      <c r="L156" s="635"/>
      <c r="M156" s="635"/>
      <c r="N156" s="636"/>
      <c r="P156" s="80"/>
      <c r="Q156" s="80"/>
      <c r="R156" s="80"/>
      <c r="S156" s="80"/>
      <c r="T156" s="80"/>
      <c r="U156" s="80"/>
      <c r="V156" s="144"/>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row>
    <row r="157" spans="3:62" s="1" customFormat="1" ht="25.5" customHeight="1" x14ac:dyDescent="0.2">
      <c r="C157" s="1564" t="str">
        <f>IF($Q$2=2,"Les chèques de l'année précédente (non traités dans l'année précédente)","Previous Year's Cheques (not processed in prev year)")</f>
        <v>Previous Year's Cheques (not processed in prev year)</v>
      </c>
      <c r="D157" s="1564"/>
      <c r="E157" s="1564"/>
      <c r="F157" s="1564"/>
      <c r="G157" s="1564"/>
      <c r="H157" s="619"/>
      <c r="I157" s="637"/>
      <c r="J157" s="638"/>
      <c r="K157" s="638"/>
      <c r="L157" s="638"/>
      <c r="M157" s="638"/>
      <c r="N157" s="636"/>
      <c r="P157" s="80"/>
      <c r="Q157" s="80"/>
      <c r="R157" s="80"/>
      <c r="S157" s="80"/>
      <c r="T157" s="80"/>
      <c r="U157" s="80"/>
      <c r="V157" s="144"/>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0"/>
      <c r="BH157" s="80"/>
      <c r="BI157" s="80"/>
      <c r="BJ157" s="80"/>
    </row>
    <row r="158" spans="3:62" s="1" customFormat="1" ht="25.5" customHeight="1" x14ac:dyDescent="0.2">
      <c r="C158" s="606" t="str">
        <f>IF($Q$2=2,"Chèque #","Cheque #")</f>
        <v>Cheque #</v>
      </c>
      <c r="D158" s="1548" t="str">
        <f>IF($Q$2=2,"À l'ordre de","Payable to")</f>
        <v>Payable to</v>
      </c>
      <c r="E158" s="1548"/>
      <c r="F158" s="1548"/>
      <c r="G158" s="607" t="str">
        <f>IF($Q$2=2,"Montant","Amount")</f>
        <v>Amount</v>
      </c>
      <c r="H158" s="620"/>
      <c r="I158" s="639"/>
      <c r="J158" s="638"/>
      <c r="K158" s="638"/>
      <c r="L158" s="638"/>
      <c r="M158" s="638"/>
      <c r="N158" s="636"/>
      <c r="P158" s="80"/>
      <c r="Q158" s="80"/>
      <c r="R158" s="80"/>
      <c r="S158" s="80"/>
      <c r="T158" s="80"/>
      <c r="U158" s="80"/>
      <c r="V158" s="144"/>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row>
    <row r="159" spans="3:62" s="1" customFormat="1" ht="25.5" customHeight="1" x14ac:dyDescent="0.2">
      <c r="C159" s="602" t="str">
        <f>IF('Data Set up'!$J76=$F$137,'Data Set up'!$C76,"")</f>
        <v/>
      </c>
      <c r="D159" s="1565" t="str">
        <f>IF('Data Set up'!$J76=$F$137,'Data Set up'!$D76,"")</f>
        <v/>
      </c>
      <c r="E159" s="1565"/>
      <c r="F159" s="1565"/>
      <c r="G159" s="634" t="str">
        <f>IF('Data Set up'!$J76=$F$137,'Data Set up'!$F76,"")</f>
        <v/>
      </c>
      <c r="H159" s="620"/>
      <c r="I159" s="619"/>
      <c r="J159" s="619"/>
      <c r="K159" s="619"/>
      <c r="L159" s="619"/>
      <c r="M159" s="619"/>
      <c r="N159" s="636"/>
      <c r="P159" s="80"/>
      <c r="Q159" s="80"/>
      <c r="R159" s="80"/>
      <c r="S159" s="80"/>
      <c r="T159" s="80"/>
      <c r="U159" s="80"/>
      <c r="V159" s="144"/>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0"/>
      <c r="BH159" s="80"/>
      <c r="BI159" s="80"/>
      <c r="BJ159" s="80"/>
    </row>
    <row r="160" spans="3:62" s="1" customFormat="1" ht="25.5" customHeight="1" x14ac:dyDescent="0.2">
      <c r="C160" s="602" t="str">
        <f>IF('Data Set up'!$J77=$F$137,'Data Set up'!$C77,"")</f>
        <v/>
      </c>
      <c r="D160" s="1565" t="str">
        <f>IF('Data Set up'!$J77=$F$137,'Data Set up'!$D77,"")</f>
        <v/>
      </c>
      <c r="E160" s="1565"/>
      <c r="F160" s="1565"/>
      <c r="G160" s="634" t="str">
        <f>IF('Data Set up'!$J77=$F$137,'Data Set up'!$F77,"")</f>
        <v/>
      </c>
      <c r="H160" s="619"/>
      <c r="I160" s="620"/>
      <c r="J160" s="620"/>
      <c r="K160" s="620"/>
      <c r="L160" s="620"/>
      <c r="M160" s="620"/>
      <c r="N160" s="620"/>
      <c r="P160" s="80"/>
      <c r="Q160" s="80"/>
      <c r="R160" s="80"/>
      <c r="S160" s="80"/>
      <c r="T160" s="80"/>
      <c r="U160" s="80"/>
      <c r="V160" s="144"/>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row>
    <row r="161" spans="3:62" s="1" customFormat="1" ht="25.5" customHeight="1" x14ac:dyDescent="0.2">
      <c r="C161" s="602" t="str">
        <f>IF('Data Set up'!$J78=$F$137,'Data Set up'!$C78,"")</f>
        <v/>
      </c>
      <c r="D161" s="1565" t="str">
        <f>IF('Data Set up'!$J78=$F$137,'Data Set up'!$D78,"")</f>
        <v/>
      </c>
      <c r="E161" s="1565"/>
      <c r="F161" s="1565"/>
      <c r="G161" s="634" t="str">
        <f>IF('Data Set up'!$J78=$F$137,'Data Set up'!$F78,"")</f>
        <v/>
      </c>
      <c r="H161" s="619"/>
      <c r="I161" s="640"/>
      <c r="J161" s="635"/>
      <c r="K161" s="635"/>
      <c r="L161" s="635"/>
      <c r="M161" s="635"/>
      <c r="N161" s="635"/>
      <c r="P161" s="80"/>
      <c r="Q161" s="80"/>
      <c r="R161" s="80"/>
      <c r="S161" s="80"/>
      <c r="T161" s="80"/>
      <c r="U161" s="80"/>
      <c r="V161" s="144"/>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row>
    <row r="162" spans="3:62" s="1" customFormat="1" ht="25.5" customHeight="1" x14ac:dyDescent="0.2">
      <c r="C162" s="602" t="str">
        <f>IF('Data Set up'!$J79=$F$137,'Data Set up'!$C79,"")</f>
        <v/>
      </c>
      <c r="D162" s="1565" t="str">
        <f>IF('Data Set up'!$J79=$F$137,'Data Set up'!$D79,"")</f>
        <v/>
      </c>
      <c r="E162" s="1565"/>
      <c r="F162" s="1565"/>
      <c r="G162" s="634" t="str">
        <f>IF('Data Set up'!$J79=$F$137,'Data Set up'!$F79,"")</f>
        <v/>
      </c>
      <c r="H162" s="619"/>
      <c r="I162" s="641"/>
      <c r="J162" s="635"/>
      <c r="K162" s="635"/>
      <c r="L162" s="635"/>
      <c r="M162" s="635"/>
      <c r="N162" s="624"/>
      <c r="P162" s="80"/>
      <c r="Q162" s="80"/>
      <c r="R162" s="80"/>
      <c r="S162" s="80"/>
      <c r="T162" s="80"/>
      <c r="U162" s="80"/>
      <c r="V162" s="144"/>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0"/>
      <c r="BH162" s="80"/>
      <c r="BI162" s="80"/>
      <c r="BJ162" s="80"/>
    </row>
    <row r="163" spans="3:62" s="1" customFormat="1" ht="25.5" customHeight="1" x14ac:dyDescent="0.2">
      <c r="C163" s="602" t="str">
        <f>IF('Data Set up'!$J80=$F$137,'Data Set up'!$C80,"")</f>
        <v/>
      </c>
      <c r="D163" s="1565" t="str">
        <f>IF('Data Set up'!$J80=$F$137,'Data Set up'!$D80,"")</f>
        <v/>
      </c>
      <c r="E163" s="1565"/>
      <c r="F163" s="1565"/>
      <c r="G163" s="634" t="str">
        <f>IF('Data Set up'!$J80=$F$137,'Data Set up'!$F80,"")</f>
        <v/>
      </c>
      <c r="H163" s="619"/>
      <c r="I163" s="641"/>
      <c r="J163" s="635"/>
      <c r="K163" s="635"/>
      <c r="L163" s="635"/>
      <c r="M163" s="635"/>
      <c r="N163" s="624"/>
      <c r="P163" s="80"/>
      <c r="Q163" s="80"/>
      <c r="R163" s="80"/>
      <c r="S163" s="80"/>
      <c r="T163" s="80"/>
      <c r="U163" s="80"/>
      <c r="V163" s="144"/>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0"/>
      <c r="BH163" s="80"/>
      <c r="BI163" s="80"/>
      <c r="BJ163" s="80"/>
    </row>
    <row r="164" spans="3:62" s="1" customFormat="1" ht="25.5" customHeight="1" x14ac:dyDescent="0.2">
      <c r="C164" s="602" t="str">
        <f>IF('Data Set up'!$J81=$F$137,'Data Set up'!$C81,"")</f>
        <v/>
      </c>
      <c r="D164" s="1565" t="str">
        <f>IF('Data Set up'!$J81=$F$137,'Data Set up'!$D81,"")</f>
        <v/>
      </c>
      <c r="E164" s="1565"/>
      <c r="F164" s="1565"/>
      <c r="G164" s="634" t="str">
        <f>IF('Data Set up'!$J81=$F$137,'Data Set up'!$F81,"")</f>
        <v/>
      </c>
      <c r="H164" s="619"/>
      <c r="I164" s="641"/>
      <c r="J164" s="635"/>
      <c r="K164" s="635"/>
      <c r="L164" s="635"/>
      <c r="M164" s="635"/>
      <c r="N164" s="624"/>
      <c r="P164" s="80"/>
      <c r="Q164" s="80"/>
      <c r="R164" s="80"/>
      <c r="S164" s="80"/>
      <c r="T164" s="80"/>
      <c r="U164" s="80"/>
      <c r="V164" s="144"/>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row>
    <row r="165" spans="3:62" s="1" customFormat="1" ht="25.5" customHeight="1" x14ac:dyDescent="0.2">
      <c r="C165" s="602" t="str">
        <f>IF('Data Set up'!$J82=$F$137,'Data Set up'!$C82,"")</f>
        <v/>
      </c>
      <c r="D165" s="1565" t="str">
        <f>IF('Data Set up'!$J82=$F$137,'Data Set up'!$D82,"")</f>
        <v/>
      </c>
      <c r="E165" s="1565"/>
      <c r="F165" s="1565"/>
      <c r="G165" s="634" t="str">
        <f>IF('Data Set up'!$J82=$F$137,'Data Set up'!$F82,"")</f>
        <v/>
      </c>
      <c r="H165" s="619"/>
      <c r="I165" s="641"/>
      <c r="J165" s="635"/>
      <c r="K165" s="635"/>
      <c r="L165" s="635"/>
      <c r="M165" s="635"/>
      <c r="N165" s="624"/>
      <c r="P165" s="80"/>
      <c r="Q165" s="80"/>
      <c r="R165" s="80"/>
      <c r="S165" s="80"/>
      <c r="T165" s="80"/>
      <c r="U165" s="80"/>
      <c r="V165" s="144"/>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0"/>
      <c r="BH165" s="80"/>
      <c r="BI165" s="80"/>
      <c r="BJ165" s="80"/>
    </row>
    <row r="166" spans="3:62" s="1" customFormat="1" ht="25.5" customHeight="1" x14ac:dyDescent="0.2">
      <c r="C166" s="602" t="str">
        <f>IF('Data Set up'!$J83=$F$137,'Data Set up'!$C83,"")</f>
        <v/>
      </c>
      <c r="D166" s="1565" t="str">
        <f>IF('Data Set up'!$J83=$F$137,'Data Set up'!$D83,"")</f>
        <v/>
      </c>
      <c r="E166" s="1565"/>
      <c r="F166" s="1565"/>
      <c r="G166" s="634" t="str">
        <f>IF('Data Set up'!$J83=$F$137,'Data Set up'!$F83,"")</f>
        <v/>
      </c>
      <c r="H166" s="619"/>
      <c r="I166" s="642"/>
      <c r="J166" s="643"/>
      <c r="K166" s="643"/>
      <c r="L166" s="643"/>
      <c r="M166" s="643"/>
      <c r="N166" s="624"/>
      <c r="P166" s="80"/>
      <c r="Q166" s="80"/>
      <c r="R166" s="80"/>
      <c r="S166" s="80"/>
      <c r="T166" s="80"/>
      <c r="U166" s="80"/>
      <c r="V166" s="144"/>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row>
    <row r="167" spans="3:62" s="1" customFormat="1" ht="25.5" customHeight="1" x14ac:dyDescent="0.2">
      <c r="C167" s="602" t="str">
        <f>IF('Data Set up'!$J84=$F$137,'Data Set up'!$C84,"")</f>
        <v/>
      </c>
      <c r="D167" s="1565" t="str">
        <f>IF('Data Set up'!$J84=$F$137,'Data Set up'!$D84,"")</f>
        <v/>
      </c>
      <c r="E167" s="1565"/>
      <c r="F167" s="1565"/>
      <c r="G167" s="634" t="str">
        <f>IF('Data Set up'!$J84=$F$137,'Data Set up'!$F84,"")</f>
        <v/>
      </c>
      <c r="H167" s="619"/>
      <c r="I167" s="644"/>
      <c r="J167" s="1566"/>
      <c r="K167" s="1566"/>
      <c r="L167" s="1566"/>
      <c r="M167" s="1566"/>
      <c r="N167" s="624"/>
      <c r="P167" s="80"/>
      <c r="Q167" s="80"/>
      <c r="R167" s="80"/>
      <c r="S167" s="80"/>
      <c r="T167" s="80"/>
      <c r="U167" s="80"/>
      <c r="V167" s="144"/>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0"/>
      <c r="BH167" s="80"/>
      <c r="BI167" s="80"/>
      <c r="BJ167" s="80"/>
    </row>
    <row r="168" spans="3:62" s="1" customFormat="1" ht="25.5" customHeight="1" x14ac:dyDescent="0.2">
      <c r="C168" s="602" t="str">
        <f>IF('Data Set up'!$J85=$F$137,'Data Set up'!$C85,"")</f>
        <v/>
      </c>
      <c r="D168" s="1565" t="str">
        <f>IF('Data Set up'!$J85=$F$137,'Data Set up'!$D85,"")</f>
        <v/>
      </c>
      <c r="E168" s="1565"/>
      <c r="F168" s="1565"/>
      <c r="G168" s="634" t="str">
        <f>IF('Data Set up'!$J85=$F$137,'Data Set up'!$F85,"")</f>
        <v/>
      </c>
      <c r="H168" s="619"/>
      <c r="I168" s="642"/>
      <c r="J168" s="1566"/>
      <c r="K168" s="1566"/>
      <c r="L168" s="1566"/>
      <c r="M168" s="1566"/>
      <c r="N168" s="624"/>
      <c r="P168" s="80"/>
      <c r="Q168" s="80"/>
      <c r="R168" s="80"/>
      <c r="S168" s="80"/>
      <c r="T168" s="80"/>
      <c r="U168" s="80"/>
      <c r="V168" s="144"/>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row>
    <row r="169" spans="3:62" s="1" customFormat="1" ht="25.5" customHeight="1" x14ac:dyDescent="0.2">
      <c r="C169" s="602" t="str">
        <f>IF('Data Set up'!$J86=$F$137,'Data Set up'!$C86,"")</f>
        <v/>
      </c>
      <c r="D169" s="1565" t="str">
        <f>IF('Data Set up'!$J86=$F$137,'Data Set up'!$D86,"")</f>
        <v/>
      </c>
      <c r="E169" s="1565"/>
      <c r="F169" s="1565"/>
      <c r="G169" s="634" t="str">
        <f>IF('Data Set up'!$J86=$F$137,'Data Set up'!$F86,"")</f>
        <v/>
      </c>
      <c r="H169" s="619"/>
      <c r="I169" s="642"/>
      <c r="J169" s="1567"/>
      <c r="K169" s="1567"/>
      <c r="L169" s="1567"/>
      <c r="M169" s="1567"/>
      <c r="N169" s="624"/>
      <c r="P169" s="80"/>
      <c r="Q169" s="80"/>
      <c r="R169" s="80"/>
      <c r="S169" s="80"/>
      <c r="T169" s="80"/>
      <c r="U169" s="80"/>
      <c r="V169" s="144"/>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0"/>
      <c r="BH169" s="80"/>
      <c r="BI169" s="80"/>
      <c r="BJ169" s="80"/>
    </row>
    <row r="170" spans="3:62" s="1" customFormat="1" ht="25.5" customHeight="1" x14ac:dyDescent="0.2">
      <c r="C170" s="602" t="str">
        <f>IF('Data Set up'!$J87=$F$137,'Data Set up'!$C87,"")</f>
        <v/>
      </c>
      <c r="D170" s="1565" t="str">
        <f>IF('Data Set up'!$J87=$F$137,'Data Set up'!$D87,"")</f>
        <v/>
      </c>
      <c r="E170" s="1565"/>
      <c r="F170" s="1565"/>
      <c r="G170" s="634" t="str">
        <f>IF('Data Set up'!$J87=$F$137,'Data Set up'!$F87,"")</f>
        <v/>
      </c>
      <c r="H170" s="619"/>
      <c r="I170" s="620"/>
      <c r="J170" s="1562"/>
      <c r="K170" s="1562"/>
      <c r="L170" s="1562"/>
      <c r="M170" s="1562"/>
      <c r="N170" s="624"/>
      <c r="P170" s="80"/>
      <c r="Q170" s="80"/>
      <c r="R170" s="80"/>
      <c r="S170" s="80"/>
      <c r="T170" s="80"/>
      <c r="U170" s="80"/>
      <c r="V170" s="144"/>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row>
    <row r="171" spans="3:62" s="1" customFormat="1" ht="25.5" customHeight="1" x14ac:dyDescent="0.2">
      <c r="C171" s="602" t="str">
        <f>IF('Data Set up'!$J88=$F$137,'Data Set up'!$C88,"")</f>
        <v/>
      </c>
      <c r="D171" s="1565" t="str">
        <f>IF('Data Set up'!$J88=$F$137,'Data Set up'!$D88,"")</f>
        <v/>
      </c>
      <c r="E171" s="1565"/>
      <c r="F171" s="1565"/>
      <c r="G171" s="634" t="str">
        <f>IF('Data Set up'!$J88=$F$137,'Data Set up'!$F88,"")</f>
        <v/>
      </c>
      <c r="H171" s="619"/>
      <c r="I171" s="620"/>
      <c r="J171" s="1562"/>
      <c r="K171" s="1562"/>
      <c r="L171" s="1562"/>
      <c r="M171" s="1562"/>
      <c r="N171" s="624"/>
      <c r="P171" s="80"/>
      <c r="Q171" s="80"/>
      <c r="R171" s="80"/>
      <c r="S171" s="80"/>
      <c r="T171" s="80"/>
      <c r="U171" s="80"/>
      <c r="V171" s="144"/>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0"/>
      <c r="BH171" s="80"/>
      <c r="BI171" s="80"/>
      <c r="BJ171" s="80"/>
    </row>
    <row r="172" spans="3:62" s="1" customFormat="1" ht="25.5" customHeight="1" x14ac:dyDescent="0.2">
      <c r="C172" s="1554" t="str">
        <f>IF($Q$2=2,"Montant non-comptabilisé de l'année précédente","Previous Year's non-accounted Amount")</f>
        <v>Previous Year's non-accounted Amount</v>
      </c>
      <c r="D172" s="1554"/>
      <c r="E172" s="1554"/>
      <c r="F172" s="1554"/>
      <c r="G172" s="645">
        <f>SUM(G144:G156)-SUM(G159:G171)</f>
        <v>0</v>
      </c>
      <c r="H172" s="619"/>
      <c r="I172" s="629"/>
      <c r="J172" s="1562"/>
      <c r="K172" s="1562"/>
      <c r="L172" s="1562"/>
      <c r="M172" s="1562"/>
      <c r="N172" s="624"/>
      <c r="P172" s="80"/>
      <c r="Q172" s="80"/>
      <c r="R172" s="80"/>
      <c r="S172" s="80"/>
      <c r="T172" s="80"/>
      <c r="U172" s="80"/>
      <c r="V172" s="144"/>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row>
    <row r="173" spans="3:62" s="1" customFormat="1" ht="25.5" customHeight="1" x14ac:dyDescent="0.2">
      <c r="C173" s="1537" t="str">
        <f>IF($Q$2=2,F137&amp;" Fonds disponible du compte",F137&amp;" Account Available Funds")</f>
        <v>1210 Account Available Funds</v>
      </c>
      <c r="D173" s="1537"/>
      <c r="E173" s="1537"/>
      <c r="F173" s="1537"/>
      <c r="G173" s="623"/>
      <c r="H173" s="619"/>
      <c r="I173" s="620"/>
      <c r="J173" s="1562"/>
      <c r="K173" s="1562"/>
      <c r="L173" s="1562"/>
      <c r="M173" s="1562"/>
      <c r="N173" s="624"/>
      <c r="P173" s="80"/>
      <c r="Q173" s="80"/>
      <c r="R173" s="80"/>
      <c r="S173" s="80"/>
      <c r="T173" s="80"/>
      <c r="U173" s="80"/>
      <c r="V173" s="144"/>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0"/>
      <c r="BH173" s="80"/>
      <c r="BI173" s="80"/>
      <c r="BJ173" s="80"/>
    </row>
    <row r="174" spans="3:62" s="1" customFormat="1" ht="25.5" customHeight="1" x14ac:dyDescent="0.2">
      <c r="C174" s="1558" t="str">
        <f>IF($Q$2=2,"Solde reporté à la ligne "&amp;F137&amp;" du Bilan - page 6","This balance fwrd'd to line "&amp;F137&amp;" of Balance Sheet -  page 6")</f>
        <v>This balance fwrd'd to line 1210 of Balance Sheet -  page 6</v>
      </c>
      <c r="D174" s="1558"/>
      <c r="E174" s="1558"/>
      <c r="F174" s="1558"/>
      <c r="G174" s="590">
        <f>IF(AND(SUM(G138+G139-G140+G172)&lt;0.001,SUM(G138+G139-G140+G172)&gt;-0.001),0,SUM(G138+G139-G140+G172))</f>
        <v>0</v>
      </c>
      <c r="H174" s="625"/>
      <c r="I174" s="619"/>
      <c r="J174" s="620"/>
      <c r="K174" s="620"/>
      <c r="L174" s="620"/>
      <c r="M174" s="626"/>
      <c r="N174" s="627">
        <f>N144</f>
        <v>0</v>
      </c>
      <c r="P174" s="80"/>
      <c r="Q174" s="80"/>
      <c r="R174" s="80"/>
      <c r="S174" s="80"/>
      <c r="T174" s="80"/>
      <c r="U174" s="80"/>
      <c r="V174" s="144"/>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row>
    <row r="175" spans="3:62" s="1" customFormat="1" ht="9.75" customHeight="1" x14ac:dyDescent="0.2">
      <c r="C175" s="619"/>
      <c r="D175" s="619"/>
      <c r="E175" s="619"/>
      <c r="F175" s="628"/>
      <c r="G175" s="619"/>
      <c r="H175" s="619"/>
      <c r="I175" s="619"/>
      <c r="J175" s="620"/>
      <c r="K175" s="619"/>
      <c r="L175" s="619"/>
      <c r="M175" s="629"/>
      <c r="N175" s="619"/>
      <c r="P175" s="80"/>
      <c r="Q175" s="80"/>
      <c r="R175" s="80"/>
      <c r="S175" s="80"/>
      <c r="T175" s="80"/>
      <c r="U175" s="80"/>
      <c r="V175" s="144"/>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row>
    <row r="176" spans="3:62" s="1" customFormat="1" ht="9.75" customHeight="1" x14ac:dyDescent="0.2">
      <c r="C176" s="355"/>
      <c r="D176" s="355"/>
      <c r="E176" s="355"/>
      <c r="F176" s="355"/>
      <c r="G176" s="355"/>
      <c r="H176" s="355"/>
      <c r="I176" s="355"/>
      <c r="J176" s="355"/>
      <c r="K176" s="355"/>
      <c r="L176" s="355"/>
      <c r="M176" s="355"/>
      <c r="N176" s="619"/>
      <c r="P176" s="80"/>
      <c r="Q176" s="80"/>
      <c r="R176" s="80"/>
      <c r="S176" s="80"/>
      <c r="T176" s="80"/>
      <c r="U176" s="80"/>
      <c r="V176" s="144"/>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row>
    <row r="177" spans="3:62" s="1" customFormat="1" ht="44.25" customHeight="1" x14ac:dyDescent="0.2">
      <c r="C177" s="1563"/>
      <c r="D177" s="1563"/>
      <c r="E177" s="1563"/>
      <c r="F177" s="1563"/>
      <c r="G177" s="595">
        <f>IF(AND(G174-N174&lt;0.001,G174-N174&gt;-0.001),0,G174-N174)</f>
        <v>0</v>
      </c>
      <c r="H177" s="1540" t="str">
        <f>IF($Q$2=2,IF(G177=0,$T$7,$T$5),IF(G177=0,$T$8,$T$6))</f>
        <v>Books and Statements balance.</v>
      </c>
      <c r="I177" s="1540"/>
      <c r="J177" s="1540"/>
      <c r="K177" s="1540"/>
      <c r="L177" s="1540"/>
      <c r="M177" s="1540"/>
      <c r="N177" s="1540"/>
      <c r="P177" s="80"/>
      <c r="Q177" s="80"/>
      <c r="R177" s="80"/>
      <c r="S177" s="80"/>
      <c r="T177" s="80"/>
      <c r="U177" s="80"/>
      <c r="V177" s="144"/>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row>
    <row r="178" spans="3:62" s="1" customFormat="1" ht="33" customHeight="1" x14ac:dyDescent="0.2">
      <c r="C178" s="630"/>
      <c r="D178" s="630"/>
      <c r="E178" s="630"/>
      <c r="F178" s="630"/>
      <c r="G178" s="631"/>
      <c r="H178" s="597"/>
      <c r="I178" s="597"/>
      <c r="J178" s="597"/>
      <c r="K178" s="597"/>
      <c r="L178" s="597"/>
      <c r="M178" s="597"/>
      <c r="N178" s="597"/>
      <c r="P178" s="80"/>
      <c r="Q178" s="80"/>
      <c r="R178" s="80"/>
      <c r="S178" s="80"/>
      <c r="T178" s="80"/>
      <c r="U178" s="80"/>
      <c r="V178" s="144"/>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row>
    <row r="179" spans="3:62" ht="18.75" customHeight="1" x14ac:dyDescent="0.2">
      <c r="C179" s="1541"/>
      <c r="D179" s="1541"/>
      <c r="E179" s="1541"/>
      <c r="F179" s="1541"/>
      <c r="G179" s="1541"/>
      <c r="H179" s="1541"/>
      <c r="I179" s="1541"/>
      <c r="J179" s="1541"/>
      <c r="K179" s="1541"/>
      <c r="L179" s="1541"/>
      <c r="M179" s="1541"/>
      <c r="N179" s="1541"/>
    </row>
    <row r="180" spans="3:62" s="1" customFormat="1" ht="40.5" customHeight="1" x14ac:dyDescent="0.2">
      <c r="D180" s="1528" t="str">
        <f>IF($Q$2,"Réconciliation détaillée du compte "&amp;F182&amp;" - "&amp;C182,"Detailed Reconciliation of the Account "&amp;F182&amp;" - "&amp;C182)</f>
        <v>Réconciliation détaillée du compte 1220 - Investments (Mutual Funds and such)</v>
      </c>
      <c r="E180" s="1528"/>
      <c r="F180" s="1528"/>
      <c r="G180" s="1528"/>
      <c r="H180" s="1528"/>
      <c r="I180" s="1528"/>
      <c r="J180" s="1528"/>
      <c r="K180" s="1528"/>
      <c r="L180" s="1528"/>
      <c r="M180" s="1528"/>
      <c r="N180" s="577"/>
      <c r="P180" s="80"/>
      <c r="Q180" s="80"/>
      <c r="R180" s="80"/>
      <c r="S180" s="80"/>
      <c r="T180" s="80"/>
      <c r="U180" s="80"/>
      <c r="V180" s="144"/>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row>
    <row r="181" spans="3:62" s="1" customFormat="1" ht="29.25" customHeight="1" x14ac:dyDescent="0.2">
      <c r="C181" s="1529" t="str">
        <f>IF($Q$2=2,"Réconciliation selon les livres comptables","Reconciliation as per BookKeeping")</f>
        <v>Reconciliation as per BookKeeping</v>
      </c>
      <c r="D181" s="1529"/>
      <c r="E181" s="1529"/>
      <c r="F181" s="1529"/>
      <c r="G181" s="1529"/>
      <c r="H181" s="619"/>
      <c r="I181" s="1529" t="str">
        <f>IF($Q$2=2,"Réconciliation selon l'état de compte","Reconciliation as per Account Statement")</f>
        <v>Reconciliation as per Account Statement</v>
      </c>
      <c r="J181" s="1529"/>
      <c r="K181" s="1529"/>
      <c r="L181" s="1529"/>
      <c r="M181" s="1529"/>
      <c r="N181" s="578" t="str">
        <f>F182</f>
        <v>1220</v>
      </c>
      <c r="P181" s="579"/>
      <c r="Q181" s="579"/>
      <c r="R181" s="579"/>
      <c r="S181" s="579"/>
      <c r="T181" s="579"/>
      <c r="U181" s="579"/>
      <c r="V181" s="47"/>
      <c r="W181" s="579"/>
      <c r="X181" s="579"/>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row>
    <row r="182" spans="3:62" s="1" customFormat="1" ht="25.5" customHeight="1" x14ac:dyDescent="0.2">
      <c r="C182" s="1542" t="str">
        <f>'Data Set up'!I26</f>
        <v>Investments (Mutual Funds and such)</v>
      </c>
      <c r="D182" s="1542"/>
      <c r="E182" s="1542"/>
      <c r="F182" s="580" t="str">
        <f>LEFT('Data Set up'!H26,4)</f>
        <v>1220</v>
      </c>
      <c r="G182" s="620"/>
      <c r="H182" s="619"/>
      <c r="I182" s="1560"/>
      <c r="J182" s="1560"/>
      <c r="K182" s="1560"/>
      <c r="L182" s="1560"/>
      <c r="M182" s="1560"/>
      <c r="N182" s="1560"/>
      <c r="P182" s="80"/>
      <c r="Q182" s="80"/>
      <c r="R182" s="80"/>
      <c r="S182" s="80"/>
      <c r="T182" s="80"/>
      <c r="U182" s="80"/>
      <c r="V182" s="144"/>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row>
    <row r="183" spans="3:62" s="1" customFormat="1" ht="25.5" customHeight="1" x14ac:dyDescent="0.2">
      <c r="C183" s="1532" t="str">
        <f>IF($Q$2=2,"Solde du compte au ","Account Balance on ")</f>
        <v xml:space="preserve">Account Balance on </v>
      </c>
      <c r="D183" s="1532"/>
      <c r="E183" s="1532"/>
      <c r="F183" s="581" t="str">
        <f>'Data Set up'!$F$40&amp;" "&amp;'Data Set up'!$G$40&amp;" "&amp;'Data Set up'!$F$39</f>
        <v>31 August 2023</v>
      </c>
      <c r="G183" s="621">
        <f>'Data Set up'!F26</f>
        <v>0</v>
      </c>
      <c r="H183" s="619"/>
      <c r="I183" s="1533" t="str">
        <f>IF($Q$2=2,"Solde au compte en fin d'exercice","End of Year Account Balance")</f>
        <v>End of Year Account Balance</v>
      </c>
      <c r="J183" s="1533"/>
      <c r="K183" s="1533"/>
      <c r="L183" s="1533"/>
      <c r="M183" s="1533"/>
      <c r="N183" s="583">
        <v>0</v>
      </c>
      <c r="P183" s="80"/>
      <c r="Q183" s="1534" t="str">
        <f>IF($Q$2=2,"Inscrivez le solde ici","Insert the Balance here")</f>
        <v>Insert the Balance here</v>
      </c>
      <c r="R183" s="1534"/>
      <c r="S183" s="1534"/>
      <c r="T183" s="80"/>
      <c r="U183" s="585">
        <f>N183*1</f>
        <v>0</v>
      </c>
      <c r="V183" s="144"/>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row>
    <row r="184" spans="3:62" s="1" customFormat="1" ht="25.5" customHeight="1" x14ac:dyDescent="0.2">
      <c r="C184" s="1535" t="str">
        <f>IF($Q$2=2,"Plus: Accroissements (Jrnl des revenus)","Plus: Increase (Revenue Jrnl)")</f>
        <v>Plus: Increase (Revenue Jrnl)</v>
      </c>
      <c r="D184" s="1535"/>
      <c r="E184" s="1535"/>
      <c r="F184" s="1535"/>
      <c r="G184" s="621">
        <f>'Revenue Jrnl'!G531</f>
        <v>0</v>
      </c>
      <c r="H184" s="620"/>
      <c r="I184" s="1560"/>
      <c r="J184" s="1560"/>
      <c r="K184" s="1560"/>
      <c r="L184" s="1560"/>
      <c r="M184" s="1560"/>
      <c r="N184" s="1560"/>
      <c r="P184" s="80"/>
      <c r="Q184" s="80"/>
      <c r="R184" s="80"/>
      <c r="S184" s="80"/>
      <c r="T184" s="80"/>
      <c r="U184" s="80"/>
      <c r="V184" s="144"/>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row>
    <row r="185" spans="3:62" s="1" customFormat="1" ht="25.5" customHeight="1" x14ac:dyDescent="0.2">
      <c r="C185" s="1535" t="str">
        <f>IF($Q$2=2," Moins: Décroissements (Jrnl des dépenses)","Less: Decreases (Expense Jrnl)")</f>
        <v>Less: Decreases (Expense Jrnl)</v>
      </c>
      <c r="D185" s="1535"/>
      <c r="E185" s="1535"/>
      <c r="F185" s="1535"/>
      <c r="G185" s="621">
        <f>'Expense Jrnl'!G531</f>
        <v>0</v>
      </c>
      <c r="H185" s="619"/>
      <c r="I185" s="1545" t="str">
        <f>IF($Q$2=2,"Plus: Encaissements faits mais pas réconciliés","Plus: Cashing made but not reconciled")</f>
        <v>Plus: Cashing made but not reconciled</v>
      </c>
      <c r="J185" s="1545"/>
      <c r="K185" s="1545"/>
      <c r="L185" s="1545"/>
      <c r="M185" s="1545"/>
      <c r="N185" s="633">
        <f>'Revenue Jrnl'!H531</f>
        <v>0</v>
      </c>
      <c r="P185" s="80"/>
      <c r="Q185" s="80"/>
      <c r="R185" s="80"/>
      <c r="S185" s="80"/>
      <c r="T185" s="80"/>
      <c r="U185" s="80"/>
      <c r="V185" s="144"/>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row>
    <row r="186" spans="3:62" s="1" customFormat="1" ht="25.5" customHeight="1" x14ac:dyDescent="0.2">
      <c r="C186" s="1561"/>
      <c r="D186" s="1561"/>
      <c r="E186" s="1561"/>
      <c r="F186" s="1561"/>
      <c r="G186" s="619"/>
      <c r="H186" s="620"/>
      <c r="I186" s="1560"/>
      <c r="J186" s="1560"/>
      <c r="K186" s="1560"/>
      <c r="L186" s="1560"/>
      <c r="M186" s="1560"/>
      <c r="N186" s="1560"/>
      <c r="P186" s="80"/>
      <c r="Q186" s="80"/>
      <c r="R186" s="80"/>
      <c r="S186" s="80"/>
      <c r="T186" s="80"/>
      <c r="U186" s="80"/>
      <c r="V186" s="144"/>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row>
    <row r="187" spans="3:62" s="1" customFormat="1" ht="25.5" customHeight="1" x14ac:dyDescent="0.2">
      <c r="C187" s="1564" t="str">
        <f>IF($Q$2=2,"Les dépôts de l'année précédente (non traités dans l'année précédente)","Previous Year's Deposits (not processed in prev year)")</f>
        <v>Previous Year's Deposits (not processed in prev year)</v>
      </c>
      <c r="D187" s="1564"/>
      <c r="E187" s="1564"/>
      <c r="F187" s="1564"/>
      <c r="G187" s="1564"/>
      <c r="H187" s="619"/>
      <c r="I187" s="1547" t="str">
        <f>IF($Q$2=2,"Moins: Décaissements émis mais non encore enr.","Less: Disbursements made but not processed")</f>
        <v>Less: Disbursements made but not processed</v>
      </c>
      <c r="J187" s="1547"/>
      <c r="K187" s="1547"/>
      <c r="L187" s="1547"/>
      <c r="M187" s="1547"/>
      <c r="N187" s="633">
        <f>'Expense Jrnl'!H531</f>
        <v>0</v>
      </c>
      <c r="P187" s="80"/>
      <c r="Q187" s="80"/>
      <c r="R187" s="80"/>
      <c r="S187" s="80"/>
      <c r="T187" s="80"/>
      <c r="U187" s="80"/>
      <c r="V187" s="144"/>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row>
    <row r="188" spans="3:62" s="1" customFormat="1" ht="25.5" customHeight="1" x14ac:dyDescent="0.2">
      <c r="C188" s="601" t="str">
        <f>IF($Q$2=2,"No.de Réf","Ref No.")</f>
        <v>Ref No.</v>
      </c>
      <c r="D188" s="1548" t="str">
        <f>IF($Q$2=2,"Détails","Details")</f>
        <v>Details</v>
      </c>
      <c r="E188" s="1548"/>
      <c r="F188" s="1548"/>
      <c r="G188" s="601" t="str">
        <f>IF($Q$2=2,"Montant","Amount")</f>
        <v>Amount</v>
      </c>
      <c r="H188" s="619"/>
      <c r="I188" s="1560"/>
      <c r="J188" s="1560"/>
      <c r="K188" s="1560"/>
      <c r="L188" s="1560"/>
      <c r="M188" s="1560"/>
      <c r="N188" s="1560"/>
      <c r="P188" s="80"/>
      <c r="Q188" s="80"/>
      <c r="R188" s="80"/>
      <c r="S188" s="80"/>
      <c r="T188" s="80"/>
      <c r="U188" s="80"/>
      <c r="V188" s="144"/>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row>
    <row r="189" spans="3:62" s="1" customFormat="1" ht="25.5" customHeight="1" x14ac:dyDescent="0.2">
      <c r="C189" s="602" t="str">
        <f>IF('Data Set up'!$J59=$F$182,'Data Set up'!$C59,"")</f>
        <v/>
      </c>
      <c r="D189" s="1565" t="str">
        <f>IF('Data Set up'!$J59=$F$182,'Data Set up'!$D59,"")</f>
        <v/>
      </c>
      <c r="E189" s="1565"/>
      <c r="F189" s="1565"/>
      <c r="G189" s="603" t="str">
        <f>IF('Data Set up'!$J59=$F$182,'Data Set up'!$F59,"")</f>
        <v/>
      </c>
      <c r="H189" s="619"/>
      <c r="I189" s="1547" t="str">
        <f>IF($Q$2=2,"Solde disponible actuel du compte (reconcilié)","Actual Account balance available (reconciled)")</f>
        <v>Actual Account balance available (reconciled)</v>
      </c>
      <c r="J189" s="1547"/>
      <c r="K189" s="1547"/>
      <c r="L189" s="1547"/>
      <c r="M189" s="1547"/>
      <c r="N189" s="627">
        <f>N183+N185-N187</f>
        <v>0</v>
      </c>
      <c r="P189" s="80"/>
      <c r="Q189" s="80"/>
      <c r="R189" s="80"/>
      <c r="S189" s="80"/>
      <c r="T189" s="80"/>
      <c r="U189" s="80"/>
      <c r="V189" s="144"/>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row>
    <row r="190" spans="3:62" s="1" customFormat="1" ht="25.5" customHeight="1" x14ac:dyDescent="0.2">
      <c r="C190" s="602" t="str">
        <f>IF('Data Set up'!$J60=$F$182,'Data Set up'!$C60,"")</f>
        <v/>
      </c>
      <c r="D190" s="1565" t="str">
        <f>IF('Data Set up'!$J60=$F$182,'Data Set up'!$D60,"")</f>
        <v/>
      </c>
      <c r="E190" s="1565"/>
      <c r="F190" s="1565"/>
      <c r="G190" s="603" t="str">
        <f>IF('Data Set up'!$J60=$F$182,'Data Set up'!$F60,"")</f>
        <v/>
      </c>
      <c r="H190" s="619"/>
      <c r="P190" s="80"/>
      <c r="Q190" s="80"/>
      <c r="R190" s="80"/>
      <c r="S190" s="80"/>
      <c r="T190" s="80"/>
      <c r="U190" s="80"/>
      <c r="V190" s="144"/>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row>
    <row r="191" spans="3:62" s="1" customFormat="1" ht="25.5" customHeight="1" x14ac:dyDescent="0.2">
      <c r="C191" s="602" t="str">
        <f>IF('Data Set up'!$J61=$F$182,'Data Set up'!$C61,"")</f>
        <v/>
      </c>
      <c r="D191" s="1565" t="str">
        <f>IF('Data Set up'!$J61=$F$182,'Data Set up'!$D61,"")</f>
        <v/>
      </c>
      <c r="E191" s="1565"/>
      <c r="F191" s="1565"/>
      <c r="G191" s="603" t="str">
        <f>IF('Data Set up'!$J61=$F$182,'Data Set up'!$F61,"")</f>
        <v/>
      </c>
      <c r="H191" s="619"/>
      <c r="P191" s="80"/>
      <c r="Q191" s="80"/>
      <c r="R191" s="80"/>
      <c r="S191" s="80"/>
      <c r="T191" s="80"/>
      <c r="U191" s="80"/>
      <c r="V191" s="144"/>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row>
    <row r="192" spans="3:62" s="1" customFormat="1" ht="25.5" customHeight="1" x14ac:dyDescent="0.2">
      <c r="C192" s="602" t="str">
        <f>IF('Data Set up'!$J62=$F$182,'Data Set up'!$C62,"")</f>
        <v/>
      </c>
      <c r="D192" s="1565" t="str">
        <f>IF('Data Set up'!$J62=$F$182,'Data Set up'!$D62,"")</f>
        <v/>
      </c>
      <c r="E192" s="1565"/>
      <c r="F192" s="1565"/>
      <c r="G192" s="603" t="str">
        <f>IF('Data Set up'!$J62=$F$182,'Data Set up'!$F62,"")</f>
        <v/>
      </c>
      <c r="H192" s="619"/>
      <c r="P192" s="80"/>
      <c r="Q192" s="80"/>
      <c r="R192" s="80"/>
      <c r="S192" s="80"/>
      <c r="T192" s="80"/>
      <c r="U192" s="80"/>
      <c r="V192" s="144"/>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row>
    <row r="193" spans="3:62" s="1" customFormat="1" ht="25.5" customHeight="1" x14ac:dyDescent="0.2">
      <c r="C193" s="602" t="str">
        <f>IF('Data Set up'!$J63=$F$182,'Data Set up'!$C63,"")</f>
        <v/>
      </c>
      <c r="D193" s="1565" t="str">
        <f>IF('Data Set up'!$J63=$F$182,'Data Set up'!$D63,"")</f>
        <v/>
      </c>
      <c r="E193" s="1565"/>
      <c r="F193" s="1565"/>
      <c r="G193" s="603" t="str">
        <f>IF('Data Set up'!$J63=$F$182,'Data Set up'!$F63,"")</f>
        <v/>
      </c>
      <c r="H193" s="619"/>
      <c r="P193" s="80"/>
      <c r="Q193" s="80"/>
      <c r="R193" s="80"/>
      <c r="S193" s="80"/>
      <c r="T193" s="80"/>
      <c r="U193" s="80"/>
      <c r="V193" s="144"/>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row>
    <row r="194" spans="3:62" s="1" customFormat="1" ht="25.5" customHeight="1" x14ac:dyDescent="0.2">
      <c r="C194" s="602" t="str">
        <f>IF('Data Set up'!$J64=$F$182,'Data Set up'!$C64,"")</f>
        <v/>
      </c>
      <c r="D194" s="1565" t="str">
        <f>IF('Data Set up'!$J64=$F$182,'Data Set up'!$D64,"")</f>
        <v/>
      </c>
      <c r="E194" s="1565"/>
      <c r="F194" s="1565"/>
      <c r="G194" s="603" t="str">
        <f>IF('Data Set up'!$J64=$F$182,'Data Set up'!$F64,"")</f>
        <v/>
      </c>
      <c r="H194" s="619"/>
      <c r="P194" s="80"/>
      <c r="Q194" s="80"/>
      <c r="R194" s="80"/>
      <c r="S194" s="80"/>
      <c r="T194" s="80"/>
      <c r="U194" s="80"/>
      <c r="V194" s="144"/>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row>
    <row r="195" spans="3:62" s="1" customFormat="1" ht="25.5" customHeight="1" x14ac:dyDescent="0.2">
      <c r="C195" s="602" t="str">
        <f>IF('Data Set up'!$J65=$F$182,'Data Set up'!$C65,"")</f>
        <v/>
      </c>
      <c r="D195" s="1565" t="str">
        <f>IF('Data Set up'!$J65=$F$182,'Data Set up'!$D65,"")</f>
        <v/>
      </c>
      <c r="E195" s="1565"/>
      <c r="F195" s="1565"/>
      <c r="G195" s="603" t="str">
        <f>IF('Data Set up'!$J65=$F$182,'Data Set up'!$F65,"")</f>
        <v/>
      </c>
      <c r="H195" s="619"/>
      <c r="P195" s="80"/>
      <c r="Q195" s="80"/>
      <c r="R195" s="80"/>
      <c r="S195" s="80"/>
      <c r="T195" s="80"/>
      <c r="U195" s="80"/>
      <c r="V195" s="144"/>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row>
    <row r="196" spans="3:62" s="1" customFormat="1" ht="25.5" customHeight="1" x14ac:dyDescent="0.2">
      <c r="C196" s="602" t="str">
        <f>IF('Data Set up'!$J66=$F$182,'Data Set up'!$C66,"")</f>
        <v/>
      </c>
      <c r="D196" s="1565" t="str">
        <f>IF('Data Set up'!$J66=$F$182,'Data Set up'!$D66,"")</f>
        <v/>
      </c>
      <c r="E196" s="1565"/>
      <c r="F196" s="1565"/>
      <c r="G196" s="603" t="str">
        <f>IF('Data Set up'!$J66=$F$182,'Data Set up'!$F66,"")</f>
        <v/>
      </c>
      <c r="H196" s="619"/>
      <c r="P196" s="80"/>
      <c r="Q196" s="80"/>
      <c r="R196" s="80"/>
      <c r="S196" s="80"/>
      <c r="T196" s="80"/>
      <c r="U196" s="80"/>
      <c r="V196" s="144"/>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row>
    <row r="197" spans="3:62" s="1" customFormat="1" ht="25.5" customHeight="1" x14ac:dyDescent="0.2">
      <c r="C197" s="602" t="str">
        <f>IF('Data Set up'!$J67=$F$182,'Data Set up'!$C67,"")</f>
        <v/>
      </c>
      <c r="D197" s="1565" t="str">
        <f>IF('Data Set up'!$J67=$F$182,'Data Set up'!$D67,"")</f>
        <v/>
      </c>
      <c r="E197" s="1565"/>
      <c r="F197" s="1565"/>
      <c r="G197" s="603" t="str">
        <f>IF('Data Set up'!$J67=$F$182,'Data Set up'!$F67,"")</f>
        <v/>
      </c>
      <c r="H197" s="619"/>
      <c r="P197" s="80"/>
      <c r="Q197" s="80"/>
      <c r="R197" s="80"/>
      <c r="S197" s="80"/>
      <c r="T197" s="80"/>
      <c r="U197" s="80"/>
      <c r="V197" s="144"/>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row>
    <row r="198" spans="3:62" s="1" customFormat="1" ht="25.5" customHeight="1" x14ac:dyDescent="0.2">
      <c r="C198" s="602" t="str">
        <f>IF('Data Set up'!$J68=$F$182,'Data Set up'!$C68,"")</f>
        <v/>
      </c>
      <c r="D198" s="1565" t="str">
        <f>IF('Data Set up'!$J68=$F$182,'Data Set up'!$D68,"")</f>
        <v/>
      </c>
      <c r="E198" s="1565"/>
      <c r="F198" s="1565"/>
      <c r="G198" s="603" t="str">
        <f>IF('Data Set up'!$J68=$F$182,'Data Set up'!$F68,"")</f>
        <v/>
      </c>
      <c r="H198" s="619"/>
      <c r="P198" s="80"/>
      <c r="Q198" s="80"/>
      <c r="R198" s="80"/>
      <c r="S198" s="80"/>
      <c r="T198" s="80"/>
      <c r="U198" s="80"/>
      <c r="V198" s="144"/>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row>
    <row r="199" spans="3:62" s="1" customFormat="1" ht="25.5" customHeight="1" x14ac:dyDescent="0.2">
      <c r="C199" s="602" t="str">
        <f>IF('Data Set up'!$J69=$F$182,'Data Set up'!$C69,"")</f>
        <v/>
      </c>
      <c r="D199" s="1565" t="str">
        <f>IF('Data Set up'!$J69=$F$182,'Data Set up'!$D69,"")</f>
        <v/>
      </c>
      <c r="E199" s="1565"/>
      <c r="F199" s="1565"/>
      <c r="G199" s="603" t="str">
        <f>IF('Data Set up'!$J69=$F$182,'Data Set up'!$F69,"")</f>
        <v/>
      </c>
      <c r="H199" s="619"/>
      <c r="P199" s="80"/>
      <c r="Q199" s="80"/>
      <c r="R199" s="80"/>
      <c r="S199" s="80"/>
      <c r="T199" s="80"/>
      <c r="U199" s="80"/>
      <c r="V199" s="144"/>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row>
    <row r="200" spans="3:62" s="1" customFormat="1" ht="25.5" customHeight="1" x14ac:dyDescent="0.2">
      <c r="C200" s="602" t="str">
        <f>IF('Data Set up'!$J70=$F$182,'Data Set up'!$C70,"")</f>
        <v/>
      </c>
      <c r="D200" s="1565" t="str">
        <f>IF('Data Set up'!$J70=$F$182,'Data Set up'!$D70,"")</f>
        <v/>
      </c>
      <c r="E200" s="1565"/>
      <c r="F200" s="1565"/>
      <c r="G200" s="603" t="str">
        <f>IF('Data Set up'!$J70=$F$182,'Data Set up'!$F70,"")</f>
        <v/>
      </c>
      <c r="H200" s="619"/>
      <c r="I200" s="635"/>
      <c r="J200" s="635"/>
      <c r="K200" s="635"/>
      <c r="L200" s="635"/>
      <c r="M200" s="635"/>
      <c r="N200" s="635"/>
      <c r="P200" s="80"/>
      <c r="Q200" s="80"/>
      <c r="R200" s="80"/>
      <c r="S200" s="80"/>
      <c r="T200" s="80"/>
      <c r="U200" s="80"/>
      <c r="V200" s="144"/>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row>
    <row r="201" spans="3:62" s="1" customFormat="1" ht="25.5" customHeight="1" x14ac:dyDescent="0.2">
      <c r="C201" s="602" t="str">
        <f>IF('Data Set up'!$J71=$F$182,'Data Set up'!$C71,"")</f>
        <v/>
      </c>
      <c r="D201" s="1565" t="str">
        <f>IF('Data Set up'!$J71=$F$182,'Data Set up'!$D71,"")</f>
        <v/>
      </c>
      <c r="E201" s="1565"/>
      <c r="F201" s="1565"/>
      <c r="G201" s="603" t="str">
        <f>IF('Data Set up'!$J71=$F$182,'Data Set up'!$F71,"")</f>
        <v/>
      </c>
      <c r="H201" s="619"/>
      <c r="I201" s="620"/>
      <c r="J201" s="635"/>
      <c r="K201" s="635"/>
      <c r="L201" s="635"/>
      <c r="M201" s="635"/>
      <c r="N201" s="636"/>
      <c r="P201" s="80"/>
      <c r="Q201" s="80"/>
      <c r="R201" s="80"/>
      <c r="S201" s="80"/>
      <c r="T201" s="80"/>
      <c r="U201" s="80"/>
      <c r="V201" s="144"/>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row>
    <row r="202" spans="3:62" s="1" customFormat="1" ht="25.5" customHeight="1" x14ac:dyDescent="0.2">
      <c r="C202" s="1564" t="str">
        <f>IF($Q$2=2,"Les chèques de l'année précédente (non traités dans l'année précédente)","Previous Year's Cheques (not processed in prev year)")</f>
        <v>Previous Year's Cheques (not processed in prev year)</v>
      </c>
      <c r="D202" s="1564"/>
      <c r="E202" s="1564"/>
      <c r="F202" s="1564"/>
      <c r="G202" s="1564"/>
      <c r="H202" s="619"/>
      <c r="I202" s="637"/>
      <c r="J202" s="638"/>
      <c r="K202" s="638"/>
      <c r="L202" s="638"/>
      <c r="M202" s="638"/>
      <c r="N202" s="636"/>
      <c r="P202" s="80"/>
      <c r="Q202" s="80"/>
      <c r="R202" s="80"/>
      <c r="S202" s="80"/>
      <c r="T202" s="80"/>
      <c r="U202" s="80"/>
      <c r="V202" s="144"/>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row>
    <row r="203" spans="3:62" s="1" customFormat="1" ht="25.5" customHeight="1" x14ac:dyDescent="0.2">
      <c r="C203" s="606" t="str">
        <f>IF($Q$2=2,"Chèque #","Cheque #")</f>
        <v>Cheque #</v>
      </c>
      <c r="D203" s="1548" t="str">
        <f>IF($Q$2=2,"À l'ordre de","Payable to")</f>
        <v>Payable to</v>
      </c>
      <c r="E203" s="1548"/>
      <c r="F203" s="1548"/>
      <c r="G203" s="607" t="str">
        <f>IF($Q$2=2,"Montant","Amount")</f>
        <v>Amount</v>
      </c>
      <c r="H203" s="620"/>
      <c r="I203" s="639"/>
      <c r="J203" s="638"/>
      <c r="K203" s="638"/>
      <c r="L203" s="638"/>
      <c r="M203" s="638"/>
      <c r="N203" s="636"/>
      <c r="P203" s="80"/>
      <c r="Q203" s="80"/>
      <c r="R203" s="80"/>
      <c r="S203" s="80"/>
      <c r="T203" s="80"/>
      <c r="U203" s="80"/>
      <c r="V203" s="144"/>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row>
    <row r="204" spans="3:62" s="1" customFormat="1" ht="25.5" customHeight="1" x14ac:dyDescent="0.2">
      <c r="C204" s="602" t="str">
        <f>IF('Data Set up'!$J76=$F$182,'Data Set up'!$C76,"")</f>
        <v/>
      </c>
      <c r="D204" s="1565" t="str">
        <f>IF('Data Set up'!$J76=$F$182,'Data Set up'!$D76,"")</f>
        <v/>
      </c>
      <c r="E204" s="1565"/>
      <c r="F204" s="1565"/>
      <c r="G204" s="634" t="str">
        <f>IF('Data Set up'!$J76=$F$182,'Data Set up'!$F76,"")</f>
        <v/>
      </c>
      <c r="H204" s="620"/>
      <c r="I204" s="619"/>
      <c r="J204" s="619"/>
      <c r="K204" s="619"/>
      <c r="L204" s="619"/>
      <c r="M204" s="619"/>
      <c r="N204" s="636"/>
      <c r="P204" s="80"/>
      <c r="Q204" s="80"/>
      <c r="R204" s="80"/>
      <c r="S204" s="80"/>
      <c r="T204" s="80"/>
      <c r="U204" s="80"/>
      <c r="V204" s="144"/>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row>
    <row r="205" spans="3:62" s="1" customFormat="1" ht="25.5" customHeight="1" x14ac:dyDescent="0.2">
      <c r="C205" s="602" t="str">
        <f>IF('Data Set up'!$J77=$F$182,'Data Set up'!$C77,"")</f>
        <v/>
      </c>
      <c r="D205" s="1565" t="str">
        <f>IF('Data Set up'!$J77=$F$182,'Data Set up'!$D77,"")</f>
        <v/>
      </c>
      <c r="E205" s="1565"/>
      <c r="F205" s="1565"/>
      <c r="G205" s="634" t="str">
        <f>IF('Data Set up'!$J77=$F$182,'Data Set up'!$F77,"")</f>
        <v/>
      </c>
      <c r="H205" s="619"/>
      <c r="I205" s="620"/>
      <c r="J205" s="620"/>
      <c r="K205" s="620"/>
      <c r="L205" s="620"/>
      <c r="M205" s="620"/>
      <c r="N205" s="620"/>
      <c r="P205" s="80"/>
      <c r="Q205" s="80"/>
      <c r="R205" s="80"/>
      <c r="S205" s="80"/>
      <c r="T205" s="80"/>
      <c r="U205" s="80"/>
      <c r="V205" s="144"/>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row>
    <row r="206" spans="3:62" s="1" customFormat="1" ht="25.5" customHeight="1" x14ac:dyDescent="0.2">
      <c r="C206" s="602" t="str">
        <f>IF('Data Set up'!$J78=$F$182,'Data Set up'!$C78,"")</f>
        <v/>
      </c>
      <c r="D206" s="1565" t="str">
        <f>IF('Data Set up'!$J78=$F$182,'Data Set up'!$D78,"")</f>
        <v/>
      </c>
      <c r="E206" s="1565"/>
      <c r="F206" s="1565"/>
      <c r="G206" s="634" t="str">
        <f>IF('Data Set up'!$J78=$F$182,'Data Set up'!$F78,"")</f>
        <v/>
      </c>
      <c r="H206" s="619"/>
      <c r="I206" s="640"/>
      <c r="J206" s="635"/>
      <c r="K206" s="635"/>
      <c r="L206" s="635"/>
      <c r="M206" s="635"/>
      <c r="N206" s="635"/>
      <c r="P206" s="80"/>
      <c r="Q206" s="80"/>
      <c r="R206" s="80"/>
      <c r="S206" s="80"/>
      <c r="T206" s="80"/>
      <c r="U206" s="80"/>
      <c r="V206" s="144"/>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row>
    <row r="207" spans="3:62" s="1" customFormat="1" ht="25.5" customHeight="1" x14ac:dyDescent="0.2">
      <c r="C207" s="602" t="str">
        <f>IF('Data Set up'!$J79=$F$182,'Data Set up'!$C79,"")</f>
        <v/>
      </c>
      <c r="D207" s="1565" t="str">
        <f>IF('Data Set up'!$J79=$F$182,'Data Set up'!$E79,"")</f>
        <v/>
      </c>
      <c r="E207" s="1565"/>
      <c r="F207" s="1565"/>
      <c r="G207" s="634" t="str">
        <f>IF('Data Set up'!$J79=$F$182,'Data Set up'!$F79,"")</f>
        <v/>
      </c>
      <c r="H207" s="619"/>
      <c r="I207" s="641"/>
      <c r="J207" s="635"/>
      <c r="K207" s="635"/>
      <c r="L207" s="635"/>
      <c r="M207" s="635"/>
      <c r="N207" s="624"/>
      <c r="P207" s="80"/>
      <c r="Q207" s="80"/>
      <c r="R207" s="80"/>
      <c r="S207" s="80"/>
      <c r="T207" s="80"/>
      <c r="U207" s="80"/>
      <c r="V207" s="144"/>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row>
    <row r="208" spans="3:62" s="1" customFormat="1" ht="25.5" customHeight="1" x14ac:dyDescent="0.2">
      <c r="C208" s="602" t="str">
        <f>IF('Data Set up'!$J80=$F$182,'Data Set up'!$C80,"")</f>
        <v/>
      </c>
      <c r="D208" s="1565" t="str">
        <f>IF('Data Set up'!$J80=$F$182,'Data Set up'!$E80,"")</f>
        <v/>
      </c>
      <c r="E208" s="1565"/>
      <c r="F208" s="1565"/>
      <c r="G208" s="634" t="str">
        <f>IF('Data Set up'!$J80=$F$182,'Data Set up'!$F80,"")</f>
        <v/>
      </c>
      <c r="H208" s="619"/>
      <c r="I208" s="641"/>
      <c r="J208" s="635"/>
      <c r="K208" s="635"/>
      <c r="L208" s="635"/>
      <c r="M208" s="635"/>
      <c r="N208" s="624"/>
      <c r="P208" s="80"/>
      <c r="Q208" s="80"/>
      <c r="R208" s="80"/>
      <c r="S208" s="80"/>
      <c r="T208" s="80"/>
      <c r="U208" s="80"/>
      <c r="V208" s="144"/>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row>
    <row r="209" spans="3:62" s="1" customFormat="1" ht="25.5" customHeight="1" x14ac:dyDescent="0.2">
      <c r="C209" s="602" t="str">
        <f>IF('Data Set up'!$J81=$F$182,'Data Set up'!$C81,"")</f>
        <v/>
      </c>
      <c r="D209" s="1565" t="str">
        <f>IF('Data Set up'!$J81=$F$182,'Data Set up'!$E81,"")</f>
        <v/>
      </c>
      <c r="E209" s="1565"/>
      <c r="F209" s="1565"/>
      <c r="G209" s="634" t="str">
        <f>IF('Data Set up'!$J81=$F$182,'Data Set up'!$F81,"")</f>
        <v/>
      </c>
      <c r="H209" s="619"/>
      <c r="I209" s="641"/>
      <c r="J209" s="1562"/>
      <c r="K209" s="1562"/>
      <c r="L209" s="1562"/>
      <c r="M209" s="1562"/>
      <c r="N209" s="624"/>
      <c r="P209" s="80"/>
      <c r="Q209" s="80"/>
      <c r="R209" s="80"/>
      <c r="S209" s="80"/>
      <c r="T209" s="80"/>
      <c r="U209" s="80"/>
      <c r="V209" s="144"/>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row>
    <row r="210" spans="3:62" s="1" customFormat="1" ht="25.5" customHeight="1" x14ac:dyDescent="0.2">
      <c r="C210" s="602" t="str">
        <f>IF('Data Set up'!$J82=$F$182,'Data Set up'!$C82,"")</f>
        <v/>
      </c>
      <c r="D210" s="1565" t="str">
        <f>IF('Data Set up'!$J82=$F$182,'Data Set up'!$E82,"")</f>
        <v/>
      </c>
      <c r="E210" s="1565"/>
      <c r="F210" s="1565"/>
      <c r="G210" s="634" t="str">
        <f>IF('Data Set up'!$J82=$F$182,'Data Set up'!$F82,"")</f>
        <v/>
      </c>
      <c r="H210" s="619"/>
      <c r="I210" s="641"/>
      <c r="J210" s="1562"/>
      <c r="K210" s="1562"/>
      <c r="L210" s="1562"/>
      <c r="M210" s="1562"/>
      <c r="N210" s="624"/>
      <c r="P210" s="80"/>
      <c r="Q210" s="80"/>
      <c r="R210" s="80"/>
      <c r="S210" s="80"/>
      <c r="T210" s="80"/>
      <c r="U210" s="80"/>
      <c r="V210" s="144"/>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row>
    <row r="211" spans="3:62" s="1" customFormat="1" ht="25.5" customHeight="1" x14ac:dyDescent="0.2">
      <c r="C211" s="602" t="str">
        <f>IF('Data Set up'!$J83=$F$182,'Data Set up'!$C83,"")</f>
        <v/>
      </c>
      <c r="D211" s="1565" t="str">
        <f>IF('Data Set up'!$J83=$F$182,'Data Set up'!$E83,"")</f>
        <v/>
      </c>
      <c r="E211" s="1565"/>
      <c r="F211" s="1565"/>
      <c r="G211" s="634" t="str">
        <f>IF('Data Set up'!$J83=$F$182,'Data Set up'!$F83,"")</f>
        <v/>
      </c>
      <c r="H211" s="619"/>
      <c r="I211" s="642"/>
      <c r="J211" s="1566"/>
      <c r="K211" s="1566"/>
      <c r="L211" s="1566"/>
      <c r="M211" s="1566"/>
      <c r="N211" s="624"/>
      <c r="P211" s="80"/>
      <c r="Q211" s="80"/>
      <c r="R211" s="80"/>
      <c r="S211" s="80"/>
      <c r="T211" s="80"/>
      <c r="U211" s="80"/>
      <c r="V211" s="144"/>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row>
    <row r="212" spans="3:62" s="1" customFormat="1" ht="25.5" customHeight="1" x14ac:dyDescent="0.2">
      <c r="C212" s="602" t="str">
        <f>IF('Data Set up'!$J84=$F$182,'Data Set up'!$C84,"")</f>
        <v/>
      </c>
      <c r="D212" s="1565" t="str">
        <f>IF('Data Set up'!$J84=$F$182,'Data Set up'!$E84,"")</f>
        <v/>
      </c>
      <c r="E212" s="1565"/>
      <c r="F212" s="1565"/>
      <c r="G212" s="634" t="str">
        <f>IF('Data Set up'!$J84=$F$182,'Data Set up'!$F84,"")</f>
        <v/>
      </c>
      <c r="H212" s="619"/>
      <c r="I212" s="644"/>
      <c r="J212" s="1566"/>
      <c r="K212" s="1566"/>
      <c r="L212" s="1566"/>
      <c r="M212" s="1566"/>
      <c r="N212" s="624"/>
      <c r="P212" s="80"/>
      <c r="Q212" s="80"/>
      <c r="R212" s="80"/>
      <c r="S212" s="80"/>
      <c r="T212" s="80"/>
      <c r="U212" s="80"/>
      <c r="V212" s="144"/>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row>
    <row r="213" spans="3:62" s="1" customFormat="1" ht="25.5" customHeight="1" x14ac:dyDescent="0.2">
      <c r="C213" s="602" t="str">
        <f>IF('Data Set up'!$J85=$F$182,'Data Set up'!$C85,"")</f>
        <v/>
      </c>
      <c r="D213" s="1565" t="str">
        <f>IF('Data Set up'!$J85=$F$182,'Data Set up'!$E85,"")</f>
        <v/>
      </c>
      <c r="E213" s="1565"/>
      <c r="F213" s="1565"/>
      <c r="G213" s="634" t="str">
        <f>IF('Data Set up'!$J85=$F$182,'Data Set up'!$F85,"")</f>
        <v/>
      </c>
      <c r="H213" s="619"/>
      <c r="I213" s="642"/>
      <c r="J213" s="1566"/>
      <c r="K213" s="1566"/>
      <c r="L213" s="1566"/>
      <c r="M213" s="1566"/>
      <c r="N213" s="624"/>
      <c r="P213" s="80"/>
      <c r="Q213" s="80"/>
      <c r="R213" s="80"/>
      <c r="S213" s="80"/>
      <c r="T213" s="80"/>
      <c r="U213" s="80"/>
      <c r="V213" s="144"/>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row>
    <row r="214" spans="3:62" s="1" customFormat="1" ht="25.5" customHeight="1" x14ac:dyDescent="0.2">
      <c r="C214" s="602" t="str">
        <f>IF('Data Set up'!$J86=$F$182,'Data Set up'!$C86,"")</f>
        <v/>
      </c>
      <c r="D214" s="1565" t="str">
        <f>IF('Data Set up'!$J86=$F$182,'Data Set up'!$E86,"")</f>
        <v/>
      </c>
      <c r="E214" s="1565"/>
      <c r="F214" s="1565"/>
      <c r="G214" s="634" t="str">
        <f>IF('Data Set up'!$J86=$F$182,'Data Set up'!$F86,"")</f>
        <v/>
      </c>
      <c r="H214" s="619"/>
      <c r="I214" s="642"/>
      <c r="J214" s="1567"/>
      <c r="K214" s="1567"/>
      <c r="L214" s="1567"/>
      <c r="M214" s="1567"/>
      <c r="N214" s="624"/>
      <c r="P214" s="80"/>
      <c r="Q214" s="80"/>
      <c r="R214" s="80"/>
      <c r="S214" s="80"/>
      <c r="T214" s="80"/>
      <c r="U214" s="80"/>
      <c r="V214" s="144"/>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row>
    <row r="215" spans="3:62" s="1" customFormat="1" ht="25.5" customHeight="1" x14ac:dyDescent="0.2">
      <c r="C215" s="602" t="str">
        <f>IF('Data Set up'!$J87=$F$182,'Data Set up'!$C87,"")</f>
        <v/>
      </c>
      <c r="D215" s="1565" t="str">
        <f>IF('Data Set up'!$J87=$F$182,'Data Set up'!$E87,"")</f>
        <v/>
      </c>
      <c r="E215" s="1565"/>
      <c r="F215" s="1565"/>
      <c r="G215" s="634" t="str">
        <f>IF('Data Set up'!$J87=$F$182,'Data Set up'!$F87,"")</f>
        <v/>
      </c>
      <c r="H215" s="619"/>
      <c r="I215" s="620"/>
      <c r="J215" s="1562"/>
      <c r="K215" s="1562"/>
      <c r="L215" s="1562"/>
      <c r="M215" s="1562"/>
      <c r="N215" s="624"/>
      <c r="P215" s="80"/>
      <c r="Q215" s="80"/>
      <c r="R215" s="80"/>
      <c r="S215" s="80"/>
      <c r="T215" s="80"/>
      <c r="U215" s="80"/>
      <c r="V215" s="144"/>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row>
    <row r="216" spans="3:62" s="1" customFormat="1" ht="25.5" customHeight="1" x14ac:dyDescent="0.2">
      <c r="C216" s="602" t="str">
        <f>IF('Data Set up'!$J88=$F$182,'Data Set up'!$C88,"")</f>
        <v/>
      </c>
      <c r="D216" s="1565" t="str">
        <f>IF('Data Set up'!$J88=$F$182,'Data Set up'!$E88,"")</f>
        <v/>
      </c>
      <c r="E216" s="1565"/>
      <c r="F216" s="1565"/>
      <c r="G216" s="634" t="str">
        <f>IF('Data Set up'!$J88=$F$182,'Data Set up'!$F88,"")</f>
        <v/>
      </c>
      <c r="H216" s="619"/>
      <c r="I216" s="620"/>
      <c r="J216" s="1562"/>
      <c r="K216" s="1562"/>
      <c r="L216" s="1562"/>
      <c r="M216" s="1562"/>
      <c r="N216" s="624"/>
      <c r="P216" s="80"/>
      <c r="Q216" s="80"/>
      <c r="R216" s="80"/>
      <c r="S216" s="80"/>
      <c r="T216" s="80"/>
      <c r="U216" s="80"/>
      <c r="V216" s="144"/>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0"/>
      <c r="BH216" s="80"/>
      <c r="BI216" s="80"/>
      <c r="BJ216" s="80"/>
    </row>
    <row r="217" spans="3:62" s="1" customFormat="1" ht="25.5" customHeight="1" x14ac:dyDescent="0.2">
      <c r="C217" s="1554" t="str">
        <f>IF($Q$2=2,"Montant non-comptabilisé de l'année précédente","Previous Year's non-accounted Amount")</f>
        <v>Previous Year's non-accounted Amount</v>
      </c>
      <c r="D217" s="1554"/>
      <c r="E217" s="1554"/>
      <c r="F217" s="1554"/>
      <c r="G217" s="621">
        <f>SUM(G189:G201)-SUM(G204:G216)</f>
        <v>0</v>
      </c>
      <c r="H217" s="619"/>
      <c r="I217" s="629"/>
      <c r="J217" s="1562"/>
      <c r="K217" s="1562"/>
      <c r="L217" s="1562"/>
      <c r="M217" s="1562"/>
      <c r="N217" s="624"/>
      <c r="P217" s="80"/>
      <c r="Q217" s="80"/>
      <c r="R217" s="80"/>
      <c r="S217" s="80"/>
      <c r="T217" s="80"/>
      <c r="U217" s="80"/>
      <c r="V217" s="144"/>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row>
    <row r="218" spans="3:62" s="1" customFormat="1" ht="25.5" customHeight="1" x14ac:dyDescent="0.2">
      <c r="C218" s="1537" t="str">
        <f>IF($Q$2=2,F182&amp;" Fonds disponible du compte",F182&amp;" Account Available Funds")</f>
        <v>1220 Account Available Funds</v>
      </c>
      <c r="D218" s="1537"/>
      <c r="E218" s="1537"/>
      <c r="F218" s="1537"/>
      <c r="G218" s="646"/>
      <c r="H218" s="619"/>
      <c r="I218" s="620"/>
      <c r="J218" s="1562"/>
      <c r="K218" s="1562"/>
      <c r="L218" s="1562"/>
      <c r="M218" s="1562"/>
      <c r="N218" s="624"/>
      <c r="P218" s="80"/>
      <c r="Q218" s="80"/>
      <c r="R218" s="80"/>
      <c r="S218" s="80"/>
      <c r="T218" s="80"/>
      <c r="U218" s="80"/>
      <c r="V218" s="144"/>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row>
    <row r="219" spans="3:62" s="1" customFormat="1" ht="25.5" customHeight="1" x14ac:dyDescent="0.2">
      <c r="C219" s="1558" t="str">
        <f>IF($Q$2=2,"Solde reporté à la ligne "&amp;F182&amp;" du Bilan - page 6","This balance fwrd'd to line "&amp;F182&amp;" of Balance Sheet -  page 6")</f>
        <v>This balance fwrd'd to line 1220 of Balance Sheet -  page 6</v>
      </c>
      <c r="D219" s="1558"/>
      <c r="E219" s="1558"/>
      <c r="F219" s="1558"/>
      <c r="G219" s="590">
        <f>IF(AND(SUM(G183+G184-G185+G217)&lt;0.001,SUM(G183+G184-G185+G217)&gt;-0.001),0,SUM(G183+G184-G185+G217))</f>
        <v>0</v>
      </c>
      <c r="H219" s="625"/>
      <c r="I219" s="619"/>
      <c r="J219" s="620"/>
      <c r="K219" s="620"/>
      <c r="L219" s="620"/>
      <c r="M219" s="626"/>
      <c r="N219" s="627">
        <f>N189</f>
        <v>0</v>
      </c>
      <c r="P219" s="80"/>
      <c r="Q219" s="80"/>
      <c r="R219" s="80"/>
      <c r="S219" s="80"/>
      <c r="T219" s="80"/>
      <c r="U219" s="80"/>
      <c r="V219" s="144"/>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0"/>
      <c r="BH219" s="80"/>
      <c r="BI219" s="80"/>
      <c r="BJ219" s="80"/>
    </row>
    <row r="220" spans="3:62" s="1" customFormat="1" ht="9.75" customHeight="1" x14ac:dyDescent="0.2">
      <c r="C220" s="619"/>
      <c r="D220" s="619"/>
      <c r="E220" s="619"/>
      <c r="F220" s="628"/>
      <c r="G220" s="619"/>
      <c r="H220" s="619"/>
      <c r="I220" s="619"/>
      <c r="J220" s="620"/>
      <c r="K220" s="619"/>
      <c r="L220" s="619"/>
      <c r="M220" s="629"/>
      <c r="N220" s="619"/>
      <c r="P220" s="80"/>
      <c r="Q220" s="80"/>
      <c r="R220" s="80"/>
      <c r="S220" s="80"/>
      <c r="T220" s="80"/>
      <c r="U220" s="80"/>
      <c r="V220" s="144"/>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0"/>
      <c r="BH220" s="80"/>
      <c r="BI220" s="80"/>
      <c r="BJ220" s="80"/>
    </row>
    <row r="221" spans="3:62" s="1" customFormat="1" ht="9.75" customHeight="1" x14ac:dyDescent="0.2">
      <c r="C221" s="355"/>
      <c r="D221" s="355"/>
      <c r="E221" s="355"/>
      <c r="F221" s="355"/>
      <c r="G221" s="355"/>
      <c r="H221" s="355"/>
      <c r="I221" s="355"/>
      <c r="J221" s="355"/>
      <c r="K221" s="355"/>
      <c r="L221" s="355"/>
      <c r="M221" s="355"/>
      <c r="N221" s="619"/>
      <c r="P221" s="80"/>
      <c r="Q221" s="80"/>
      <c r="R221" s="80"/>
      <c r="S221" s="80"/>
      <c r="T221" s="80"/>
      <c r="U221" s="80"/>
      <c r="V221" s="144"/>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c r="AW221" s="80"/>
      <c r="AX221" s="80"/>
      <c r="AY221" s="80"/>
      <c r="AZ221" s="80"/>
      <c r="BA221" s="80"/>
      <c r="BB221" s="80"/>
      <c r="BC221" s="80"/>
      <c r="BD221" s="80"/>
      <c r="BE221" s="80"/>
      <c r="BF221" s="80"/>
      <c r="BG221" s="80"/>
      <c r="BH221" s="80"/>
      <c r="BI221" s="80"/>
      <c r="BJ221" s="80"/>
    </row>
    <row r="222" spans="3:62" s="1" customFormat="1" ht="44.25" customHeight="1" x14ac:dyDescent="0.2">
      <c r="C222" s="1563"/>
      <c r="D222" s="1563"/>
      <c r="E222" s="1563"/>
      <c r="F222" s="1563"/>
      <c r="G222" s="595">
        <f>IF(AND(G219-N219&lt;0.001,G219-N219&gt;-0.001),0,G219-N219)</f>
        <v>0</v>
      </c>
      <c r="H222" s="1540" t="str">
        <f>IF($Q$2=2,IF(G222=0,$T$7,$T$5),IF(G222=0,$T$8,$T$6))</f>
        <v>Books and Statements balance.</v>
      </c>
      <c r="I222" s="1540"/>
      <c r="J222" s="1540"/>
      <c r="K222" s="1540"/>
      <c r="L222" s="1540"/>
      <c r="M222" s="1540"/>
      <c r="N222" s="1540"/>
      <c r="P222" s="80"/>
      <c r="Q222" s="80"/>
      <c r="R222" s="80"/>
      <c r="S222" s="80"/>
      <c r="T222" s="80"/>
      <c r="U222" s="80"/>
      <c r="V222" s="144"/>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c r="BH222" s="80"/>
      <c r="BI222" s="80"/>
      <c r="BJ222" s="80"/>
    </row>
    <row r="223" spans="3:62" s="1" customFormat="1" ht="33" customHeight="1" x14ac:dyDescent="0.2">
      <c r="C223" s="630"/>
      <c r="D223" s="630"/>
      <c r="E223" s="630"/>
      <c r="F223" s="630"/>
      <c r="G223" s="631"/>
      <c r="H223" s="597"/>
      <c r="I223" s="597"/>
      <c r="J223" s="597"/>
      <c r="K223" s="597"/>
      <c r="L223" s="597"/>
      <c r="M223" s="597"/>
      <c r="N223" s="597"/>
      <c r="P223" s="80"/>
      <c r="Q223" s="80"/>
      <c r="R223" s="80"/>
      <c r="S223" s="80"/>
      <c r="T223" s="80"/>
      <c r="U223" s="80"/>
      <c r="V223" s="144"/>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row>
    <row r="224" spans="3:62" ht="18.75" customHeight="1" x14ac:dyDescent="0.2">
      <c r="C224" s="1541"/>
      <c r="D224" s="1541"/>
      <c r="E224" s="1541"/>
      <c r="F224" s="1541"/>
      <c r="G224" s="1541"/>
      <c r="H224" s="1541"/>
      <c r="I224" s="1541"/>
      <c r="J224" s="1541"/>
      <c r="K224" s="1541"/>
      <c r="L224" s="1541"/>
      <c r="M224" s="1541"/>
      <c r="N224" s="1541"/>
    </row>
    <row r="225" spans="3:62" s="1" customFormat="1" ht="40.5" customHeight="1" x14ac:dyDescent="0.2">
      <c r="D225" s="1528" t="str">
        <f>IF($Q$2,"Réconciliation détaillée du compte "&amp;F227&amp;" - "&amp;C227,"Detailed Reconciliation of the Account "&amp;F227&amp;" - "&amp;C227)</f>
        <v>Réconciliation détaillée du compte 1230 - Available (Rename)</v>
      </c>
      <c r="E225" s="1528"/>
      <c r="F225" s="1528"/>
      <c r="G225" s="1528"/>
      <c r="H225" s="1528"/>
      <c r="I225" s="1528"/>
      <c r="J225" s="1528"/>
      <c r="K225" s="1528"/>
      <c r="L225" s="1528"/>
      <c r="M225" s="1528"/>
      <c r="N225" s="577"/>
      <c r="P225" s="80"/>
      <c r="Q225" s="80"/>
      <c r="R225" s="80"/>
      <c r="S225" s="80"/>
      <c r="T225" s="80"/>
      <c r="U225" s="80"/>
      <c r="V225" s="144"/>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0"/>
      <c r="BH225" s="80"/>
      <c r="BI225" s="80"/>
      <c r="BJ225" s="80"/>
    </row>
    <row r="226" spans="3:62" s="1" customFormat="1" ht="29.25" customHeight="1" x14ac:dyDescent="0.2">
      <c r="C226" s="1529" t="str">
        <f>IF($Q$2=2,"Réconciliation selon les livres comptables","Reconciliation as per BookKeeping")</f>
        <v>Reconciliation as per BookKeeping</v>
      </c>
      <c r="D226" s="1529"/>
      <c r="E226" s="1529"/>
      <c r="F226" s="1529"/>
      <c r="G226" s="1529"/>
      <c r="H226" s="619"/>
      <c r="I226" s="1529" t="str">
        <f>IF($Q$2=2,"Réconciliation selon l'état de compte","Reconciliation as per Account Statement")</f>
        <v>Reconciliation as per Account Statement</v>
      </c>
      <c r="J226" s="1529"/>
      <c r="K226" s="1529"/>
      <c r="L226" s="1529"/>
      <c r="M226" s="1529"/>
      <c r="N226" s="578" t="str">
        <f>F227</f>
        <v>1230</v>
      </c>
      <c r="P226" s="579"/>
      <c r="Q226" s="579"/>
      <c r="R226" s="579"/>
      <c r="S226" s="579"/>
      <c r="T226" s="579"/>
      <c r="U226" s="579"/>
      <c r="V226" s="47"/>
      <c r="W226" s="579"/>
      <c r="X226" s="579"/>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c r="AW226" s="80"/>
      <c r="AX226" s="80"/>
      <c r="AY226" s="80"/>
      <c r="AZ226" s="80"/>
      <c r="BA226" s="80"/>
      <c r="BB226" s="80"/>
      <c r="BC226" s="80"/>
      <c r="BD226" s="80"/>
      <c r="BE226" s="80"/>
      <c r="BF226" s="80"/>
      <c r="BG226" s="80"/>
      <c r="BH226" s="80"/>
      <c r="BI226" s="80"/>
      <c r="BJ226" s="80"/>
    </row>
    <row r="227" spans="3:62" s="1" customFormat="1" ht="25.5" customHeight="1" x14ac:dyDescent="0.2">
      <c r="C227" s="1542" t="str">
        <f>'Data Set up'!I27</f>
        <v>Available (Rename)</v>
      </c>
      <c r="D227" s="1542"/>
      <c r="E227" s="1542"/>
      <c r="F227" s="580" t="str">
        <f>LEFT('Data Set up'!H27,4)</f>
        <v>1230</v>
      </c>
      <c r="G227" s="620"/>
      <c r="H227" s="619"/>
      <c r="I227" s="1560"/>
      <c r="J227" s="1560"/>
      <c r="K227" s="1560"/>
      <c r="L227" s="1560"/>
      <c r="M227" s="1560"/>
      <c r="N227" s="1560"/>
      <c r="P227" s="80"/>
      <c r="Q227" s="80"/>
      <c r="R227" s="80"/>
      <c r="S227" s="80"/>
      <c r="T227" s="80"/>
      <c r="U227" s="80"/>
      <c r="V227" s="144"/>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c r="AW227" s="80"/>
      <c r="AX227" s="80"/>
      <c r="AY227" s="80"/>
      <c r="AZ227" s="80"/>
      <c r="BA227" s="80"/>
      <c r="BB227" s="80"/>
      <c r="BC227" s="80"/>
      <c r="BD227" s="80"/>
      <c r="BE227" s="80"/>
      <c r="BF227" s="80"/>
      <c r="BG227" s="80"/>
      <c r="BH227" s="80"/>
      <c r="BI227" s="80"/>
      <c r="BJ227" s="80"/>
    </row>
    <row r="228" spans="3:62" s="1" customFormat="1" ht="25.5" customHeight="1" x14ac:dyDescent="0.2">
      <c r="C228" s="1532" t="str">
        <f>IF($Q$2=2,"Solde du compte au ","Account Balance on ")</f>
        <v xml:space="preserve">Account Balance on </v>
      </c>
      <c r="D228" s="1532"/>
      <c r="E228" s="1532"/>
      <c r="F228" s="581" t="str">
        <f>'Data Set up'!$F$40&amp;" "&amp;'Data Set up'!$G$40&amp;" "&amp;'Data Set up'!$F$39</f>
        <v>31 August 2023</v>
      </c>
      <c r="G228" s="621">
        <f>'Data Set up'!F27</f>
        <v>0</v>
      </c>
      <c r="H228" s="619"/>
      <c r="I228" s="1533" t="str">
        <f>IF($Q$2=2,"Solde au compte en fin d'exercice","End of Year Account Balance")</f>
        <v>End of Year Account Balance</v>
      </c>
      <c r="J228" s="1533"/>
      <c r="K228" s="1533"/>
      <c r="L228" s="1533"/>
      <c r="M228" s="1533"/>
      <c r="N228" s="583">
        <v>0</v>
      </c>
      <c r="P228" s="80"/>
      <c r="Q228" s="1534" t="str">
        <f>IF($Q$2=2,"Inscrivez le solde ici","Insert the Balance here")</f>
        <v>Insert the Balance here</v>
      </c>
      <c r="R228" s="1534"/>
      <c r="S228" s="1534"/>
      <c r="T228" s="80"/>
      <c r="U228" s="585">
        <f>N228*1</f>
        <v>0</v>
      </c>
      <c r="V228" s="144"/>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0"/>
      <c r="BH228" s="80"/>
      <c r="BI228" s="80"/>
      <c r="BJ228" s="80"/>
    </row>
    <row r="229" spans="3:62" s="1" customFormat="1" ht="25.5" customHeight="1" x14ac:dyDescent="0.2">
      <c r="C229" s="1535" t="str">
        <f>IF($Q$2=2,"Plus: Accroissements (Jrnl des revenus)","Plus: Increase (Revenue Jrnl)")</f>
        <v>Plus: Increase (Revenue Jrnl)</v>
      </c>
      <c r="D229" s="1535"/>
      <c r="E229" s="1535"/>
      <c r="F229" s="1535"/>
      <c r="G229" s="621">
        <f>'Revenue Jrnl'!G532</f>
        <v>0</v>
      </c>
      <c r="H229" s="620"/>
      <c r="I229" s="1560"/>
      <c r="J229" s="1560"/>
      <c r="K229" s="1560"/>
      <c r="L229" s="1560"/>
      <c r="M229" s="1560"/>
      <c r="N229" s="1560"/>
      <c r="P229" s="80"/>
      <c r="Q229" s="80"/>
      <c r="R229" s="80"/>
      <c r="S229" s="80"/>
      <c r="T229" s="80"/>
      <c r="U229" s="80"/>
      <c r="V229" s="144"/>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0"/>
      <c r="BH229" s="80"/>
      <c r="BI229" s="80"/>
      <c r="BJ229" s="80"/>
    </row>
    <row r="230" spans="3:62" s="1" customFormat="1" ht="25.5" customHeight="1" x14ac:dyDescent="0.2">
      <c r="C230" s="1535" t="str">
        <f>IF($Q$2=2," Moins: Décroissements (Jrnl des dépenses)","Less: Decreases (Expense Jrnl)")</f>
        <v>Less: Decreases (Expense Jrnl)</v>
      </c>
      <c r="D230" s="1535"/>
      <c r="E230" s="1535"/>
      <c r="F230" s="1535"/>
      <c r="G230" s="621">
        <f>'Expense Jrnl'!G532</f>
        <v>0</v>
      </c>
      <c r="H230" s="619"/>
      <c r="I230" s="1545" t="str">
        <f>IF($Q$2=2,"Plus: Encaissements faits mais pas réconciliés","Plus: Cashing made but not reconciled")</f>
        <v>Plus: Cashing made but not reconciled</v>
      </c>
      <c r="J230" s="1545"/>
      <c r="K230" s="1545"/>
      <c r="L230" s="1545"/>
      <c r="M230" s="1545"/>
      <c r="N230" s="633">
        <f>'Revenue Jrnl'!H532</f>
        <v>0</v>
      </c>
      <c r="P230" s="80"/>
      <c r="Q230" s="80"/>
      <c r="R230" s="80"/>
      <c r="S230" s="80"/>
      <c r="T230" s="80"/>
      <c r="U230" s="80"/>
      <c r="V230" s="144"/>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0"/>
      <c r="BH230" s="80"/>
      <c r="BI230" s="80"/>
      <c r="BJ230" s="80"/>
    </row>
    <row r="231" spans="3:62" s="1" customFormat="1" ht="25.5" customHeight="1" x14ac:dyDescent="0.2">
      <c r="C231" s="1561"/>
      <c r="D231" s="1561"/>
      <c r="E231" s="1561"/>
      <c r="F231" s="1561"/>
      <c r="G231" s="619"/>
      <c r="H231" s="620"/>
      <c r="I231" s="1560"/>
      <c r="J231" s="1560"/>
      <c r="K231" s="1560"/>
      <c r="L231" s="1560"/>
      <c r="M231" s="1560"/>
      <c r="N231" s="1560"/>
      <c r="P231" s="80"/>
      <c r="Q231" s="80"/>
      <c r="R231" s="80"/>
      <c r="S231" s="80"/>
      <c r="T231" s="80"/>
      <c r="U231" s="80"/>
      <c r="V231" s="144"/>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0"/>
      <c r="BH231" s="80"/>
      <c r="BI231" s="80"/>
      <c r="BJ231" s="80"/>
    </row>
    <row r="232" spans="3:62" s="1" customFormat="1" ht="25.5" customHeight="1" x14ac:dyDescent="0.2">
      <c r="C232" s="1564" t="str">
        <f>IF($Q$2=2,"Les dépôts de l'année précédente (non traités dans l'année précédente)","Previous Year's Deposits (not processed in prev year)")</f>
        <v>Previous Year's Deposits (not processed in prev year)</v>
      </c>
      <c r="D232" s="1564"/>
      <c r="E232" s="1564"/>
      <c r="F232" s="1564"/>
      <c r="G232" s="1564"/>
      <c r="H232" s="619"/>
      <c r="I232" s="1547" t="str">
        <f>IF($Q$2=2,"Moins: Décaissements émis mais non encore enr.","Less: Disbursements made but not processed")</f>
        <v>Less: Disbursements made but not processed</v>
      </c>
      <c r="J232" s="1547"/>
      <c r="K232" s="1547"/>
      <c r="L232" s="1547"/>
      <c r="M232" s="1547"/>
      <c r="N232" s="633">
        <f>'Expense Jrnl'!H532</f>
        <v>0</v>
      </c>
      <c r="P232" s="80"/>
      <c r="Q232" s="80"/>
      <c r="R232" s="80"/>
      <c r="S232" s="80"/>
      <c r="T232" s="80"/>
      <c r="U232" s="80"/>
      <c r="V232" s="144"/>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0"/>
      <c r="BH232" s="80"/>
      <c r="BI232" s="80"/>
      <c r="BJ232" s="80"/>
    </row>
    <row r="233" spans="3:62" s="1" customFormat="1" ht="25.5" customHeight="1" x14ac:dyDescent="0.2">
      <c r="C233" s="601" t="str">
        <f>IF($Q$2=2,"No.de Réf","Ref No.")</f>
        <v>Ref No.</v>
      </c>
      <c r="D233" s="1548" t="str">
        <f>IF($Q$2=2,"Détails","Details")</f>
        <v>Details</v>
      </c>
      <c r="E233" s="1548"/>
      <c r="F233" s="1548"/>
      <c r="G233" s="601" t="str">
        <f>IF($Q$2=2,"Montant","Amount")</f>
        <v>Amount</v>
      </c>
      <c r="H233" s="619"/>
      <c r="I233" s="1560"/>
      <c r="J233" s="1560"/>
      <c r="K233" s="1560"/>
      <c r="L233" s="1560"/>
      <c r="M233" s="1560"/>
      <c r="N233" s="1560"/>
      <c r="P233" s="80"/>
      <c r="Q233" s="80"/>
      <c r="R233" s="80"/>
      <c r="S233" s="80"/>
      <c r="T233" s="80"/>
      <c r="U233" s="80"/>
      <c r="V233" s="144"/>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0"/>
      <c r="BH233" s="80"/>
      <c r="BI233" s="80"/>
      <c r="BJ233" s="80"/>
    </row>
    <row r="234" spans="3:62" s="1" customFormat="1" ht="25.5" customHeight="1" x14ac:dyDescent="0.2">
      <c r="C234" s="602" t="str">
        <f>IF('Data Set up'!$J59=$F$227,'Data Set up'!$C59,"")</f>
        <v/>
      </c>
      <c r="D234" s="1565" t="str">
        <f>IF('Data Set up'!$J59=$F$227,'Data Set up'!$D59,"")</f>
        <v/>
      </c>
      <c r="E234" s="1565"/>
      <c r="F234" s="1565"/>
      <c r="G234" s="634" t="str">
        <f>IF('Data Set up'!$J59=$F$227,'Data Set up'!$F59,"")</f>
        <v/>
      </c>
      <c r="H234" s="619"/>
      <c r="I234" s="1547" t="str">
        <f>IF($Q$2=2,"Solde disponible actuel du compte (reconcilié)","Actual Account balance available (reconciled)")</f>
        <v>Actual Account balance available (reconciled)</v>
      </c>
      <c r="J234" s="1547"/>
      <c r="K234" s="1547"/>
      <c r="L234" s="1547"/>
      <c r="M234" s="1547"/>
      <c r="N234" s="627">
        <f>N228+N230-N232</f>
        <v>0</v>
      </c>
      <c r="P234" s="80"/>
      <c r="Q234" s="80"/>
      <c r="R234" s="80"/>
      <c r="S234" s="80"/>
      <c r="T234" s="80"/>
      <c r="U234" s="80"/>
      <c r="V234" s="144"/>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0"/>
      <c r="BH234" s="80"/>
      <c r="BI234" s="80"/>
      <c r="BJ234" s="80"/>
    </row>
    <row r="235" spans="3:62" s="1" customFormat="1" ht="25.5" customHeight="1" x14ac:dyDescent="0.2">
      <c r="C235" s="602" t="str">
        <f>IF('Data Set up'!$J60=$F$227,'Data Set up'!$C60,"")</f>
        <v/>
      </c>
      <c r="D235" s="1565" t="str">
        <f>IF('Data Set up'!$J60=$F$227,'Data Set up'!$D60,"")</f>
        <v/>
      </c>
      <c r="E235" s="1565"/>
      <c r="F235" s="1565"/>
      <c r="G235" s="634" t="str">
        <f>IF('Data Set up'!$J60=$F$227,'Data Set up'!$F60,"")</f>
        <v/>
      </c>
      <c r="H235" s="619"/>
      <c r="P235" s="80"/>
      <c r="Q235" s="80"/>
      <c r="R235" s="80"/>
      <c r="S235" s="80"/>
      <c r="T235" s="80"/>
      <c r="U235" s="80"/>
      <c r="V235" s="144"/>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0"/>
      <c r="BH235" s="80"/>
      <c r="BI235" s="80"/>
      <c r="BJ235" s="80"/>
    </row>
    <row r="236" spans="3:62" s="1" customFormat="1" ht="25.5" customHeight="1" x14ac:dyDescent="0.2">
      <c r="C236" s="602" t="str">
        <f>IF('Data Set up'!$J61=$F$227,'Data Set up'!$C61,"")</f>
        <v/>
      </c>
      <c r="D236" s="1565" t="str">
        <f>IF('Data Set up'!$J61=$F$227,'Data Set up'!$D61,"")</f>
        <v/>
      </c>
      <c r="E236" s="1565"/>
      <c r="F236" s="1565"/>
      <c r="G236" s="634" t="str">
        <f>IF('Data Set up'!$J61=$F$227,'Data Set up'!$F61,"")</f>
        <v/>
      </c>
      <c r="H236" s="619"/>
      <c r="P236" s="80"/>
      <c r="Q236" s="80"/>
      <c r="R236" s="80"/>
      <c r="S236" s="80"/>
      <c r="T236" s="80"/>
      <c r="U236" s="80"/>
      <c r="V236" s="144"/>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c r="AV236" s="80"/>
      <c r="AW236" s="80"/>
      <c r="AX236" s="80"/>
      <c r="AY236" s="80"/>
      <c r="AZ236" s="80"/>
      <c r="BA236" s="80"/>
      <c r="BB236" s="80"/>
      <c r="BC236" s="80"/>
      <c r="BD236" s="80"/>
      <c r="BE236" s="80"/>
      <c r="BF236" s="80"/>
      <c r="BG236" s="80"/>
      <c r="BH236" s="80"/>
      <c r="BI236" s="80"/>
      <c r="BJ236" s="80"/>
    </row>
    <row r="237" spans="3:62" s="1" customFormat="1" ht="25.5" customHeight="1" x14ac:dyDescent="0.2">
      <c r="C237" s="602" t="str">
        <f>IF('Data Set up'!$J62=$F$227,'Data Set up'!$C62,"")</f>
        <v/>
      </c>
      <c r="D237" s="1565" t="str">
        <f>IF('Data Set up'!$J62=$F$227,'Data Set up'!$D62,"")</f>
        <v/>
      </c>
      <c r="E237" s="1565"/>
      <c r="F237" s="1565"/>
      <c r="G237" s="634" t="str">
        <f>IF('Data Set up'!$J62=$F$227,'Data Set up'!$F62,"")</f>
        <v/>
      </c>
      <c r="H237" s="619"/>
      <c r="P237" s="80"/>
      <c r="Q237" s="80"/>
      <c r="R237" s="80"/>
      <c r="S237" s="80"/>
      <c r="T237" s="80"/>
      <c r="U237" s="80"/>
      <c r="V237" s="144"/>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c r="AV237" s="80"/>
      <c r="AW237" s="80"/>
      <c r="AX237" s="80"/>
      <c r="AY237" s="80"/>
      <c r="AZ237" s="80"/>
      <c r="BA237" s="80"/>
      <c r="BB237" s="80"/>
      <c r="BC237" s="80"/>
      <c r="BD237" s="80"/>
      <c r="BE237" s="80"/>
      <c r="BF237" s="80"/>
      <c r="BG237" s="80"/>
      <c r="BH237" s="80"/>
      <c r="BI237" s="80"/>
      <c r="BJ237" s="80"/>
    </row>
    <row r="238" spans="3:62" s="1" customFormat="1" ht="25.5" customHeight="1" x14ac:dyDescent="0.2">
      <c r="C238" s="602" t="str">
        <f>IF('Data Set up'!$J63=$F$227,'Data Set up'!$C63,"")</f>
        <v/>
      </c>
      <c r="D238" s="1565" t="str">
        <f>IF('Data Set up'!$J63=$F$227,'Data Set up'!$D63,"")</f>
        <v/>
      </c>
      <c r="E238" s="1565"/>
      <c r="F238" s="1565"/>
      <c r="G238" s="634" t="str">
        <f>IF('Data Set up'!$J63=$F$227,'Data Set up'!$F63,"")</f>
        <v/>
      </c>
      <c r="H238" s="619"/>
      <c r="P238" s="80"/>
      <c r="Q238" s="80"/>
      <c r="R238" s="80"/>
      <c r="S238" s="80"/>
      <c r="T238" s="80"/>
      <c r="U238" s="80"/>
      <c r="V238" s="144"/>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c r="AW238" s="80"/>
      <c r="AX238" s="80"/>
      <c r="AY238" s="80"/>
      <c r="AZ238" s="80"/>
      <c r="BA238" s="80"/>
      <c r="BB238" s="80"/>
      <c r="BC238" s="80"/>
      <c r="BD238" s="80"/>
      <c r="BE238" s="80"/>
      <c r="BF238" s="80"/>
      <c r="BG238" s="80"/>
      <c r="BH238" s="80"/>
      <c r="BI238" s="80"/>
      <c r="BJ238" s="80"/>
    </row>
    <row r="239" spans="3:62" s="1" customFormat="1" ht="25.5" customHeight="1" x14ac:dyDescent="0.2">
      <c r="C239" s="602" t="str">
        <f>IF('Data Set up'!$J64=$F$227,'Data Set up'!$C64,"")</f>
        <v/>
      </c>
      <c r="D239" s="1565" t="str">
        <f>IF('Data Set up'!$J64=$F$227,'Data Set up'!$D64,"")</f>
        <v/>
      </c>
      <c r="E239" s="1565"/>
      <c r="F239" s="1565"/>
      <c r="G239" s="634" t="str">
        <f>IF('Data Set up'!$J64=$F$227,'Data Set up'!$F64,"")</f>
        <v/>
      </c>
      <c r="H239" s="619"/>
      <c r="P239" s="80"/>
      <c r="Q239" s="80"/>
      <c r="R239" s="80"/>
      <c r="S239" s="80"/>
      <c r="T239" s="80"/>
      <c r="U239" s="80"/>
      <c r="V239" s="144"/>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c r="AW239" s="80"/>
      <c r="AX239" s="80"/>
      <c r="AY239" s="80"/>
      <c r="AZ239" s="80"/>
      <c r="BA239" s="80"/>
      <c r="BB239" s="80"/>
      <c r="BC239" s="80"/>
      <c r="BD239" s="80"/>
      <c r="BE239" s="80"/>
      <c r="BF239" s="80"/>
      <c r="BG239" s="80"/>
      <c r="BH239" s="80"/>
      <c r="BI239" s="80"/>
      <c r="BJ239" s="80"/>
    </row>
    <row r="240" spans="3:62" s="1" customFormat="1" ht="25.5" customHeight="1" x14ac:dyDescent="0.2">
      <c r="C240" s="602" t="str">
        <f>IF('Data Set up'!$J65=$F$227,'Data Set up'!$C65,"")</f>
        <v/>
      </c>
      <c r="D240" s="1565" t="str">
        <f>IF('Data Set up'!$J65=$F$227,'Data Set up'!$D65,"")</f>
        <v/>
      </c>
      <c r="E240" s="1565"/>
      <c r="F240" s="1565"/>
      <c r="G240" s="634" t="str">
        <f>IF('Data Set up'!$J65=$F$227,'Data Set up'!$F65,"")</f>
        <v/>
      </c>
      <c r="H240" s="619"/>
      <c r="P240" s="80"/>
      <c r="Q240" s="80"/>
      <c r="R240" s="80"/>
      <c r="S240" s="80"/>
      <c r="T240" s="80"/>
      <c r="U240" s="80"/>
      <c r="V240" s="144"/>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0"/>
      <c r="BH240" s="80"/>
      <c r="BI240" s="80"/>
      <c r="BJ240" s="80"/>
    </row>
    <row r="241" spans="3:62" s="1" customFormat="1" ht="25.5" customHeight="1" x14ac:dyDescent="0.2">
      <c r="C241" s="602" t="str">
        <f>IF('Data Set up'!$J66=$F$227,'Data Set up'!$C66,"")</f>
        <v/>
      </c>
      <c r="D241" s="1565" t="str">
        <f>IF('Data Set up'!$J66=$F$227,'Data Set up'!$D66,"")</f>
        <v/>
      </c>
      <c r="E241" s="1565"/>
      <c r="F241" s="1565"/>
      <c r="G241" s="634" t="str">
        <f>IF('Data Set up'!$J66=$F$227,'Data Set up'!$F66,"")</f>
        <v/>
      </c>
      <c r="H241" s="619"/>
      <c r="P241" s="80"/>
      <c r="Q241" s="80"/>
      <c r="R241" s="80"/>
      <c r="S241" s="80"/>
      <c r="T241" s="80"/>
      <c r="U241" s="80"/>
      <c r="V241" s="144"/>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c r="AW241" s="80"/>
      <c r="AX241" s="80"/>
      <c r="AY241" s="80"/>
      <c r="AZ241" s="80"/>
      <c r="BA241" s="80"/>
      <c r="BB241" s="80"/>
      <c r="BC241" s="80"/>
      <c r="BD241" s="80"/>
      <c r="BE241" s="80"/>
      <c r="BF241" s="80"/>
      <c r="BG241" s="80"/>
      <c r="BH241" s="80"/>
      <c r="BI241" s="80"/>
      <c r="BJ241" s="80"/>
    </row>
    <row r="242" spans="3:62" s="1" customFormat="1" ht="25.5" customHeight="1" x14ac:dyDescent="0.2">
      <c r="C242" s="602" t="str">
        <f>IF('Data Set up'!$J67=$F$227,'Data Set up'!$C67,"")</f>
        <v/>
      </c>
      <c r="D242" s="1565" t="str">
        <f>IF('Data Set up'!$J67=$F$227,'Data Set up'!$D67,"")</f>
        <v/>
      </c>
      <c r="E242" s="1565"/>
      <c r="F242" s="1565"/>
      <c r="G242" s="634" t="str">
        <f>IF('Data Set up'!$J67=$F$227,'Data Set up'!$F67,"")</f>
        <v/>
      </c>
      <c r="H242" s="619"/>
      <c r="P242" s="80"/>
      <c r="Q242" s="80"/>
      <c r="R242" s="80"/>
      <c r="S242" s="80"/>
      <c r="T242" s="80"/>
      <c r="U242" s="80"/>
      <c r="V242" s="144"/>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c r="AW242" s="80"/>
      <c r="AX242" s="80"/>
      <c r="AY242" s="80"/>
      <c r="AZ242" s="80"/>
      <c r="BA242" s="80"/>
      <c r="BB242" s="80"/>
      <c r="BC242" s="80"/>
      <c r="BD242" s="80"/>
      <c r="BE242" s="80"/>
      <c r="BF242" s="80"/>
      <c r="BG242" s="80"/>
      <c r="BH242" s="80"/>
      <c r="BI242" s="80"/>
      <c r="BJ242" s="80"/>
    </row>
    <row r="243" spans="3:62" s="1" customFormat="1" ht="25.5" customHeight="1" x14ac:dyDescent="0.2">
      <c r="C243" s="602" t="str">
        <f>IF('Data Set up'!$J68=$F$227,'Data Set up'!$C68,"")</f>
        <v/>
      </c>
      <c r="D243" s="1565" t="str">
        <f>IF('Data Set up'!$J68=$F$227,'Data Set up'!$D68,"")</f>
        <v/>
      </c>
      <c r="E243" s="1565"/>
      <c r="F243" s="1565"/>
      <c r="G243" s="634" t="str">
        <f>IF('Data Set up'!$J68=$F$227,'Data Set up'!$F68,"")</f>
        <v/>
      </c>
      <c r="H243" s="619"/>
      <c r="P243" s="80"/>
      <c r="Q243" s="80"/>
      <c r="R243" s="80"/>
      <c r="S243" s="80"/>
      <c r="T243" s="80"/>
      <c r="U243" s="80"/>
      <c r="V243" s="144"/>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c r="AV243" s="80"/>
      <c r="AW243" s="80"/>
      <c r="AX243" s="80"/>
      <c r="AY243" s="80"/>
      <c r="AZ243" s="80"/>
      <c r="BA243" s="80"/>
      <c r="BB243" s="80"/>
      <c r="BC243" s="80"/>
      <c r="BD243" s="80"/>
      <c r="BE243" s="80"/>
      <c r="BF243" s="80"/>
      <c r="BG243" s="80"/>
      <c r="BH243" s="80"/>
      <c r="BI243" s="80"/>
      <c r="BJ243" s="80"/>
    </row>
    <row r="244" spans="3:62" s="1" customFormat="1" ht="25.5" customHeight="1" x14ac:dyDescent="0.2">
      <c r="C244" s="602" t="str">
        <f>IF('Data Set up'!$J69=$F$227,'Data Set up'!$C69,"")</f>
        <v/>
      </c>
      <c r="D244" s="1565" t="str">
        <f>IF('Data Set up'!$J69=$F$227,'Data Set up'!$D69,"")</f>
        <v/>
      </c>
      <c r="E244" s="1565"/>
      <c r="F244" s="1565"/>
      <c r="G244" s="634" t="str">
        <f>IF('Data Set up'!$J69=$F$227,'Data Set up'!$F69,"")</f>
        <v/>
      </c>
      <c r="H244" s="619"/>
      <c r="P244" s="80"/>
      <c r="Q244" s="80"/>
      <c r="R244" s="80"/>
      <c r="S244" s="80"/>
      <c r="T244" s="80"/>
      <c r="U244" s="80"/>
      <c r="V244" s="144"/>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row>
    <row r="245" spans="3:62" s="1" customFormat="1" ht="25.5" customHeight="1" x14ac:dyDescent="0.2">
      <c r="C245" s="602" t="str">
        <f>IF('Data Set up'!$J70=$F$227,'Data Set up'!$C70,"")</f>
        <v/>
      </c>
      <c r="D245" s="1565" t="str">
        <f>IF('Data Set up'!$J70=$F$227,'Data Set up'!$D70,"")</f>
        <v/>
      </c>
      <c r="E245" s="1565"/>
      <c r="F245" s="1565"/>
      <c r="G245" s="634" t="str">
        <f>IF('Data Set up'!$J70=$F$227,'Data Set up'!$F70,"")</f>
        <v/>
      </c>
      <c r="H245" s="619"/>
      <c r="I245" s="635"/>
      <c r="J245" s="635"/>
      <c r="K245" s="635"/>
      <c r="L245" s="635"/>
      <c r="M245" s="635"/>
      <c r="N245" s="635"/>
      <c r="P245" s="80"/>
      <c r="Q245" s="80"/>
      <c r="R245" s="80"/>
      <c r="S245" s="80"/>
      <c r="T245" s="80"/>
      <c r="U245" s="80"/>
      <c r="V245" s="144"/>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c r="AW245" s="80"/>
      <c r="AX245" s="80"/>
      <c r="AY245" s="80"/>
      <c r="AZ245" s="80"/>
      <c r="BA245" s="80"/>
      <c r="BB245" s="80"/>
      <c r="BC245" s="80"/>
      <c r="BD245" s="80"/>
      <c r="BE245" s="80"/>
      <c r="BF245" s="80"/>
      <c r="BG245" s="80"/>
      <c r="BH245" s="80"/>
      <c r="BI245" s="80"/>
      <c r="BJ245" s="80"/>
    </row>
    <row r="246" spans="3:62" s="1" customFormat="1" ht="25.5" customHeight="1" x14ac:dyDescent="0.2">
      <c r="C246" s="602" t="str">
        <f>IF('Data Set up'!$J71=$F$227,'Data Set up'!$C71,"")</f>
        <v/>
      </c>
      <c r="D246" s="1565" t="str">
        <f>IF('Data Set up'!$J71=$F$227,'Data Set up'!$D71,"")</f>
        <v/>
      </c>
      <c r="E246" s="1565"/>
      <c r="F246" s="1565"/>
      <c r="G246" s="634" t="str">
        <f>IF('Data Set up'!$J71=$F$227,'Data Set up'!$F71,"")</f>
        <v/>
      </c>
      <c r="H246" s="619"/>
      <c r="I246" s="620"/>
      <c r="J246" s="635"/>
      <c r="K246" s="635"/>
      <c r="L246" s="635"/>
      <c r="M246" s="635"/>
      <c r="N246" s="636"/>
      <c r="P246" s="80"/>
      <c r="Q246" s="80"/>
      <c r="R246" s="80"/>
      <c r="S246" s="80"/>
      <c r="T246" s="80"/>
      <c r="U246" s="80"/>
      <c r="V246" s="144"/>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c r="AW246" s="80"/>
      <c r="AX246" s="80"/>
      <c r="AY246" s="80"/>
      <c r="AZ246" s="80"/>
      <c r="BA246" s="80"/>
      <c r="BB246" s="80"/>
      <c r="BC246" s="80"/>
      <c r="BD246" s="80"/>
      <c r="BE246" s="80"/>
      <c r="BF246" s="80"/>
      <c r="BG246" s="80"/>
      <c r="BH246" s="80"/>
      <c r="BI246" s="80"/>
      <c r="BJ246" s="80"/>
    </row>
    <row r="247" spans="3:62" s="1" customFormat="1" ht="25.5" customHeight="1" x14ac:dyDescent="0.2">
      <c r="C247" s="1564" t="str">
        <f>IF($Q$2=2,"Les chèques de l'année précédente (non traités dans l'année précédente)","Previous Year's Cheques (not processed in prev year)")</f>
        <v>Previous Year's Cheques (not processed in prev year)</v>
      </c>
      <c r="D247" s="1564"/>
      <c r="E247" s="1564"/>
      <c r="F247" s="1564"/>
      <c r="G247" s="1564"/>
      <c r="H247" s="619"/>
      <c r="I247" s="637"/>
      <c r="J247" s="638"/>
      <c r="K247" s="638"/>
      <c r="L247" s="638"/>
      <c r="M247" s="638"/>
      <c r="N247" s="636"/>
      <c r="P247" s="80"/>
      <c r="Q247" s="80"/>
      <c r="R247" s="80"/>
      <c r="S247" s="80"/>
      <c r="T247" s="80"/>
      <c r="U247" s="80"/>
      <c r="V247" s="144"/>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c r="AV247" s="80"/>
      <c r="AW247" s="80"/>
      <c r="AX247" s="80"/>
      <c r="AY247" s="80"/>
      <c r="AZ247" s="80"/>
      <c r="BA247" s="80"/>
      <c r="BB247" s="80"/>
      <c r="BC247" s="80"/>
      <c r="BD247" s="80"/>
      <c r="BE247" s="80"/>
      <c r="BF247" s="80"/>
      <c r="BG247" s="80"/>
      <c r="BH247" s="80"/>
      <c r="BI247" s="80"/>
      <c r="BJ247" s="80"/>
    </row>
    <row r="248" spans="3:62" s="1" customFormat="1" ht="25.5" customHeight="1" x14ac:dyDescent="0.2">
      <c r="C248" s="606" t="str">
        <f>IF($Q$2=2,"Chèque #","Cheque #")</f>
        <v>Cheque #</v>
      </c>
      <c r="D248" s="1548" t="str">
        <f>IF($Q$2=2,"À l'ordre de","Payable to")</f>
        <v>Payable to</v>
      </c>
      <c r="E248" s="1548"/>
      <c r="F248" s="1548"/>
      <c r="G248" s="607" t="str">
        <f>IF($Q$2=2,"Montant","Amount")</f>
        <v>Amount</v>
      </c>
      <c r="H248" s="620"/>
      <c r="I248" s="639"/>
      <c r="J248" s="638"/>
      <c r="K248" s="638"/>
      <c r="L248" s="638"/>
      <c r="M248" s="638"/>
      <c r="N248" s="636"/>
      <c r="P248" s="80"/>
      <c r="Q248" s="80"/>
      <c r="R248" s="80"/>
      <c r="S248" s="80"/>
      <c r="T248" s="80"/>
      <c r="U248" s="80"/>
      <c r="V248" s="144"/>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c r="AW248" s="80"/>
      <c r="AX248" s="80"/>
      <c r="AY248" s="80"/>
      <c r="AZ248" s="80"/>
      <c r="BA248" s="80"/>
      <c r="BB248" s="80"/>
      <c r="BC248" s="80"/>
      <c r="BD248" s="80"/>
      <c r="BE248" s="80"/>
      <c r="BF248" s="80"/>
      <c r="BG248" s="80"/>
      <c r="BH248" s="80"/>
      <c r="BI248" s="80"/>
      <c r="BJ248" s="80"/>
    </row>
    <row r="249" spans="3:62" s="1" customFormat="1" ht="25.5" customHeight="1" x14ac:dyDescent="0.2">
      <c r="C249" s="602" t="str">
        <f>IF('Data Set up'!$J76=$F$227,'Data Set up'!$C76,"")</f>
        <v/>
      </c>
      <c r="D249" s="1565" t="str">
        <f>IF('Data Set up'!$J76=$F$227,'Data Set up'!$D76,"")</f>
        <v/>
      </c>
      <c r="E249" s="1565"/>
      <c r="F249" s="1565"/>
      <c r="G249" s="634" t="str">
        <f>IF('Data Set up'!$J76=$F$227,'Data Set up'!$F76,"")</f>
        <v/>
      </c>
      <c r="H249" s="620"/>
      <c r="I249" s="619"/>
      <c r="J249" s="619"/>
      <c r="K249" s="619"/>
      <c r="L249" s="619"/>
      <c r="M249" s="619"/>
      <c r="N249" s="636"/>
      <c r="P249" s="80"/>
      <c r="Q249" s="80"/>
      <c r="R249" s="80"/>
      <c r="S249" s="80"/>
      <c r="T249" s="80"/>
      <c r="U249" s="80"/>
      <c r="V249" s="144"/>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c r="AW249" s="80"/>
      <c r="AX249" s="80"/>
      <c r="AY249" s="80"/>
      <c r="AZ249" s="80"/>
      <c r="BA249" s="80"/>
      <c r="BB249" s="80"/>
      <c r="BC249" s="80"/>
      <c r="BD249" s="80"/>
      <c r="BE249" s="80"/>
      <c r="BF249" s="80"/>
      <c r="BG249" s="80"/>
      <c r="BH249" s="80"/>
      <c r="BI249" s="80"/>
      <c r="BJ249" s="80"/>
    </row>
    <row r="250" spans="3:62" s="1" customFormat="1" ht="25.5" customHeight="1" x14ac:dyDescent="0.2">
      <c r="C250" s="602" t="str">
        <f>IF('Data Set up'!$J77=$F$227,'Data Set up'!$C77,"")</f>
        <v/>
      </c>
      <c r="D250" s="1565" t="str">
        <f>IF('Data Set up'!$J77=$F$227,'Data Set up'!$D77,"")</f>
        <v/>
      </c>
      <c r="E250" s="1565"/>
      <c r="F250" s="1565"/>
      <c r="G250" s="634" t="str">
        <f>IF('Data Set up'!$J77=$F$227,'Data Set up'!$F77,"")</f>
        <v/>
      </c>
      <c r="H250" s="619"/>
      <c r="I250" s="620"/>
      <c r="J250" s="620"/>
      <c r="K250" s="620"/>
      <c r="L250" s="620"/>
      <c r="M250" s="620"/>
      <c r="N250" s="620"/>
      <c r="P250" s="80"/>
      <c r="Q250" s="80"/>
      <c r="R250" s="80"/>
      <c r="S250" s="80"/>
      <c r="T250" s="80"/>
      <c r="U250" s="80"/>
      <c r="V250" s="144"/>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c r="AW250" s="80"/>
      <c r="AX250" s="80"/>
      <c r="AY250" s="80"/>
      <c r="AZ250" s="80"/>
      <c r="BA250" s="80"/>
      <c r="BB250" s="80"/>
      <c r="BC250" s="80"/>
      <c r="BD250" s="80"/>
      <c r="BE250" s="80"/>
      <c r="BF250" s="80"/>
      <c r="BG250" s="80"/>
      <c r="BH250" s="80"/>
      <c r="BI250" s="80"/>
      <c r="BJ250" s="80"/>
    </row>
    <row r="251" spans="3:62" s="1" customFormat="1" ht="25.5" customHeight="1" x14ac:dyDescent="0.2">
      <c r="C251" s="602" t="str">
        <f>IF('Data Set up'!$J78=$F$227,'Data Set up'!$C78,"")</f>
        <v/>
      </c>
      <c r="D251" s="1565" t="str">
        <f>IF('Data Set up'!$J78=$F$227,'Data Set up'!$D78,"")</f>
        <v/>
      </c>
      <c r="E251" s="1565"/>
      <c r="F251" s="1565"/>
      <c r="G251" s="634" t="str">
        <f>IF('Data Set up'!$J78=$F$227,'Data Set up'!$F78,"")</f>
        <v/>
      </c>
      <c r="H251" s="619"/>
      <c r="I251" s="640"/>
      <c r="J251" s="635"/>
      <c r="K251" s="635"/>
      <c r="L251" s="635"/>
      <c r="M251" s="635"/>
      <c r="N251" s="635"/>
      <c r="P251" s="80"/>
      <c r="Q251" s="80"/>
      <c r="R251" s="80"/>
      <c r="S251" s="80"/>
      <c r="T251" s="80"/>
      <c r="U251" s="80"/>
      <c r="V251" s="144"/>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c r="AV251" s="80"/>
      <c r="AW251" s="80"/>
      <c r="AX251" s="80"/>
      <c r="AY251" s="80"/>
      <c r="AZ251" s="80"/>
      <c r="BA251" s="80"/>
      <c r="BB251" s="80"/>
      <c r="BC251" s="80"/>
      <c r="BD251" s="80"/>
      <c r="BE251" s="80"/>
      <c r="BF251" s="80"/>
      <c r="BG251" s="80"/>
      <c r="BH251" s="80"/>
      <c r="BI251" s="80"/>
      <c r="BJ251" s="80"/>
    </row>
    <row r="252" spans="3:62" s="1" customFormat="1" ht="25.5" customHeight="1" x14ac:dyDescent="0.2">
      <c r="C252" s="602" t="str">
        <f>IF('Data Set up'!$J79=$F$227,'Data Set up'!$C79,"")</f>
        <v/>
      </c>
      <c r="D252" s="1565" t="str">
        <f>IF('Data Set up'!$J79=$F$227,'Data Set up'!$D79,"")</f>
        <v/>
      </c>
      <c r="E252" s="1565"/>
      <c r="F252" s="1565"/>
      <c r="G252" s="634" t="str">
        <f>IF('Data Set up'!$J79=$F$227,'Data Set up'!$F79,"")</f>
        <v/>
      </c>
      <c r="H252" s="619"/>
      <c r="I252" s="641"/>
      <c r="J252" s="635"/>
      <c r="K252" s="635"/>
      <c r="L252" s="635"/>
      <c r="M252" s="635"/>
      <c r="N252" s="624"/>
      <c r="P252" s="80"/>
      <c r="Q252" s="80"/>
      <c r="R252" s="80"/>
      <c r="S252" s="80"/>
      <c r="T252" s="80"/>
      <c r="U252" s="80"/>
      <c r="V252" s="144"/>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0"/>
      <c r="BH252" s="80"/>
      <c r="BI252" s="80"/>
      <c r="BJ252" s="80"/>
    </row>
    <row r="253" spans="3:62" s="1" customFormat="1" ht="25.5" customHeight="1" x14ac:dyDescent="0.2">
      <c r="C253" s="602" t="str">
        <f>IF('Data Set up'!$J80=$F$227,'Data Set up'!$C80,"")</f>
        <v/>
      </c>
      <c r="D253" s="1565" t="str">
        <f>IF('Data Set up'!$J80=$F$227,'Data Set up'!$D80,"")</f>
        <v/>
      </c>
      <c r="E253" s="1565"/>
      <c r="F253" s="1565"/>
      <c r="G253" s="634" t="str">
        <f>IF('Data Set up'!$J80=$F$227,'Data Set up'!$F80,"")</f>
        <v/>
      </c>
      <c r="H253" s="619"/>
      <c r="I253" s="641"/>
      <c r="J253" s="635"/>
      <c r="K253" s="635"/>
      <c r="L253" s="635"/>
      <c r="M253" s="635"/>
      <c r="N253" s="624"/>
      <c r="P253" s="80"/>
      <c r="Q253" s="80"/>
      <c r="R253" s="80"/>
      <c r="S253" s="80"/>
      <c r="T253" s="80"/>
      <c r="U253" s="80"/>
      <c r="V253" s="144"/>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c r="AW253" s="80"/>
      <c r="AX253" s="80"/>
      <c r="AY253" s="80"/>
      <c r="AZ253" s="80"/>
      <c r="BA253" s="80"/>
      <c r="BB253" s="80"/>
      <c r="BC253" s="80"/>
      <c r="BD253" s="80"/>
      <c r="BE253" s="80"/>
      <c r="BF253" s="80"/>
      <c r="BG253" s="80"/>
      <c r="BH253" s="80"/>
      <c r="BI253" s="80"/>
      <c r="BJ253" s="80"/>
    </row>
    <row r="254" spans="3:62" s="1" customFormat="1" ht="25.5" customHeight="1" x14ac:dyDescent="0.2">
      <c r="C254" s="602" t="str">
        <f>IF('Data Set up'!$J81=$F$227,'Data Set up'!$C81,"")</f>
        <v/>
      </c>
      <c r="D254" s="1565" t="str">
        <f>IF('Data Set up'!$J81=$F$227,'Data Set up'!$D81,"")</f>
        <v/>
      </c>
      <c r="E254" s="1565"/>
      <c r="F254" s="1565"/>
      <c r="G254" s="634" t="str">
        <f>IF('Data Set up'!$J81=$F$227,'Data Set up'!$F81,"")</f>
        <v/>
      </c>
      <c r="H254" s="619"/>
      <c r="I254" s="641"/>
      <c r="J254" s="635"/>
      <c r="K254" s="635"/>
      <c r="L254" s="635"/>
      <c r="M254" s="635"/>
      <c r="N254" s="624"/>
      <c r="P254" s="80"/>
      <c r="Q254" s="80"/>
      <c r="R254" s="80"/>
      <c r="S254" s="80"/>
      <c r="T254" s="80"/>
      <c r="U254" s="80"/>
      <c r="V254" s="144"/>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c r="AV254" s="80"/>
      <c r="AW254" s="80"/>
      <c r="AX254" s="80"/>
      <c r="AY254" s="80"/>
      <c r="AZ254" s="80"/>
      <c r="BA254" s="80"/>
      <c r="BB254" s="80"/>
      <c r="BC254" s="80"/>
      <c r="BD254" s="80"/>
      <c r="BE254" s="80"/>
      <c r="BF254" s="80"/>
      <c r="BG254" s="80"/>
      <c r="BH254" s="80"/>
      <c r="BI254" s="80"/>
      <c r="BJ254" s="80"/>
    </row>
    <row r="255" spans="3:62" s="1" customFormat="1" ht="25.5" customHeight="1" x14ac:dyDescent="0.2">
      <c r="C255" s="602" t="str">
        <f>IF('Data Set up'!$J82=$F$227,'Data Set up'!$C82,"")</f>
        <v/>
      </c>
      <c r="D255" s="1565" t="str">
        <f>IF('Data Set up'!$J82=$F$227,'Data Set up'!$D82,"")</f>
        <v/>
      </c>
      <c r="E255" s="1565"/>
      <c r="F255" s="1565"/>
      <c r="G255" s="634" t="str">
        <f>IF('Data Set up'!$J82=$F$227,'Data Set up'!$F82,"")</f>
        <v/>
      </c>
      <c r="H255" s="619"/>
      <c r="I255" s="641"/>
      <c r="J255" s="635"/>
      <c r="K255" s="635"/>
      <c r="L255" s="635"/>
      <c r="M255" s="635"/>
      <c r="N255" s="624"/>
      <c r="P255" s="80"/>
      <c r="Q255" s="80"/>
      <c r="R255" s="80"/>
      <c r="S255" s="80"/>
      <c r="T255" s="80"/>
      <c r="U255" s="80"/>
      <c r="V255" s="144"/>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0"/>
      <c r="BH255" s="80"/>
      <c r="BI255" s="80"/>
      <c r="BJ255" s="80"/>
    </row>
    <row r="256" spans="3:62" s="1" customFormat="1" ht="25.5" customHeight="1" x14ac:dyDescent="0.2">
      <c r="C256" s="602" t="str">
        <f>IF('Data Set up'!$J83=$F$227,'Data Set up'!$C83,"")</f>
        <v/>
      </c>
      <c r="D256" s="1565" t="str">
        <f>IF('Data Set up'!$J83=$F$227,'Data Set up'!$D83,"")</f>
        <v/>
      </c>
      <c r="E256" s="1565"/>
      <c r="F256" s="1565"/>
      <c r="G256" s="634" t="str">
        <f>IF('Data Set up'!$J83=$F$227,'Data Set up'!$F83,"")</f>
        <v/>
      </c>
      <c r="H256" s="619"/>
      <c r="I256" s="642"/>
      <c r="J256" s="643"/>
      <c r="K256" s="643"/>
      <c r="L256" s="643"/>
      <c r="M256" s="643"/>
      <c r="N256" s="624"/>
      <c r="P256" s="80"/>
      <c r="Q256" s="80"/>
      <c r="R256" s="80"/>
      <c r="S256" s="80"/>
      <c r="T256" s="80"/>
      <c r="U256" s="80"/>
      <c r="V256" s="144"/>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c r="AW256" s="80"/>
      <c r="AX256" s="80"/>
      <c r="AY256" s="80"/>
      <c r="AZ256" s="80"/>
      <c r="BA256" s="80"/>
      <c r="BB256" s="80"/>
      <c r="BC256" s="80"/>
      <c r="BD256" s="80"/>
      <c r="BE256" s="80"/>
      <c r="BF256" s="80"/>
      <c r="BG256" s="80"/>
      <c r="BH256" s="80"/>
      <c r="BI256" s="80"/>
      <c r="BJ256" s="80"/>
    </row>
    <row r="257" spans="3:62" s="1" customFormat="1" ht="25.5" customHeight="1" x14ac:dyDescent="0.2">
      <c r="C257" s="602" t="str">
        <f>IF('Data Set up'!$J84=$F$227,'Data Set up'!$C84,"")</f>
        <v/>
      </c>
      <c r="D257" s="1565" t="str">
        <f>IF('Data Set up'!$J84=$F$227,'Data Set up'!$D84,"")</f>
        <v/>
      </c>
      <c r="E257" s="1565"/>
      <c r="F257" s="1565"/>
      <c r="G257" s="634" t="str">
        <f>IF('Data Set up'!$J84=$F$227,'Data Set up'!$F84,"")</f>
        <v/>
      </c>
      <c r="H257" s="619"/>
      <c r="I257" s="644"/>
      <c r="J257" s="643"/>
      <c r="K257" s="643"/>
      <c r="L257" s="643"/>
      <c r="M257" s="643"/>
      <c r="N257" s="624"/>
      <c r="P257" s="80"/>
      <c r="Q257" s="80"/>
      <c r="R257" s="80"/>
      <c r="S257" s="80"/>
      <c r="T257" s="80"/>
      <c r="U257" s="80"/>
      <c r="V257" s="144"/>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0"/>
      <c r="BH257" s="80"/>
      <c r="BI257" s="80"/>
      <c r="BJ257" s="80"/>
    </row>
    <row r="258" spans="3:62" s="1" customFormat="1" ht="25.5" customHeight="1" x14ac:dyDescent="0.2">
      <c r="C258" s="602" t="str">
        <f>IF('Data Set up'!$J85=$F$227,'Data Set up'!$C85,"")</f>
        <v/>
      </c>
      <c r="D258" s="1565" t="str">
        <f>IF('Data Set up'!$J85=$F$227,'Data Set up'!$D85,"")</f>
        <v/>
      </c>
      <c r="E258" s="1565"/>
      <c r="F258" s="1565"/>
      <c r="G258" s="634" t="str">
        <f>IF('Data Set up'!$J85=$F$227,'Data Set up'!$F85,"")</f>
        <v/>
      </c>
      <c r="H258" s="619"/>
      <c r="I258" s="642"/>
      <c r="J258" s="643"/>
      <c r="K258" s="643"/>
      <c r="L258" s="643"/>
      <c r="M258" s="643"/>
      <c r="N258" s="624"/>
      <c r="P258" s="80"/>
      <c r="Q258" s="80"/>
      <c r="R258" s="80"/>
      <c r="S258" s="80"/>
      <c r="T258" s="80"/>
      <c r="U258" s="80"/>
      <c r="V258" s="144"/>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c r="AV258" s="80"/>
      <c r="AW258" s="80"/>
      <c r="AX258" s="80"/>
      <c r="AY258" s="80"/>
      <c r="AZ258" s="80"/>
      <c r="BA258" s="80"/>
      <c r="BB258" s="80"/>
      <c r="BC258" s="80"/>
      <c r="BD258" s="80"/>
      <c r="BE258" s="80"/>
      <c r="BF258" s="80"/>
      <c r="BG258" s="80"/>
      <c r="BH258" s="80"/>
      <c r="BI258" s="80"/>
      <c r="BJ258" s="80"/>
    </row>
    <row r="259" spans="3:62" s="1" customFormat="1" ht="25.5" customHeight="1" x14ac:dyDescent="0.2">
      <c r="C259" s="602" t="str">
        <f>IF('Data Set up'!$J86=$F$227,'Data Set up'!$C86,"")</f>
        <v/>
      </c>
      <c r="D259" s="1565" t="str">
        <f>IF('Data Set up'!$J86=$F$227,'Data Set up'!$D86,"")</f>
        <v/>
      </c>
      <c r="E259" s="1565"/>
      <c r="F259" s="1565"/>
      <c r="G259" s="634" t="str">
        <f>IF('Data Set up'!$J86=$F$227,'Data Set up'!$F86,"")</f>
        <v/>
      </c>
      <c r="H259" s="619"/>
      <c r="I259" s="642"/>
      <c r="J259" s="647"/>
      <c r="K259" s="647"/>
      <c r="L259" s="647"/>
      <c r="M259" s="647"/>
      <c r="N259" s="624"/>
      <c r="P259" s="80"/>
      <c r="Q259" s="80"/>
      <c r="R259" s="80"/>
      <c r="S259" s="80"/>
      <c r="T259" s="80"/>
      <c r="U259" s="80"/>
      <c r="V259" s="144"/>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c r="AW259" s="80"/>
      <c r="AX259" s="80"/>
      <c r="AY259" s="80"/>
      <c r="AZ259" s="80"/>
      <c r="BA259" s="80"/>
      <c r="BB259" s="80"/>
      <c r="BC259" s="80"/>
      <c r="BD259" s="80"/>
      <c r="BE259" s="80"/>
      <c r="BF259" s="80"/>
      <c r="BG259" s="80"/>
      <c r="BH259" s="80"/>
      <c r="BI259" s="80"/>
      <c r="BJ259" s="80"/>
    </row>
    <row r="260" spans="3:62" s="1" customFormat="1" ht="25.5" customHeight="1" x14ac:dyDescent="0.2">
      <c r="C260" s="602" t="str">
        <f>IF('Data Set up'!$J87=$F$227,'Data Set up'!$C87,"")</f>
        <v/>
      </c>
      <c r="D260" s="1565" t="str">
        <f>IF('Data Set up'!$J87=$F$227,'Data Set up'!$D87,"")</f>
        <v/>
      </c>
      <c r="E260" s="1565"/>
      <c r="F260" s="1565"/>
      <c r="G260" s="634" t="str">
        <f>IF('Data Set up'!$J87=$F$227,'Data Set up'!$F87,"")</f>
        <v/>
      </c>
      <c r="H260" s="619"/>
      <c r="I260" s="620"/>
      <c r="J260" s="635"/>
      <c r="K260" s="635"/>
      <c r="L260" s="635"/>
      <c r="M260" s="635"/>
      <c r="N260" s="624"/>
      <c r="P260" s="80"/>
      <c r="Q260" s="80"/>
      <c r="R260" s="80"/>
      <c r="S260" s="80"/>
      <c r="T260" s="80"/>
      <c r="U260" s="80"/>
      <c r="V260" s="144"/>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80"/>
      <c r="AW260" s="80"/>
      <c r="AX260" s="80"/>
      <c r="AY260" s="80"/>
      <c r="AZ260" s="80"/>
      <c r="BA260" s="80"/>
      <c r="BB260" s="80"/>
      <c r="BC260" s="80"/>
      <c r="BD260" s="80"/>
      <c r="BE260" s="80"/>
      <c r="BF260" s="80"/>
      <c r="BG260" s="80"/>
      <c r="BH260" s="80"/>
      <c r="BI260" s="80"/>
      <c r="BJ260" s="80"/>
    </row>
    <row r="261" spans="3:62" s="1" customFormat="1" ht="25.5" customHeight="1" x14ac:dyDescent="0.2">
      <c r="C261" s="602" t="str">
        <f>IF('Data Set up'!$J88=$F$227,'Data Set up'!$C88,"")</f>
        <v/>
      </c>
      <c r="D261" s="1565" t="str">
        <f>IF('Data Set up'!$J88=$F$227,'Data Set up'!$D88,"")</f>
        <v/>
      </c>
      <c r="E261" s="1565"/>
      <c r="F261" s="1565"/>
      <c r="G261" s="634" t="str">
        <f>IF('Data Set up'!$J88=$F$227,'Data Set up'!$F88,"")</f>
        <v/>
      </c>
      <c r="H261" s="619"/>
      <c r="I261" s="620"/>
      <c r="J261" s="635"/>
      <c r="K261" s="635"/>
      <c r="L261" s="635"/>
      <c r="M261" s="635"/>
      <c r="N261" s="624"/>
      <c r="P261" s="80"/>
      <c r="Q261" s="80"/>
      <c r="R261" s="80"/>
      <c r="S261" s="80"/>
      <c r="T261" s="80"/>
      <c r="U261" s="80"/>
      <c r="V261" s="144"/>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c r="AW261" s="80"/>
      <c r="AX261" s="80"/>
      <c r="AY261" s="80"/>
      <c r="AZ261" s="80"/>
      <c r="BA261" s="80"/>
      <c r="BB261" s="80"/>
      <c r="BC261" s="80"/>
      <c r="BD261" s="80"/>
      <c r="BE261" s="80"/>
      <c r="BF261" s="80"/>
      <c r="BG261" s="80"/>
      <c r="BH261" s="80"/>
      <c r="BI261" s="80"/>
      <c r="BJ261" s="80"/>
    </row>
    <row r="262" spans="3:62" s="1" customFormat="1" ht="25.5" customHeight="1" x14ac:dyDescent="0.2">
      <c r="C262" s="1554" t="str">
        <f>IF($Q$2=2,"Montant non-comptabilisé de l'année précédente","Previous Year's non-accounted Amount")</f>
        <v>Previous Year's non-accounted Amount</v>
      </c>
      <c r="D262" s="1554"/>
      <c r="E262" s="1554"/>
      <c r="F262" s="1554"/>
      <c r="G262" s="621">
        <f>SUM(G234:G246)-SUM(G249:G261)</f>
        <v>0</v>
      </c>
      <c r="H262" s="619"/>
      <c r="I262" s="629"/>
      <c r="J262" s="635"/>
      <c r="K262" s="635"/>
      <c r="L262" s="635"/>
      <c r="M262" s="635"/>
      <c r="N262" s="624"/>
      <c r="P262" s="80"/>
      <c r="Q262" s="80"/>
      <c r="R262" s="80"/>
      <c r="S262" s="80"/>
      <c r="T262" s="80"/>
      <c r="U262" s="80"/>
      <c r="V262" s="144"/>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c r="AV262" s="80"/>
      <c r="AW262" s="80"/>
      <c r="AX262" s="80"/>
      <c r="AY262" s="80"/>
      <c r="AZ262" s="80"/>
      <c r="BA262" s="80"/>
      <c r="BB262" s="80"/>
      <c r="BC262" s="80"/>
      <c r="BD262" s="80"/>
      <c r="BE262" s="80"/>
      <c r="BF262" s="80"/>
      <c r="BG262" s="80"/>
      <c r="BH262" s="80"/>
      <c r="BI262" s="80"/>
      <c r="BJ262" s="80"/>
    </row>
    <row r="263" spans="3:62" s="1" customFormat="1" ht="25.5" customHeight="1" x14ac:dyDescent="0.2">
      <c r="C263" s="1537" t="str">
        <f>IF($Q$2=2,F227&amp;" Fonds disponible du compte",F227&amp;" Account Available Funds")</f>
        <v>1230 Account Available Funds</v>
      </c>
      <c r="D263" s="1537"/>
      <c r="E263" s="1537"/>
      <c r="F263" s="1537"/>
      <c r="G263" s="646"/>
      <c r="H263" s="619"/>
      <c r="I263" s="620"/>
      <c r="J263" s="635"/>
      <c r="K263" s="635"/>
      <c r="L263" s="635"/>
      <c r="M263" s="635"/>
      <c r="N263" s="624"/>
      <c r="P263" s="80"/>
      <c r="Q263" s="80"/>
      <c r="R263" s="80"/>
      <c r="S263" s="80"/>
      <c r="T263" s="80"/>
      <c r="U263" s="80"/>
      <c r="V263" s="144"/>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c r="AW263" s="80"/>
      <c r="AX263" s="80"/>
      <c r="AY263" s="80"/>
      <c r="AZ263" s="80"/>
      <c r="BA263" s="80"/>
      <c r="BB263" s="80"/>
      <c r="BC263" s="80"/>
      <c r="BD263" s="80"/>
      <c r="BE263" s="80"/>
      <c r="BF263" s="80"/>
      <c r="BG263" s="80"/>
      <c r="BH263" s="80"/>
      <c r="BI263" s="80"/>
      <c r="BJ263" s="80"/>
    </row>
    <row r="264" spans="3:62" s="1" customFormat="1" ht="25.5" customHeight="1" x14ac:dyDescent="0.2">
      <c r="C264" s="1558" t="str">
        <f>IF($Q$2=2,"Solde reporté à la ligne "&amp;F227&amp;" du Bilan - page 6","This balance fwrd'd to line "&amp;F227&amp;" of Balance Sheet -  page 6")</f>
        <v>This balance fwrd'd to line 1230 of Balance Sheet -  page 6</v>
      </c>
      <c r="D264" s="1558"/>
      <c r="E264" s="1558"/>
      <c r="F264" s="1558"/>
      <c r="G264" s="590">
        <f>IF(AND(SUM(G228+G229-G230+G262)&lt;0.001,SUM(G228+G229-G230+G262)&gt;-0.001),0,SUM(G228+G229-G230+G262))</f>
        <v>0</v>
      </c>
      <c r="H264" s="625"/>
      <c r="I264" s="619"/>
      <c r="J264" s="620"/>
      <c r="K264" s="620"/>
      <c r="L264" s="620"/>
      <c r="M264" s="626"/>
      <c r="N264" s="627">
        <f>N234</f>
        <v>0</v>
      </c>
      <c r="P264" s="80"/>
      <c r="Q264" s="80"/>
      <c r="R264" s="80"/>
      <c r="S264" s="80"/>
      <c r="T264" s="80"/>
      <c r="U264" s="80"/>
      <c r="V264" s="144"/>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c r="AV264" s="80"/>
      <c r="AW264" s="80"/>
      <c r="AX264" s="80"/>
      <c r="AY264" s="80"/>
      <c r="AZ264" s="80"/>
      <c r="BA264" s="80"/>
      <c r="BB264" s="80"/>
      <c r="BC264" s="80"/>
      <c r="BD264" s="80"/>
      <c r="BE264" s="80"/>
      <c r="BF264" s="80"/>
      <c r="BG264" s="80"/>
      <c r="BH264" s="80"/>
      <c r="BI264" s="80"/>
      <c r="BJ264" s="80"/>
    </row>
    <row r="265" spans="3:62" s="1" customFormat="1" ht="9.75" customHeight="1" x14ac:dyDescent="0.2">
      <c r="C265" s="619"/>
      <c r="D265" s="619"/>
      <c r="E265" s="619"/>
      <c r="F265" s="628"/>
      <c r="G265" s="619"/>
      <c r="H265" s="619"/>
      <c r="I265" s="619"/>
      <c r="J265" s="620"/>
      <c r="K265" s="619"/>
      <c r="L265" s="619"/>
      <c r="M265" s="629"/>
      <c r="N265" s="619"/>
      <c r="P265" s="80"/>
      <c r="Q265" s="80"/>
      <c r="R265" s="80"/>
      <c r="S265" s="80"/>
      <c r="T265" s="80"/>
      <c r="U265" s="80"/>
      <c r="V265" s="144"/>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c r="AV265" s="80"/>
      <c r="AW265" s="80"/>
      <c r="AX265" s="80"/>
      <c r="AY265" s="80"/>
      <c r="AZ265" s="80"/>
      <c r="BA265" s="80"/>
      <c r="BB265" s="80"/>
      <c r="BC265" s="80"/>
      <c r="BD265" s="80"/>
      <c r="BE265" s="80"/>
      <c r="BF265" s="80"/>
      <c r="BG265" s="80"/>
      <c r="BH265" s="80"/>
      <c r="BI265" s="80"/>
      <c r="BJ265" s="80"/>
    </row>
    <row r="266" spans="3:62" s="1" customFormat="1" ht="9.75" customHeight="1" x14ac:dyDescent="0.2">
      <c r="C266" s="355"/>
      <c r="D266" s="355"/>
      <c r="E266" s="355"/>
      <c r="F266" s="355"/>
      <c r="G266" s="355"/>
      <c r="H266" s="355"/>
      <c r="I266" s="355"/>
      <c r="J266" s="355"/>
      <c r="K266" s="355"/>
      <c r="L266" s="355"/>
      <c r="M266" s="355"/>
      <c r="N266" s="619"/>
      <c r="P266" s="80"/>
      <c r="Q266" s="80"/>
      <c r="R266" s="80"/>
      <c r="S266" s="80"/>
      <c r="T266" s="80"/>
      <c r="U266" s="80"/>
      <c r="V266" s="144"/>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c r="AV266" s="80"/>
      <c r="AW266" s="80"/>
      <c r="AX266" s="80"/>
      <c r="AY266" s="80"/>
      <c r="AZ266" s="80"/>
      <c r="BA266" s="80"/>
      <c r="BB266" s="80"/>
      <c r="BC266" s="80"/>
      <c r="BD266" s="80"/>
      <c r="BE266" s="80"/>
      <c r="BF266" s="80"/>
      <c r="BG266" s="80"/>
      <c r="BH266" s="80"/>
      <c r="BI266" s="80"/>
      <c r="BJ266" s="80"/>
    </row>
    <row r="267" spans="3:62" s="1" customFormat="1" ht="44.25" customHeight="1" x14ac:dyDescent="0.2">
      <c r="C267" s="1563"/>
      <c r="D267" s="1563"/>
      <c r="E267" s="1563"/>
      <c r="F267" s="1563"/>
      <c r="G267" s="595">
        <f>IF(AND(G264-N264&lt;0.001,G264-N264&gt;-0.001),0,G264-N264)</f>
        <v>0</v>
      </c>
      <c r="H267" s="1540" t="str">
        <f>IF($Q$2=2,IF(G267=0,$T$7,$T$5),IF(G267=0,$T$8,$T$6))</f>
        <v>Books and Statements balance.</v>
      </c>
      <c r="I267" s="1540"/>
      <c r="J267" s="1540"/>
      <c r="K267" s="1540"/>
      <c r="L267" s="1540"/>
      <c r="M267" s="1540"/>
      <c r="N267" s="1540"/>
      <c r="P267" s="80"/>
      <c r="Q267" s="80"/>
      <c r="R267" s="80"/>
      <c r="S267" s="80"/>
      <c r="T267" s="80"/>
      <c r="U267" s="80"/>
      <c r="V267" s="144"/>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c r="AV267" s="80"/>
      <c r="AW267" s="80"/>
      <c r="AX267" s="80"/>
      <c r="AY267" s="80"/>
      <c r="AZ267" s="80"/>
      <c r="BA267" s="80"/>
      <c r="BB267" s="80"/>
      <c r="BC267" s="80"/>
      <c r="BD267" s="80"/>
      <c r="BE267" s="80"/>
      <c r="BF267" s="80"/>
      <c r="BG267" s="80"/>
      <c r="BH267" s="80"/>
      <c r="BI267" s="80"/>
      <c r="BJ267" s="80"/>
    </row>
    <row r="268" spans="3:62" s="1" customFormat="1" ht="33" customHeight="1" x14ac:dyDescent="0.2">
      <c r="C268" s="630"/>
      <c r="D268" s="630"/>
      <c r="E268" s="630"/>
      <c r="F268" s="630"/>
      <c r="G268" s="631"/>
      <c r="H268" s="632"/>
      <c r="I268" s="632"/>
      <c r="J268" s="632"/>
      <c r="K268" s="632"/>
      <c r="L268" s="632"/>
      <c r="M268" s="632"/>
      <c r="N268" s="632"/>
      <c r="P268" s="80"/>
      <c r="Q268" s="80"/>
      <c r="R268" s="80"/>
      <c r="S268" s="80"/>
      <c r="T268" s="80"/>
      <c r="U268" s="80"/>
      <c r="V268" s="144"/>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c r="AW268" s="80"/>
      <c r="AX268" s="80"/>
      <c r="AY268" s="80"/>
      <c r="AZ268" s="80"/>
      <c r="BA268" s="80"/>
      <c r="BB268" s="80"/>
      <c r="BC268" s="80"/>
      <c r="BD268" s="80"/>
      <c r="BE268" s="80"/>
      <c r="BF268" s="80"/>
      <c r="BG268" s="80"/>
      <c r="BH268" s="80"/>
      <c r="BI268" s="80"/>
      <c r="BJ268" s="80"/>
    </row>
    <row r="269" spans="3:62" ht="18.75" customHeight="1" x14ac:dyDescent="0.2">
      <c r="C269" s="1541"/>
      <c r="D269" s="1541"/>
      <c r="E269" s="1541"/>
      <c r="F269" s="1541"/>
      <c r="G269" s="1541"/>
      <c r="H269" s="1541"/>
      <c r="I269" s="1541"/>
      <c r="J269" s="1541"/>
      <c r="K269" s="1541"/>
      <c r="L269" s="1541"/>
      <c r="M269" s="1541"/>
      <c r="N269" s="1541"/>
    </row>
    <row r="270" spans="3:62" s="1" customFormat="1" ht="40.5" customHeight="1" x14ac:dyDescent="0.2">
      <c r="D270" s="1528" t="str">
        <f>IF($Q$2,"Réconciliation détaillée du compte "&amp;F272&amp;" - "&amp;C272,"Detailed Reconciliation of the Account "&amp;F272&amp;" - "&amp;C272)</f>
        <v>Réconciliation détaillée du compte 1240 - Available (Rename)</v>
      </c>
      <c r="E270" s="1528"/>
      <c r="F270" s="1528"/>
      <c r="G270" s="1528"/>
      <c r="H270" s="1528"/>
      <c r="I270" s="1528"/>
      <c r="J270" s="1528"/>
      <c r="K270" s="1528"/>
      <c r="L270" s="1528"/>
      <c r="M270" s="1528"/>
      <c r="N270" s="577"/>
      <c r="P270" s="80"/>
      <c r="Q270" s="80"/>
      <c r="R270" s="80"/>
      <c r="S270" s="80"/>
      <c r="T270" s="80"/>
      <c r="U270" s="80"/>
      <c r="V270" s="144"/>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c r="AW270" s="80"/>
      <c r="AX270" s="80"/>
      <c r="AY270" s="80"/>
      <c r="AZ270" s="80"/>
      <c r="BA270" s="80"/>
      <c r="BB270" s="80"/>
      <c r="BC270" s="80"/>
      <c r="BD270" s="80"/>
      <c r="BE270" s="80"/>
      <c r="BF270" s="80"/>
      <c r="BG270" s="80"/>
      <c r="BH270" s="80"/>
      <c r="BI270" s="80"/>
      <c r="BJ270" s="80"/>
    </row>
    <row r="271" spans="3:62" s="1" customFormat="1" ht="29.25" customHeight="1" x14ac:dyDescent="0.2">
      <c r="C271" s="1529" t="str">
        <f>IF($Q$2=2,"Réconciliation selon les livres comptables","Reconciliation as per BookKeeping")</f>
        <v>Reconciliation as per BookKeeping</v>
      </c>
      <c r="D271" s="1529"/>
      <c r="E271" s="1529"/>
      <c r="F271" s="1529"/>
      <c r="G271" s="1529"/>
      <c r="H271" s="619"/>
      <c r="I271" s="1529" t="str">
        <f>IF($Q$2=2,"Réconciliation selon l'état de compte","Reconciliation as per Account Statement")</f>
        <v>Reconciliation as per Account Statement</v>
      </c>
      <c r="J271" s="1529"/>
      <c r="K271" s="1529"/>
      <c r="L271" s="1529"/>
      <c r="M271" s="1529"/>
      <c r="N271" s="578" t="str">
        <f>F272</f>
        <v>1240</v>
      </c>
      <c r="P271" s="579"/>
      <c r="Q271" s="579"/>
      <c r="R271" s="579"/>
      <c r="S271" s="579"/>
      <c r="T271" s="579"/>
      <c r="U271" s="579"/>
      <c r="V271" s="47"/>
      <c r="W271" s="579"/>
      <c r="X271" s="579"/>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c r="AW271" s="80"/>
      <c r="AX271" s="80"/>
      <c r="AY271" s="80"/>
      <c r="AZ271" s="80"/>
      <c r="BA271" s="80"/>
      <c r="BB271" s="80"/>
      <c r="BC271" s="80"/>
      <c r="BD271" s="80"/>
      <c r="BE271" s="80"/>
      <c r="BF271" s="80"/>
      <c r="BG271" s="80"/>
      <c r="BH271" s="80"/>
      <c r="BI271" s="80"/>
      <c r="BJ271" s="80"/>
    </row>
    <row r="272" spans="3:62" s="1" customFormat="1" ht="25.5" customHeight="1" x14ac:dyDescent="0.2">
      <c r="C272" s="1542" t="str">
        <f>'Data Set up'!I28</f>
        <v>Available (Rename)</v>
      </c>
      <c r="D272" s="1542"/>
      <c r="E272" s="1542"/>
      <c r="F272" s="580" t="str">
        <f>LEFT('Data Set up'!H28,4)</f>
        <v>1240</v>
      </c>
      <c r="G272" s="620"/>
      <c r="H272" s="619"/>
      <c r="I272" s="1560"/>
      <c r="J272" s="1560"/>
      <c r="K272" s="1560"/>
      <c r="L272" s="1560"/>
      <c r="M272" s="1560"/>
      <c r="N272" s="1560"/>
      <c r="P272" s="80"/>
      <c r="Q272" s="80"/>
      <c r="R272" s="80"/>
      <c r="S272" s="80"/>
      <c r="T272" s="80"/>
      <c r="U272" s="80"/>
      <c r="V272" s="144"/>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c r="AW272" s="80"/>
      <c r="AX272" s="80"/>
      <c r="AY272" s="80"/>
      <c r="AZ272" s="80"/>
      <c r="BA272" s="80"/>
      <c r="BB272" s="80"/>
      <c r="BC272" s="80"/>
      <c r="BD272" s="80"/>
      <c r="BE272" s="80"/>
      <c r="BF272" s="80"/>
      <c r="BG272" s="80"/>
      <c r="BH272" s="80"/>
      <c r="BI272" s="80"/>
      <c r="BJ272" s="80"/>
    </row>
    <row r="273" spans="3:62" s="1" customFormat="1" ht="25.5" customHeight="1" x14ac:dyDescent="0.2">
      <c r="C273" s="1532" t="str">
        <f>IF($Q$2=2,"Solde du compte au ","Account Balance on ")</f>
        <v xml:space="preserve">Account Balance on </v>
      </c>
      <c r="D273" s="1532"/>
      <c r="E273" s="1532"/>
      <c r="F273" s="581" t="str">
        <f>'Data Set up'!$F$40&amp;" "&amp;'Data Set up'!$G$40&amp;" "&amp;'Data Set up'!$F$39</f>
        <v>31 August 2023</v>
      </c>
      <c r="G273" s="621">
        <f>'Data Set up'!F28</f>
        <v>0</v>
      </c>
      <c r="H273" s="619"/>
      <c r="I273" s="1533" t="str">
        <f>IF($Q$2=2,"Solde au compte en fin d'exercice","End of Year Account Balance")</f>
        <v>End of Year Account Balance</v>
      </c>
      <c r="J273" s="1533"/>
      <c r="K273" s="1533"/>
      <c r="L273" s="1533"/>
      <c r="M273" s="1533"/>
      <c r="N273" s="583">
        <v>0</v>
      </c>
      <c r="P273" s="80"/>
      <c r="Q273" s="1534" t="str">
        <f>IF($Q$2=2,"Inscrivez le solde ici","Insert the Balance here")</f>
        <v>Insert the Balance here</v>
      </c>
      <c r="R273" s="1534"/>
      <c r="S273" s="1534"/>
      <c r="T273" s="80"/>
      <c r="U273" s="585">
        <f>N273*1</f>
        <v>0</v>
      </c>
      <c r="V273" s="144"/>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c r="AW273" s="80"/>
      <c r="AX273" s="80"/>
      <c r="AY273" s="80"/>
      <c r="AZ273" s="80"/>
      <c r="BA273" s="80"/>
      <c r="BB273" s="80"/>
      <c r="BC273" s="80"/>
      <c r="BD273" s="80"/>
      <c r="BE273" s="80"/>
      <c r="BF273" s="80"/>
      <c r="BG273" s="80"/>
      <c r="BH273" s="80"/>
      <c r="BI273" s="80"/>
      <c r="BJ273" s="80"/>
    </row>
    <row r="274" spans="3:62" s="1" customFormat="1" ht="25.5" customHeight="1" x14ac:dyDescent="0.2">
      <c r="C274" s="1535" t="str">
        <f>IF($Q$2=2,"Plus: Accroissements (Jrnl des revenus)","Plus: Increase (Revenue Jrnl)")</f>
        <v>Plus: Increase (Revenue Jrnl)</v>
      </c>
      <c r="D274" s="1535"/>
      <c r="E274" s="1535"/>
      <c r="F274" s="1535"/>
      <c r="G274" s="621">
        <f>'Revenue Jrnl'!G533</f>
        <v>0</v>
      </c>
      <c r="H274" s="620"/>
      <c r="I274" s="1560"/>
      <c r="J274" s="1560"/>
      <c r="K274" s="1560"/>
      <c r="L274" s="1560"/>
      <c r="M274" s="1560"/>
      <c r="N274" s="1560"/>
      <c r="P274" s="80"/>
      <c r="Q274" s="80"/>
      <c r="R274" s="80"/>
      <c r="S274" s="80"/>
      <c r="T274" s="80"/>
      <c r="U274" s="80"/>
      <c r="V274" s="144"/>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c r="AW274" s="80"/>
      <c r="AX274" s="80"/>
      <c r="AY274" s="80"/>
      <c r="AZ274" s="80"/>
      <c r="BA274" s="80"/>
      <c r="BB274" s="80"/>
      <c r="BC274" s="80"/>
      <c r="BD274" s="80"/>
      <c r="BE274" s="80"/>
      <c r="BF274" s="80"/>
      <c r="BG274" s="80"/>
      <c r="BH274" s="80"/>
      <c r="BI274" s="80"/>
      <c r="BJ274" s="80"/>
    </row>
    <row r="275" spans="3:62" s="1" customFormat="1" ht="25.5" customHeight="1" x14ac:dyDescent="0.2">
      <c r="C275" s="1535" t="str">
        <f>IF($Q$2=2," Moins: Décroissements (Jrnl des dépenses)","Less: Decreases (Expense Jrnl)")</f>
        <v>Less: Decreases (Expense Jrnl)</v>
      </c>
      <c r="D275" s="1535"/>
      <c r="E275" s="1535"/>
      <c r="F275" s="1535"/>
      <c r="G275" s="621">
        <f>'Expense Jrnl'!G533</f>
        <v>0</v>
      </c>
      <c r="H275" s="619"/>
      <c r="I275" s="1545" t="str">
        <f>IF($Q$2=2,"Plus: Encaissements faits mais pas réconciliés","Plus: Cashing made but not reconciled")</f>
        <v>Plus: Cashing made but not reconciled</v>
      </c>
      <c r="J275" s="1545"/>
      <c r="K275" s="1545"/>
      <c r="L275" s="1545"/>
      <c r="M275" s="1545"/>
      <c r="N275" s="633">
        <f>'Revenue Jrnl'!H533</f>
        <v>0</v>
      </c>
      <c r="P275" s="80"/>
      <c r="Q275" s="80"/>
      <c r="R275" s="80"/>
      <c r="S275" s="80"/>
      <c r="T275" s="80"/>
      <c r="U275" s="80"/>
      <c r="V275" s="144"/>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c r="AW275" s="80"/>
      <c r="AX275" s="80"/>
      <c r="AY275" s="80"/>
      <c r="AZ275" s="80"/>
      <c r="BA275" s="80"/>
      <c r="BB275" s="80"/>
      <c r="BC275" s="80"/>
      <c r="BD275" s="80"/>
      <c r="BE275" s="80"/>
      <c r="BF275" s="80"/>
      <c r="BG275" s="80"/>
      <c r="BH275" s="80"/>
      <c r="BI275" s="80"/>
      <c r="BJ275" s="80"/>
    </row>
    <row r="276" spans="3:62" s="1" customFormat="1" ht="25.5" customHeight="1" x14ac:dyDescent="0.2">
      <c r="C276" s="1561"/>
      <c r="D276" s="1561"/>
      <c r="E276" s="1561"/>
      <c r="F276" s="1561"/>
      <c r="G276" s="619"/>
      <c r="H276" s="620"/>
      <c r="I276" s="1560"/>
      <c r="J276" s="1560"/>
      <c r="K276" s="1560"/>
      <c r="L276" s="1560"/>
      <c r="M276" s="1560"/>
      <c r="N276" s="1560"/>
      <c r="P276" s="80"/>
      <c r="Q276" s="80"/>
      <c r="R276" s="80"/>
      <c r="S276" s="80"/>
      <c r="T276" s="80"/>
      <c r="U276" s="80"/>
      <c r="V276" s="144"/>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c r="AW276" s="80"/>
      <c r="AX276" s="80"/>
      <c r="AY276" s="80"/>
      <c r="AZ276" s="80"/>
      <c r="BA276" s="80"/>
      <c r="BB276" s="80"/>
      <c r="BC276" s="80"/>
      <c r="BD276" s="80"/>
      <c r="BE276" s="80"/>
      <c r="BF276" s="80"/>
      <c r="BG276" s="80"/>
      <c r="BH276" s="80"/>
      <c r="BI276" s="80"/>
      <c r="BJ276" s="80"/>
    </row>
    <row r="277" spans="3:62" s="1" customFormat="1" ht="25.5" customHeight="1" x14ac:dyDescent="0.2">
      <c r="C277" s="1564" t="str">
        <f>IF($Q$2=2,"Les dépôts de l'année précédente (non traités dans l'année précédente)","Previous Year's Deposits (not processed in prev year)")</f>
        <v>Previous Year's Deposits (not processed in prev year)</v>
      </c>
      <c r="D277" s="1564"/>
      <c r="E277" s="1564"/>
      <c r="F277" s="1564"/>
      <c r="G277" s="1564"/>
      <c r="H277" s="619"/>
      <c r="I277" s="1547" t="str">
        <f>IF($Q$2=2,"Moins: Décaissements émis mais non encore enr.","Less: Disbursements made but not processed")</f>
        <v>Less: Disbursements made but not processed</v>
      </c>
      <c r="J277" s="1547"/>
      <c r="K277" s="1547"/>
      <c r="L277" s="1547"/>
      <c r="M277" s="1547"/>
      <c r="N277" s="633">
        <f>'Expense Jrnl'!H533</f>
        <v>0</v>
      </c>
      <c r="P277" s="80"/>
      <c r="Q277" s="80"/>
      <c r="R277" s="80"/>
      <c r="S277" s="80"/>
      <c r="T277" s="80"/>
      <c r="U277" s="80"/>
      <c r="V277" s="144"/>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c r="AW277" s="80"/>
      <c r="AX277" s="80"/>
      <c r="AY277" s="80"/>
      <c r="AZ277" s="80"/>
      <c r="BA277" s="80"/>
      <c r="BB277" s="80"/>
      <c r="BC277" s="80"/>
      <c r="BD277" s="80"/>
      <c r="BE277" s="80"/>
      <c r="BF277" s="80"/>
      <c r="BG277" s="80"/>
      <c r="BH277" s="80"/>
      <c r="BI277" s="80"/>
      <c r="BJ277" s="80"/>
    </row>
    <row r="278" spans="3:62" s="1" customFormat="1" ht="25.5" customHeight="1" x14ac:dyDescent="0.2">
      <c r="C278" s="601" t="str">
        <f>IF($Q$2=2,"No.de Réf","Ref No.")</f>
        <v>Ref No.</v>
      </c>
      <c r="D278" s="1548" t="str">
        <f>IF($Q$2=2,"Détails","Details")</f>
        <v>Details</v>
      </c>
      <c r="E278" s="1548"/>
      <c r="F278" s="1548"/>
      <c r="G278" s="601" t="str">
        <f>IF($Q$2=2,"Montant","Amount")</f>
        <v>Amount</v>
      </c>
      <c r="H278" s="619"/>
      <c r="I278" s="1560"/>
      <c r="J278" s="1560"/>
      <c r="K278" s="1560"/>
      <c r="L278" s="1560"/>
      <c r="M278" s="1560"/>
      <c r="N278" s="1560"/>
      <c r="P278" s="80"/>
      <c r="Q278" s="80"/>
      <c r="R278" s="80"/>
      <c r="S278" s="80"/>
      <c r="T278" s="80"/>
      <c r="U278" s="80"/>
      <c r="V278" s="144"/>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c r="AW278" s="80"/>
      <c r="AX278" s="80"/>
      <c r="AY278" s="80"/>
      <c r="AZ278" s="80"/>
      <c r="BA278" s="80"/>
      <c r="BB278" s="80"/>
      <c r="BC278" s="80"/>
      <c r="BD278" s="80"/>
      <c r="BE278" s="80"/>
      <c r="BF278" s="80"/>
      <c r="BG278" s="80"/>
      <c r="BH278" s="80"/>
      <c r="BI278" s="80"/>
      <c r="BJ278" s="80"/>
    </row>
    <row r="279" spans="3:62" s="1" customFormat="1" ht="25.5" customHeight="1" x14ac:dyDescent="0.2">
      <c r="C279" s="602" t="str">
        <f>IF('Data Set up'!$J59=$F$272,'Data Set up'!$C59,"")</f>
        <v/>
      </c>
      <c r="D279" s="1565" t="str">
        <f>IF('Data Set up'!$J59=$F$272,'Data Set up'!$D59,"")</f>
        <v/>
      </c>
      <c r="E279" s="1565"/>
      <c r="F279" s="1565"/>
      <c r="G279" s="634" t="str">
        <f>IF('Data Set up'!$J59=$F$272,'Data Set up'!$F59,"")</f>
        <v/>
      </c>
      <c r="H279" s="619"/>
      <c r="I279" s="1547" t="str">
        <f>IF($Q$2=2,"Solde disponible actuel du compte (reconcilié)","Actual Account balance available (reconciled)")</f>
        <v>Actual Account balance available (reconciled)</v>
      </c>
      <c r="J279" s="1547"/>
      <c r="K279" s="1547"/>
      <c r="L279" s="1547"/>
      <c r="M279" s="1547"/>
      <c r="N279" s="627">
        <f>N273+N275-N277</f>
        <v>0</v>
      </c>
      <c r="P279" s="80"/>
      <c r="Q279" s="80"/>
      <c r="R279" s="80"/>
      <c r="S279" s="80"/>
      <c r="T279" s="80"/>
      <c r="U279" s="80"/>
      <c r="V279" s="144"/>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c r="AW279" s="80"/>
      <c r="AX279" s="80"/>
      <c r="AY279" s="80"/>
      <c r="AZ279" s="80"/>
      <c r="BA279" s="80"/>
      <c r="BB279" s="80"/>
      <c r="BC279" s="80"/>
      <c r="BD279" s="80"/>
      <c r="BE279" s="80"/>
      <c r="BF279" s="80"/>
      <c r="BG279" s="80"/>
      <c r="BH279" s="80"/>
      <c r="BI279" s="80"/>
      <c r="BJ279" s="80"/>
    </row>
    <row r="280" spans="3:62" s="1" customFormat="1" ht="25.5" customHeight="1" x14ac:dyDescent="0.2">
      <c r="C280" s="602" t="str">
        <f>IF('Data Set up'!$J60=$F$272,'Data Set up'!$C60,"")</f>
        <v/>
      </c>
      <c r="D280" s="1565" t="str">
        <f>IF('Data Set up'!$J60=$F$272,'Data Set up'!$D60,"")</f>
        <v/>
      </c>
      <c r="E280" s="1565"/>
      <c r="F280" s="1565"/>
      <c r="G280" s="634" t="str">
        <f>IF('Data Set up'!$J60=$F$272,'Data Set up'!$F60,"")</f>
        <v/>
      </c>
      <c r="H280" s="619"/>
      <c r="P280" s="80"/>
      <c r="Q280" s="80"/>
      <c r="R280" s="80"/>
      <c r="S280" s="80"/>
      <c r="T280" s="80"/>
      <c r="U280" s="80"/>
      <c r="V280" s="144"/>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c r="AW280" s="80"/>
      <c r="AX280" s="80"/>
      <c r="AY280" s="80"/>
      <c r="AZ280" s="80"/>
      <c r="BA280" s="80"/>
      <c r="BB280" s="80"/>
      <c r="BC280" s="80"/>
      <c r="BD280" s="80"/>
      <c r="BE280" s="80"/>
      <c r="BF280" s="80"/>
      <c r="BG280" s="80"/>
      <c r="BH280" s="80"/>
      <c r="BI280" s="80"/>
      <c r="BJ280" s="80"/>
    </row>
    <row r="281" spans="3:62" s="1" customFormat="1" ht="25.5" customHeight="1" x14ac:dyDescent="0.2">
      <c r="C281" s="602" t="str">
        <f>IF('Data Set up'!$J61=$F$272,'Data Set up'!$C61,"")</f>
        <v/>
      </c>
      <c r="D281" s="1565" t="str">
        <f>IF('Data Set up'!$J61=$F$272,'Data Set up'!$D61,"")</f>
        <v/>
      </c>
      <c r="E281" s="1565"/>
      <c r="F281" s="1565"/>
      <c r="G281" s="634" t="str">
        <f>IF('Data Set up'!$J61=$F$272,'Data Set up'!$F61,"")</f>
        <v/>
      </c>
      <c r="H281" s="619"/>
      <c r="P281" s="80"/>
      <c r="Q281" s="80"/>
      <c r="R281" s="80"/>
      <c r="S281" s="80"/>
      <c r="T281" s="80"/>
      <c r="U281" s="80"/>
      <c r="V281" s="144"/>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c r="AW281" s="80"/>
      <c r="AX281" s="80"/>
      <c r="AY281" s="80"/>
      <c r="AZ281" s="80"/>
      <c r="BA281" s="80"/>
      <c r="BB281" s="80"/>
      <c r="BC281" s="80"/>
      <c r="BD281" s="80"/>
      <c r="BE281" s="80"/>
      <c r="BF281" s="80"/>
      <c r="BG281" s="80"/>
      <c r="BH281" s="80"/>
      <c r="BI281" s="80"/>
      <c r="BJ281" s="80"/>
    </row>
    <row r="282" spans="3:62" s="1" customFormat="1" ht="25.5" customHeight="1" x14ac:dyDescent="0.2">
      <c r="C282" s="602" t="str">
        <f>IF('Data Set up'!$J62=$F$272,'Data Set up'!$C62,"")</f>
        <v/>
      </c>
      <c r="D282" s="1565" t="str">
        <f>IF('Data Set up'!$J62=$F$272,'Data Set up'!$D62,"")</f>
        <v/>
      </c>
      <c r="E282" s="1565"/>
      <c r="F282" s="1565"/>
      <c r="G282" s="634" t="str">
        <f>IF('Data Set up'!$J62=$F$272,'Data Set up'!$F62,"")</f>
        <v/>
      </c>
      <c r="H282" s="619"/>
      <c r="P282" s="80"/>
      <c r="Q282" s="80"/>
      <c r="R282" s="80"/>
      <c r="S282" s="80"/>
      <c r="T282" s="80"/>
      <c r="U282" s="80"/>
      <c r="V282" s="144"/>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c r="AW282" s="80"/>
      <c r="AX282" s="80"/>
      <c r="AY282" s="80"/>
      <c r="AZ282" s="80"/>
      <c r="BA282" s="80"/>
      <c r="BB282" s="80"/>
      <c r="BC282" s="80"/>
      <c r="BD282" s="80"/>
      <c r="BE282" s="80"/>
      <c r="BF282" s="80"/>
      <c r="BG282" s="80"/>
      <c r="BH282" s="80"/>
      <c r="BI282" s="80"/>
      <c r="BJ282" s="80"/>
    </row>
    <row r="283" spans="3:62" s="1" customFormat="1" ht="25.5" customHeight="1" x14ac:dyDescent="0.2">
      <c r="C283" s="602" t="str">
        <f>IF('Data Set up'!$J63=$F$272,'Data Set up'!$C63,"")</f>
        <v/>
      </c>
      <c r="D283" s="1565" t="str">
        <f>IF('Data Set up'!$J63=$F$272,'Data Set up'!$D63,"")</f>
        <v/>
      </c>
      <c r="E283" s="1565"/>
      <c r="F283" s="1565"/>
      <c r="G283" s="634" t="str">
        <f>IF('Data Set up'!$J63=$F$272,'Data Set up'!$F63,"")</f>
        <v/>
      </c>
      <c r="H283" s="619"/>
      <c r="P283" s="80"/>
      <c r="Q283" s="80"/>
      <c r="R283" s="80"/>
      <c r="S283" s="80"/>
      <c r="T283" s="80"/>
      <c r="U283" s="80"/>
      <c r="V283" s="144"/>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0"/>
      <c r="BH283" s="80"/>
      <c r="BI283" s="80"/>
      <c r="BJ283" s="80"/>
    </row>
    <row r="284" spans="3:62" s="1" customFormat="1" ht="25.5" customHeight="1" x14ac:dyDescent="0.2">
      <c r="C284" s="602" t="str">
        <f>IF('Data Set up'!$J64=$F$272,'Data Set up'!$C64,"")</f>
        <v/>
      </c>
      <c r="D284" s="1565" t="str">
        <f>IF('Data Set up'!$J64=$F$272,'Data Set up'!$D64,"")</f>
        <v/>
      </c>
      <c r="E284" s="1565"/>
      <c r="F284" s="1565"/>
      <c r="G284" s="634" t="str">
        <f>IF('Data Set up'!$J64=$F$272,'Data Set up'!$F64,"")</f>
        <v/>
      </c>
      <c r="H284" s="619"/>
      <c r="P284" s="80"/>
      <c r="Q284" s="80"/>
      <c r="R284" s="80"/>
      <c r="S284" s="80"/>
      <c r="T284" s="80"/>
      <c r="U284" s="80"/>
      <c r="V284" s="144"/>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0"/>
      <c r="BH284" s="80"/>
      <c r="BI284" s="80"/>
      <c r="BJ284" s="80"/>
    </row>
    <row r="285" spans="3:62" s="1" customFormat="1" ht="25.5" customHeight="1" x14ac:dyDescent="0.2">
      <c r="C285" s="602" t="str">
        <f>IF('Data Set up'!$J65=$F$272,'Data Set up'!$C65,"")</f>
        <v/>
      </c>
      <c r="D285" s="1565" t="str">
        <f>IF('Data Set up'!$J65=$F$272,'Data Set up'!$D65,"")</f>
        <v/>
      </c>
      <c r="E285" s="1565"/>
      <c r="F285" s="1565"/>
      <c r="G285" s="634" t="str">
        <f>IF('Data Set up'!$J65=$F$272,'Data Set up'!$F65,"")</f>
        <v/>
      </c>
      <c r="H285" s="619"/>
      <c r="P285" s="80"/>
      <c r="Q285" s="80"/>
      <c r="R285" s="80"/>
      <c r="S285" s="80"/>
      <c r="T285" s="80"/>
      <c r="U285" s="80"/>
      <c r="V285" s="144"/>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0"/>
      <c r="BH285" s="80"/>
      <c r="BI285" s="80"/>
      <c r="BJ285" s="80"/>
    </row>
    <row r="286" spans="3:62" s="1" customFormat="1" ht="25.5" customHeight="1" x14ac:dyDescent="0.2">
      <c r="C286" s="602" t="str">
        <f>IF('Data Set up'!$J66=$F$272,'Data Set up'!$C66,"")</f>
        <v/>
      </c>
      <c r="D286" s="1565" t="str">
        <f>IF('Data Set up'!$J66=$F$272,'Data Set up'!$D66,"")</f>
        <v/>
      </c>
      <c r="E286" s="1565"/>
      <c r="F286" s="1565"/>
      <c r="G286" s="634" t="str">
        <f>IF('Data Set up'!$J66=$F$272,'Data Set up'!$F66,"")</f>
        <v/>
      </c>
      <c r="H286" s="619"/>
      <c r="P286" s="80"/>
      <c r="Q286" s="80"/>
      <c r="R286" s="80"/>
      <c r="S286" s="80"/>
      <c r="T286" s="80"/>
      <c r="U286" s="80"/>
      <c r="V286" s="144"/>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0"/>
      <c r="BH286" s="80"/>
      <c r="BI286" s="80"/>
      <c r="BJ286" s="80"/>
    </row>
    <row r="287" spans="3:62" s="1" customFormat="1" ht="25.5" customHeight="1" x14ac:dyDescent="0.2">
      <c r="C287" s="602" t="str">
        <f>IF('Data Set up'!$J67=$F$272,'Data Set up'!$C67,"")</f>
        <v/>
      </c>
      <c r="D287" s="1565" t="str">
        <f>IF('Data Set up'!$J67=$F$272,'Data Set up'!$D67,"")</f>
        <v/>
      </c>
      <c r="E287" s="1565"/>
      <c r="F287" s="1565"/>
      <c r="G287" s="634" t="str">
        <f>IF('Data Set up'!$J67=$F$272,'Data Set up'!$F67,"")</f>
        <v/>
      </c>
      <c r="H287" s="619"/>
      <c r="P287" s="80"/>
      <c r="Q287" s="80"/>
      <c r="R287" s="80"/>
      <c r="S287" s="80"/>
      <c r="T287" s="80"/>
      <c r="U287" s="80"/>
      <c r="V287" s="144"/>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0"/>
    </row>
    <row r="288" spans="3:62" s="1" customFormat="1" ht="25.5" customHeight="1" x14ac:dyDescent="0.2">
      <c r="C288" s="602" t="str">
        <f>IF('Data Set up'!$J68=$F$272,'Data Set up'!$C68,"")</f>
        <v/>
      </c>
      <c r="D288" s="1565" t="str">
        <f>IF('Data Set up'!$J68=$F$272,'Data Set up'!$D68,"")</f>
        <v/>
      </c>
      <c r="E288" s="1565"/>
      <c r="F288" s="1565"/>
      <c r="G288" s="634" t="str">
        <f>IF('Data Set up'!$J68=$F$272,'Data Set up'!$F68,"")</f>
        <v/>
      </c>
      <c r="H288" s="619"/>
      <c r="P288" s="80"/>
      <c r="Q288" s="80"/>
      <c r="R288" s="80"/>
      <c r="S288" s="80"/>
      <c r="T288" s="80"/>
      <c r="U288" s="80"/>
      <c r="V288" s="144"/>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0"/>
      <c r="BH288" s="80"/>
      <c r="BI288" s="80"/>
      <c r="BJ288" s="80"/>
    </row>
    <row r="289" spans="3:62" s="1" customFormat="1" ht="25.5" customHeight="1" x14ac:dyDescent="0.2">
      <c r="C289" s="602" t="str">
        <f>IF('Data Set up'!$J69=$F$272,'Data Set up'!$C69,"")</f>
        <v/>
      </c>
      <c r="D289" s="1565" t="str">
        <f>IF('Data Set up'!$J69=$F$272,'Data Set up'!$D69,"")</f>
        <v/>
      </c>
      <c r="E289" s="1565"/>
      <c r="F289" s="1565"/>
      <c r="G289" s="634" t="str">
        <f>IF('Data Set up'!$J69=$F$272,'Data Set up'!$F69,"")</f>
        <v/>
      </c>
      <c r="H289" s="619"/>
      <c r="P289" s="80"/>
      <c r="Q289" s="80"/>
      <c r="R289" s="80"/>
      <c r="S289" s="80"/>
      <c r="T289" s="80"/>
      <c r="U289" s="80"/>
      <c r="V289" s="144"/>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0"/>
    </row>
    <row r="290" spans="3:62" s="1" customFormat="1" ht="25.5" customHeight="1" x14ac:dyDescent="0.2">
      <c r="C290" s="602" t="str">
        <f>IF('Data Set up'!$J70=$F$272,'Data Set up'!$C70,"")</f>
        <v/>
      </c>
      <c r="D290" s="1565" t="str">
        <f>IF('Data Set up'!$J70=$F$272,'Data Set up'!$D70,"")</f>
        <v/>
      </c>
      <c r="E290" s="1565"/>
      <c r="F290" s="1565"/>
      <c r="G290" s="634" t="str">
        <f>IF('Data Set up'!$J70=$F$272,'Data Set up'!$F70,"")</f>
        <v/>
      </c>
      <c r="H290" s="619"/>
      <c r="I290" s="635"/>
      <c r="J290" s="635"/>
      <c r="K290" s="635"/>
      <c r="L290" s="635"/>
      <c r="M290" s="635"/>
      <c r="N290" s="635"/>
      <c r="P290" s="80"/>
      <c r="Q290" s="80"/>
      <c r="R290" s="80"/>
      <c r="S290" s="80"/>
      <c r="T290" s="80"/>
      <c r="U290" s="80"/>
      <c r="V290" s="144"/>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c r="BH290" s="80"/>
      <c r="BI290" s="80"/>
      <c r="BJ290" s="80"/>
    </row>
    <row r="291" spans="3:62" s="1" customFormat="1" ht="25.5" customHeight="1" x14ac:dyDescent="0.2">
      <c r="C291" s="602" t="str">
        <f>IF('Data Set up'!$J71=$F$272,'Data Set up'!$C71,"")</f>
        <v/>
      </c>
      <c r="D291" s="1565" t="str">
        <f>IF('Data Set up'!$J71=$F$272,'Data Set up'!$D71,"")</f>
        <v/>
      </c>
      <c r="E291" s="1565"/>
      <c r="F291" s="1565"/>
      <c r="G291" s="634" t="str">
        <f>IF('Data Set up'!$J71=$F$272,'Data Set up'!$F71,"")</f>
        <v/>
      </c>
      <c r="H291" s="619"/>
      <c r="I291" s="620"/>
      <c r="J291" s="635"/>
      <c r="K291" s="635"/>
      <c r="L291" s="635"/>
      <c r="M291" s="635"/>
      <c r="N291" s="636"/>
      <c r="P291" s="80"/>
      <c r="Q291" s="80"/>
      <c r="R291" s="80"/>
      <c r="S291" s="80"/>
      <c r="T291" s="80"/>
      <c r="U291" s="80"/>
      <c r="V291" s="144"/>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c r="BH291" s="80"/>
      <c r="BI291" s="80"/>
      <c r="BJ291" s="80"/>
    </row>
    <row r="292" spans="3:62" s="1" customFormat="1" ht="25.5" customHeight="1" x14ac:dyDescent="0.2">
      <c r="C292" s="1564" t="str">
        <f>IF($Q$2=2,"Les chèques de l'année précédente (non traités dans l'année précédente)","Previous Year's Cheques (not processed in prev year)")</f>
        <v>Previous Year's Cheques (not processed in prev year)</v>
      </c>
      <c r="D292" s="1564"/>
      <c r="E292" s="1564"/>
      <c r="F292" s="1564"/>
      <c r="G292" s="1564"/>
      <c r="H292" s="619"/>
      <c r="I292" s="637"/>
      <c r="J292" s="638"/>
      <c r="K292" s="638"/>
      <c r="L292" s="638"/>
      <c r="M292" s="638"/>
      <c r="N292" s="636"/>
      <c r="P292" s="80"/>
      <c r="Q292" s="80"/>
      <c r="R292" s="80"/>
      <c r="S292" s="80"/>
      <c r="T292" s="80"/>
      <c r="U292" s="80"/>
      <c r="V292" s="144"/>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0"/>
      <c r="BH292" s="80"/>
      <c r="BI292" s="80"/>
      <c r="BJ292" s="80"/>
    </row>
    <row r="293" spans="3:62" s="1" customFormat="1" ht="25.5" customHeight="1" x14ac:dyDescent="0.2">
      <c r="C293" s="606" t="str">
        <f>IF($Q$2=2,"Chèque #","Cheque #")</f>
        <v>Cheque #</v>
      </c>
      <c r="D293" s="1548" t="str">
        <f>IF($Q$2=2,"À l'ordre de","Payable to")</f>
        <v>Payable to</v>
      </c>
      <c r="E293" s="1548"/>
      <c r="F293" s="1548"/>
      <c r="G293" s="607" t="str">
        <f>IF($Q$2=2,"Montant","Amount")</f>
        <v>Amount</v>
      </c>
      <c r="H293" s="620"/>
      <c r="I293" s="639"/>
      <c r="J293" s="638"/>
      <c r="K293" s="638"/>
      <c r="L293" s="638"/>
      <c r="M293" s="638"/>
      <c r="N293" s="636"/>
      <c r="P293" s="80"/>
      <c r="Q293" s="80"/>
      <c r="R293" s="80"/>
      <c r="S293" s="80"/>
      <c r="T293" s="80"/>
      <c r="U293" s="80"/>
      <c r="V293" s="144"/>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c r="BH293" s="80"/>
      <c r="BI293" s="80"/>
      <c r="BJ293" s="80"/>
    </row>
    <row r="294" spans="3:62" s="1" customFormat="1" ht="25.5" customHeight="1" x14ac:dyDescent="0.2">
      <c r="C294" s="602" t="str">
        <f>IF('Data Set up'!$J76=$F$272,'Data Set up'!$C76,"")</f>
        <v/>
      </c>
      <c r="D294" s="1565" t="str">
        <f>IF('Data Set up'!$J76=$F$272,'Data Set up'!$D76,"")</f>
        <v/>
      </c>
      <c r="E294" s="1565"/>
      <c r="F294" s="1565"/>
      <c r="G294" s="634" t="str">
        <f>IF('Data Set up'!$J76=$F$272,'Data Set up'!$F76,"")</f>
        <v/>
      </c>
      <c r="H294" s="620"/>
      <c r="I294" s="619"/>
      <c r="J294" s="619"/>
      <c r="K294" s="619"/>
      <c r="L294" s="619"/>
      <c r="M294" s="619"/>
      <c r="N294" s="636"/>
      <c r="P294" s="80"/>
      <c r="Q294" s="80"/>
      <c r="R294" s="80"/>
      <c r="S294" s="80"/>
      <c r="T294" s="80"/>
      <c r="U294" s="80"/>
      <c r="V294" s="144"/>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0"/>
      <c r="BH294" s="80"/>
      <c r="BI294" s="80"/>
      <c r="BJ294" s="80"/>
    </row>
    <row r="295" spans="3:62" s="1" customFormat="1" ht="25.5" customHeight="1" x14ac:dyDescent="0.2">
      <c r="C295" s="602" t="str">
        <f>IF('Data Set up'!$J77=$F$272,'Data Set up'!$C77,"")</f>
        <v/>
      </c>
      <c r="D295" s="1565" t="str">
        <f>IF('Data Set up'!$J77=$F$272,'Data Set up'!$D77,"")</f>
        <v/>
      </c>
      <c r="E295" s="1565"/>
      <c r="F295" s="1565"/>
      <c r="G295" s="634" t="str">
        <f>IF('Data Set up'!$J77=$F$272,'Data Set up'!$F77,"")</f>
        <v/>
      </c>
      <c r="H295" s="619"/>
      <c r="I295" s="620"/>
      <c r="J295" s="620"/>
      <c r="K295" s="620"/>
      <c r="L295" s="620"/>
      <c r="M295" s="620"/>
      <c r="N295" s="620"/>
      <c r="P295" s="80"/>
      <c r="Q295" s="80"/>
      <c r="R295" s="80"/>
      <c r="S295" s="80"/>
      <c r="T295" s="80"/>
      <c r="U295" s="80"/>
      <c r="V295" s="144"/>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0"/>
      <c r="BH295" s="80"/>
      <c r="BI295" s="80"/>
      <c r="BJ295" s="80"/>
    </row>
    <row r="296" spans="3:62" s="1" customFormat="1" ht="25.5" customHeight="1" x14ac:dyDescent="0.2">
      <c r="C296" s="602" t="str">
        <f>IF('Data Set up'!$J78=$F$272,'Data Set up'!$C78,"")</f>
        <v/>
      </c>
      <c r="D296" s="1565" t="str">
        <f>IF('Data Set up'!$J78=$F$272,'Data Set up'!$D78,"")</f>
        <v/>
      </c>
      <c r="E296" s="1565"/>
      <c r="F296" s="1565"/>
      <c r="G296" s="634" t="str">
        <f>IF('Data Set up'!$J78=$F$272,'Data Set up'!$F78,"")</f>
        <v/>
      </c>
      <c r="H296" s="619"/>
      <c r="I296" s="640"/>
      <c r="J296" s="635"/>
      <c r="K296" s="635"/>
      <c r="L296" s="635"/>
      <c r="M296" s="635"/>
      <c r="N296" s="635"/>
      <c r="P296" s="80"/>
      <c r="Q296" s="80"/>
      <c r="R296" s="80"/>
      <c r="S296" s="80"/>
      <c r="T296" s="80"/>
      <c r="U296" s="80"/>
      <c r="V296" s="144"/>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0"/>
      <c r="BH296" s="80"/>
      <c r="BI296" s="80"/>
      <c r="BJ296" s="80"/>
    </row>
    <row r="297" spans="3:62" s="1" customFormat="1" ht="25.5" customHeight="1" x14ac:dyDescent="0.2">
      <c r="C297" s="602" t="str">
        <f>IF('Data Set up'!$J79=$F$272,'Data Set up'!$C79,"")</f>
        <v/>
      </c>
      <c r="D297" s="1565" t="str">
        <f>IF('Data Set up'!$J79=$F$272,'Data Set up'!$D79,"")</f>
        <v/>
      </c>
      <c r="E297" s="1565"/>
      <c r="F297" s="1565"/>
      <c r="G297" s="634" t="str">
        <f>IF('Data Set up'!$J79=$F$272,'Data Set up'!$F79,"")</f>
        <v/>
      </c>
      <c r="H297" s="619"/>
      <c r="I297" s="641"/>
      <c r="J297" s="635"/>
      <c r="K297" s="635"/>
      <c r="L297" s="635"/>
      <c r="M297" s="635"/>
      <c r="N297" s="624"/>
      <c r="P297" s="80"/>
      <c r="Q297" s="80"/>
      <c r="R297" s="80"/>
      <c r="S297" s="80"/>
      <c r="T297" s="80"/>
      <c r="U297" s="80"/>
      <c r="V297" s="144"/>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row>
    <row r="298" spans="3:62" s="1" customFormat="1" ht="25.5" customHeight="1" x14ac:dyDescent="0.2">
      <c r="C298" s="602" t="str">
        <f>IF('Data Set up'!$J80=$F$272,'Data Set up'!$C80,"")</f>
        <v/>
      </c>
      <c r="D298" s="1565" t="str">
        <f>IF('Data Set up'!$J80=$F$272,'Data Set up'!$D80,"")</f>
        <v/>
      </c>
      <c r="E298" s="1565"/>
      <c r="F298" s="1565"/>
      <c r="G298" s="634" t="str">
        <f>IF('Data Set up'!$J80=$F$272,'Data Set up'!$F80,"")</f>
        <v/>
      </c>
      <c r="H298" s="619"/>
      <c r="I298" s="641"/>
      <c r="J298" s="635"/>
      <c r="K298" s="635"/>
      <c r="L298" s="635"/>
      <c r="M298" s="635"/>
      <c r="N298" s="624"/>
      <c r="P298" s="80"/>
      <c r="Q298" s="80"/>
      <c r="R298" s="80"/>
      <c r="S298" s="80"/>
      <c r="T298" s="80"/>
      <c r="U298" s="80"/>
      <c r="V298" s="144"/>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row>
    <row r="299" spans="3:62" s="1" customFormat="1" ht="25.5" customHeight="1" x14ac:dyDescent="0.2">
      <c r="C299" s="602" t="str">
        <f>IF('Data Set up'!$J81=$F$272,'Data Set up'!$C81,"")</f>
        <v/>
      </c>
      <c r="D299" s="1565" t="str">
        <f>IF('Data Set up'!$J81=$F$272,'Data Set up'!$D81,"")</f>
        <v/>
      </c>
      <c r="E299" s="1565"/>
      <c r="F299" s="1565"/>
      <c r="G299" s="634" t="str">
        <f>IF('Data Set up'!$J81=$F$272,'Data Set up'!$F81,"")</f>
        <v/>
      </c>
      <c r="H299" s="619"/>
      <c r="I299" s="641"/>
      <c r="J299" s="635"/>
      <c r="K299" s="635"/>
      <c r="L299" s="635"/>
      <c r="M299" s="635"/>
      <c r="N299" s="624"/>
      <c r="P299" s="80"/>
      <c r="Q299" s="80"/>
      <c r="R299" s="80"/>
      <c r="S299" s="80"/>
      <c r="T299" s="80"/>
      <c r="U299" s="80"/>
      <c r="V299" s="144"/>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0"/>
      <c r="BH299" s="80"/>
      <c r="BI299" s="80"/>
      <c r="BJ299" s="80"/>
    </row>
    <row r="300" spans="3:62" s="1" customFormat="1" ht="25.5" customHeight="1" x14ac:dyDescent="0.2">
      <c r="C300" s="602" t="str">
        <f>IF('Data Set up'!$J82=$F$272,'Data Set up'!$C82,"")</f>
        <v/>
      </c>
      <c r="D300" s="1565" t="str">
        <f>IF('Data Set up'!$J82=$F$272,'Data Set up'!$D82,"")</f>
        <v/>
      </c>
      <c r="E300" s="1565"/>
      <c r="F300" s="1565"/>
      <c r="G300" s="634" t="str">
        <f>IF('Data Set up'!$J82=$F$272,'Data Set up'!$F82,"")</f>
        <v/>
      </c>
      <c r="H300" s="619"/>
      <c r="I300" s="641"/>
      <c r="J300" s="635"/>
      <c r="K300" s="635"/>
      <c r="L300" s="635"/>
      <c r="M300" s="635"/>
      <c r="N300" s="624"/>
      <c r="P300" s="80"/>
      <c r="Q300" s="80"/>
      <c r="R300" s="80"/>
      <c r="S300" s="80"/>
      <c r="T300" s="80"/>
      <c r="U300" s="80"/>
      <c r="V300" s="144"/>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c r="AW300" s="80"/>
      <c r="AX300" s="80"/>
      <c r="AY300" s="80"/>
      <c r="AZ300" s="80"/>
      <c r="BA300" s="80"/>
      <c r="BB300" s="80"/>
      <c r="BC300" s="80"/>
      <c r="BD300" s="80"/>
      <c r="BE300" s="80"/>
      <c r="BF300" s="80"/>
      <c r="BG300" s="80"/>
      <c r="BH300" s="80"/>
      <c r="BI300" s="80"/>
      <c r="BJ300" s="80"/>
    </row>
    <row r="301" spans="3:62" s="1" customFormat="1" ht="25.5" customHeight="1" x14ac:dyDescent="0.2">
      <c r="C301" s="602" t="str">
        <f>IF('Data Set up'!$J83=$F$272,'Data Set up'!$C83,"")</f>
        <v/>
      </c>
      <c r="D301" s="1565" t="str">
        <f>IF('Data Set up'!$J83=$F$272,'Data Set up'!$D83,"")</f>
        <v/>
      </c>
      <c r="E301" s="1565"/>
      <c r="F301" s="1565"/>
      <c r="G301" s="634" t="str">
        <f>IF('Data Set up'!$J83=$F$272,'Data Set up'!$F83,"")</f>
        <v/>
      </c>
      <c r="H301" s="619"/>
      <c r="I301" s="642"/>
      <c r="J301" s="643"/>
      <c r="K301" s="643"/>
      <c r="L301" s="643"/>
      <c r="M301" s="643"/>
      <c r="N301" s="624"/>
      <c r="P301" s="80"/>
      <c r="Q301" s="80"/>
      <c r="R301" s="80"/>
      <c r="S301" s="80"/>
      <c r="T301" s="80"/>
      <c r="U301" s="80"/>
      <c r="V301" s="144"/>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c r="BH301" s="80"/>
      <c r="BI301" s="80"/>
      <c r="BJ301" s="80"/>
    </row>
    <row r="302" spans="3:62" s="1" customFormat="1" ht="25.5" customHeight="1" x14ac:dyDescent="0.2">
      <c r="C302" s="602" t="str">
        <f>IF('Data Set up'!$J84=$F$272,'Data Set up'!$C84,"")</f>
        <v/>
      </c>
      <c r="D302" s="1565" t="str">
        <f>IF('Data Set up'!$J84=$F$272,'Data Set up'!$D84,"")</f>
        <v/>
      </c>
      <c r="E302" s="1565"/>
      <c r="F302" s="1565"/>
      <c r="G302" s="634" t="str">
        <f>IF('Data Set up'!$J84=$F$272,'Data Set up'!$F84,"")</f>
        <v/>
      </c>
      <c r="H302" s="619"/>
      <c r="I302" s="644"/>
      <c r="J302" s="643"/>
      <c r="K302" s="643"/>
      <c r="L302" s="643"/>
      <c r="M302" s="643"/>
      <c r="N302" s="624"/>
      <c r="P302" s="80"/>
      <c r="Q302" s="80"/>
      <c r="R302" s="80"/>
      <c r="S302" s="80"/>
      <c r="T302" s="80"/>
      <c r="U302" s="80"/>
      <c r="V302" s="144"/>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0"/>
    </row>
    <row r="303" spans="3:62" s="1" customFormat="1" ht="25.5" customHeight="1" x14ac:dyDescent="0.2">
      <c r="C303" s="602" t="str">
        <f>IF('Data Set up'!$J85=$F$272,'Data Set up'!$C85,"")</f>
        <v/>
      </c>
      <c r="D303" s="1565" t="str">
        <f>IF('Data Set up'!$J85=$F$272,'Data Set up'!$D85,"")</f>
        <v/>
      </c>
      <c r="E303" s="1565"/>
      <c r="F303" s="1565"/>
      <c r="G303" s="634" t="str">
        <f>IF('Data Set up'!$J85=$F$272,'Data Set up'!$F85,"")</f>
        <v/>
      </c>
      <c r="H303" s="619"/>
      <c r="I303" s="642"/>
      <c r="J303" s="643"/>
      <c r="K303" s="643"/>
      <c r="L303" s="643"/>
      <c r="M303" s="643"/>
      <c r="N303" s="624"/>
      <c r="P303" s="80"/>
      <c r="Q303" s="80"/>
      <c r="R303" s="80"/>
      <c r="S303" s="80"/>
      <c r="T303" s="80"/>
      <c r="U303" s="80"/>
      <c r="V303" s="144"/>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0"/>
      <c r="BH303" s="80"/>
      <c r="BI303" s="80"/>
      <c r="BJ303" s="80"/>
    </row>
    <row r="304" spans="3:62" s="1" customFormat="1" ht="25.5" customHeight="1" x14ac:dyDescent="0.2">
      <c r="C304" s="602" t="str">
        <f>IF('Data Set up'!$J86=$F$272,'Data Set up'!$C86,"")</f>
        <v/>
      </c>
      <c r="D304" s="1565" t="str">
        <f>IF('Data Set up'!$J86=$F$272,'Data Set up'!$D86,"")</f>
        <v/>
      </c>
      <c r="E304" s="1565"/>
      <c r="F304" s="1565"/>
      <c r="G304" s="634" t="str">
        <f>IF('Data Set up'!$J86=$F$272,'Data Set up'!$F86,"")</f>
        <v/>
      </c>
      <c r="H304" s="619"/>
      <c r="I304" s="642"/>
      <c r="J304" s="647"/>
      <c r="K304" s="647"/>
      <c r="L304" s="647"/>
      <c r="M304" s="647"/>
      <c r="N304" s="624"/>
      <c r="P304" s="80"/>
      <c r="Q304" s="80"/>
      <c r="R304" s="80"/>
      <c r="S304" s="80"/>
      <c r="T304" s="80"/>
      <c r="U304" s="80"/>
      <c r="V304" s="144"/>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0"/>
      <c r="BH304" s="80"/>
      <c r="BI304" s="80"/>
      <c r="BJ304" s="80"/>
    </row>
    <row r="305" spans="3:70" s="1" customFormat="1" ht="25.5" customHeight="1" x14ac:dyDescent="0.2">
      <c r="C305" s="602" t="str">
        <f>IF('Data Set up'!$J87=$F$272,'Data Set up'!$C87,"")</f>
        <v/>
      </c>
      <c r="D305" s="1565" t="str">
        <f>IF('Data Set up'!$J87=$F$272,'Data Set up'!$D87,"")</f>
        <v/>
      </c>
      <c r="E305" s="1565"/>
      <c r="F305" s="1565"/>
      <c r="G305" s="634" t="str">
        <f>IF('Data Set up'!$J87=$F$272,'Data Set up'!$F87,"")</f>
        <v/>
      </c>
      <c r="H305" s="619"/>
      <c r="I305" s="620"/>
      <c r="J305" s="635"/>
      <c r="K305" s="635"/>
      <c r="L305" s="635"/>
      <c r="M305" s="635"/>
      <c r="N305" s="624"/>
      <c r="P305" s="80"/>
      <c r="Q305" s="80"/>
      <c r="R305" s="80"/>
      <c r="S305" s="80"/>
      <c r="T305" s="80"/>
      <c r="U305" s="80"/>
      <c r="V305" s="144"/>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0"/>
      <c r="BH305" s="80"/>
      <c r="BI305" s="80"/>
      <c r="BJ305" s="80"/>
    </row>
    <row r="306" spans="3:70" s="1" customFormat="1" ht="25.5" customHeight="1" x14ac:dyDescent="0.2">
      <c r="C306" s="602" t="str">
        <f>IF('Data Set up'!$J88=$F$272,'Data Set up'!$C88,"")</f>
        <v/>
      </c>
      <c r="D306" s="1565" t="str">
        <f>IF('Data Set up'!$J88=$F$272,'Data Set up'!$D88,"")</f>
        <v/>
      </c>
      <c r="E306" s="1565"/>
      <c r="F306" s="1565"/>
      <c r="G306" s="634" t="str">
        <f>IF('Data Set up'!$J88=$F$272,'Data Set up'!$F88,"")</f>
        <v/>
      </c>
      <c r="H306" s="619"/>
      <c r="I306" s="620"/>
      <c r="J306" s="635"/>
      <c r="K306" s="635"/>
      <c r="L306" s="635"/>
      <c r="M306" s="635"/>
      <c r="N306" s="624"/>
      <c r="P306" s="80"/>
      <c r="Q306" s="80"/>
      <c r="R306" s="80"/>
      <c r="S306" s="80"/>
      <c r="T306" s="80"/>
      <c r="U306" s="80"/>
      <c r="V306" s="144"/>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0"/>
      <c r="BH306" s="80"/>
      <c r="BI306" s="80"/>
      <c r="BJ306" s="80"/>
    </row>
    <row r="307" spans="3:70" s="1" customFormat="1" ht="25.5" customHeight="1" x14ac:dyDescent="0.2">
      <c r="C307" s="1554" t="str">
        <f>IF($Q$2=2,"Montant non-comptabilisé de l'année précédente","Previous Year's non-accounted Amount")</f>
        <v>Previous Year's non-accounted Amount</v>
      </c>
      <c r="D307" s="1554"/>
      <c r="E307" s="1554"/>
      <c r="F307" s="1554"/>
      <c r="G307" s="621">
        <f>SUM(G279:G291)-SUM(G294:G306)</f>
        <v>0</v>
      </c>
      <c r="H307" s="619"/>
      <c r="I307" s="629"/>
      <c r="J307" s="635"/>
      <c r="K307" s="635"/>
      <c r="L307" s="635"/>
      <c r="M307" s="635"/>
      <c r="N307" s="624"/>
      <c r="P307" s="80"/>
      <c r="Q307" s="80"/>
      <c r="R307" s="80"/>
      <c r="S307" s="80"/>
      <c r="T307" s="80"/>
      <c r="U307" s="80"/>
      <c r="V307" s="144"/>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c r="BH307" s="80"/>
      <c r="BI307" s="80"/>
      <c r="BJ307" s="80"/>
    </row>
    <row r="308" spans="3:70" s="1" customFormat="1" ht="25.5" customHeight="1" x14ac:dyDescent="0.2">
      <c r="C308" s="1537" t="str">
        <f>IF($Q$2=2,F272&amp;" Fonds disponible du compte",F272&amp;" Account Available Funds")</f>
        <v>1240 Account Available Funds</v>
      </c>
      <c r="D308" s="1537"/>
      <c r="E308" s="1537"/>
      <c r="F308" s="1537"/>
      <c r="G308" s="646"/>
      <c r="H308" s="619"/>
      <c r="I308" s="620"/>
      <c r="J308" s="635"/>
      <c r="K308" s="635"/>
      <c r="L308" s="635"/>
      <c r="M308" s="635"/>
      <c r="N308" s="624"/>
      <c r="P308" s="80"/>
      <c r="Q308" s="80"/>
      <c r="R308" s="80"/>
      <c r="S308" s="80"/>
      <c r="T308" s="80"/>
      <c r="U308" s="80"/>
      <c r="V308" s="144"/>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0"/>
    </row>
    <row r="309" spans="3:70" s="1" customFormat="1" ht="25.5" customHeight="1" x14ac:dyDescent="0.2">
      <c r="C309" s="1558" t="str">
        <f>IF($Q$2=2,"Solde reporté à la ligne "&amp;F272&amp;" du Bilan - page 6","This balance fwrd'd to line "&amp;F272&amp;" of Balance Sheet -  page 6")</f>
        <v>This balance fwrd'd to line 1240 of Balance Sheet -  page 6</v>
      </c>
      <c r="D309" s="1558"/>
      <c r="E309" s="1558"/>
      <c r="F309" s="1558"/>
      <c r="G309" s="590">
        <f>IF(AND(SUM(G273+G274-G275+G307)&lt;0.001,SUM(G273+G274-G275+G307)&gt;-0.001),0,SUM(G273+G274-G275+G307))</f>
        <v>0</v>
      </c>
      <c r="H309" s="625"/>
      <c r="I309" s="619"/>
      <c r="J309" s="620"/>
      <c r="K309" s="620"/>
      <c r="L309" s="620"/>
      <c r="M309" s="626"/>
      <c r="N309" s="627">
        <f>N279</f>
        <v>0</v>
      </c>
      <c r="P309" s="80"/>
      <c r="Q309" s="80"/>
      <c r="R309" s="80"/>
      <c r="S309" s="80"/>
      <c r="T309" s="80"/>
      <c r="U309" s="80"/>
      <c r="V309" s="144"/>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c r="BH309" s="80"/>
      <c r="BI309" s="80"/>
      <c r="BJ309" s="80"/>
    </row>
    <row r="310" spans="3:70" s="1" customFormat="1" ht="9.75" customHeight="1" x14ac:dyDescent="0.2">
      <c r="C310" s="619"/>
      <c r="D310" s="619"/>
      <c r="E310" s="619"/>
      <c r="F310" s="628"/>
      <c r="G310" s="619"/>
      <c r="H310" s="619"/>
      <c r="I310" s="619"/>
      <c r="J310" s="620"/>
      <c r="K310" s="619"/>
      <c r="L310" s="619"/>
      <c r="M310" s="629"/>
      <c r="N310" s="619"/>
      <c r="P310" s="80"/>
      <c r="Q310" s="80"/>
      <c r="R310" s="80"/>
      <c r="S310" s="80"/>
      <c r="T310" s="80"/>
      <c r="U310" s="80"/>
      <c r="V310" s="144"/>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0"/>
      <c r="BH310" s="80"/>
      <c r="BI310" s="80"/>
      <c r="BJ310" s="80"/>
    </row>
    <row r="311" spans="3:70" s="1" customFormat="1" ht="9.75" customHeight="1" x14ac:dyDescent="0.2">
      <c r="C311" s="355"/>
      <c r="D311" s="355"/>
      <c r="E311" s="355"/>
      <c r="F311" s="355"/>
      <c r="G311" s="355"/>
      <c r="H311" s="355"/>
      <c r="I311" s="355"/>
      <c r="J311" s="355"/>
      <c r="K311" s="355"/>
      <c r="L311" s="355"/>
      <c r="M311" s="355"/>
      <c r="N311" s="619"/>
      <c r="P311" s="80"/>
      <c r="Q311" s="80"/>
      <c r="R311" s="80"/>
      <c r="S311" s="80"/>
      <c r="T311" s="80"/>
      <c r="U311" s="80"/>
      <c r="V311" s="144"/>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c r="AW311" s="80"/>
      <c r="AX311" s="80"/>
      <c r="AY311" s="80"/>
      <c r="AZ311" s="80"/>
      <c r="BA311" s="80"/>
      <c r="BB311" s="80"/>
      <c r="BC311" s="80"/>
      <c r="BD311" s="80"/>
      <c r="BE311" s="80"/>
      <c r="BF311" s="80"/>
      <c r="BG311" s="80"/>
      <c r="BH311" s="80"/>
      <c r="BI311" s="80"/>
      <c r="BJ311" s="80"/>
    </row>
    <row r="312" spans="3:70" s="1" customFormat="1" ht="44.25" customHeight="1" x14ac:dyDescent="0.2">
      <c r="C312" s="1563"/>
      <c r="D312" s="1563"/>
      <c r="E312" s="1563"/>
      <c r="F312" s="1563"/>
      <c r="G312" s="595">
        <f>IF(AND(G309-N309&lt;0.001,G309-N309&gt;-0.001),0,G309-N309)</f>
        <v>0</v>
      </c>
      <c r="H312" s="1540" t="str">
        <f>IF($Q$2=2,IF(G312=0,$T$7,$T$5),IF(G312=0,$T$8,$T$6))</f>
        <v>Books and Statements balance.</v>
      </c>
      <c r="I312" s="1540"/>
      <c r="J312" s="1540"/>
      <c r="K312" s="1540"/>
      <c r="L312" s="1540"/>
      <c r="M312" s="1540"/>
      <c r="N312" s="1540"/>
      <c r="P312" s="80"/>
      <c r="Q312" s="80"/>
      <c r="R312" s="80"/>
      <c r="S312" s="80"/>
      <c r="T312" s="80"/>
      <c r="U312" s="80"/>
      <c r="V312" s="144"/>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0"/>
      <c r="BH312" s="80"/>
      <c r="BI312" s="80"/>
      <c r="BJ312" s="80"/>
    </row>
    <row r="313" spans="3:70" s="1" customFormat="1" ht="33" customHeight="1" x14ac:dyDescent="0.2">
      <c r="C313" s="630"/>
      <c r="D313" s="630"/>
      <c r="E313" s="630"/>
      <c r="F313" s="630"/>
      <c r="G313" s="631"/>
      <c r="H313" s="632"/>
      <c r="I313" s="632"/>
      <c r="J313" s="632"/>
      <c r="K313" s="632"/>
      <c r="L313" s="632"/>
      <c r="M313" s="632"/>
      <c r="N313" s="632"/>
      <c r="P313" s="80"/>
      <c r="Q313" s="80"/>
      <c r="R313" s="80"/>
      <c r="S313" s="80"/>
      <c r="T313" s="80"/>
      <c r="U313" s="80"/>
      <c r="V313" s="144"/>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c r="BH313" s="80"/>
      <c r="BI313" s="80"/>
      <c r="BJ313" s="80"/>
    </row>
    <row r="314" spans="3:70" ht="18.75" customHeight="1" x14ac:dyDescent="0.2">
      <c r="C314" s="1541"/>
      <c r="D314" s="1541"/>
      <c r="E314" s="1541"/>
      <c r="F314" s="1541"/>
      <c r="G314" s="1541"/>
      <c r="H314" s="1541"/>
      <c r="I314" s="1541"/>
      <c r="J314" s="1541"/>
      <c r="K314" s="1541"/>
      <c r="L314" s="1541"/>
      <c r="M314" s="1541"/>
      <c r="N314" s="1541"/>
    </row>
    <row r="315" spans="3:70" s="1" customFormat="1" ht="40.5" customHeight="1" x14ac:dyDescent="0.2">
      <c r="D315" s="1528" t="str">
        <f>IF($Q$2,"Réconciliation détaillée du compte "&amp;F317&amp;" - "&amp;C317,"Detailed Reconciliation of the Account "&amp;F317&amp;" - "&amp;C317)</f>
        <v>Réconciliation détaillée du compte 2010 - Bank Credit Card</v>
      </c>
      <c r="E315" s="1528"/>
      <c r="F315" s="1528"/>
      <c r="G315" s="1528"/>
      <c r="H315" s="1528"/>
      <c r="I315" s="1528"/>
      <c r="J315" s="1528"/>
      <c r="K315" s="1528"/>
      <c r="L315" s="1528"/>
      <c r="M315" s="1528"/>
      <c r="N315" s="577"/>
      <c r="P315" s="80"/>
      <c r="Q315" s="80"/>
      <c r="R315" s="80"/>
      <c r="S315" s="80"/>
      <c r="T315" s="80"/>
      <c r="U315" s="80"/>
      <c r="V315" s="144"/>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0"/>
      <c r="BH315" s="80"/>
      <c r="BI315" s="80"/>
      <c r="BJ315" s="80"/>
    </row>
    <row r="316" spans="3:70" s="1" customFormat="1" ht="29.25" customHeight="1" x14ac:dyDescent="0.2">
      <c r="C316" s="1529" t="str">
        <f>IF($Q$2=2,"Réconciliation selon les livres comptables","Reconciliation as per BookKeeping")</f>
        <v>Reconciliation as per BookKeeping</v>
      </c>
      <c r="D316" s="1529"/>
      <c r="E316" s="1529"/>
      <c r="F316" s="1529"/>
      <c r="G316" s="1529"/>
      <c r="I316" s="1529" t="str">
        <f>IF($Q$2=2,"Réconciliation selon l'état de compte","Reconciliation as per Account Statement")</f>
        <v>Reconciliation as per Account Statement</v>
      </c>
      <c r="J316" s="1529"/>
      <c r="K316" s="1529"/>
      <c r="L316" s="1529"/>
      <c r="M316" s="1529"/>
      <c r="N316" s="578" t="str">
        <f>F317</f>
        <v>2010</v>
      </c>
      <c r="P316" s="579"/>
      <c r="Q316" s="1568"/>
      <c r="R316" s="1568"/>
      <c r="S316" s="1568"/>
      <c r="T316" s="357"/>
      <c r="U316" s="357"/>
      <c r="V316" s="47"/>
      <c r="W316" s="579"/>
      <c r="X316" s="579"/>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0"/>
      <c r="BH316" s="80"/>
      <c r="BI316" s="80"/>
      <c r="BJ316" s="80"/>
    </row>
    <row r="317" spans="3:70" s="1" customFormat="1" ht="25.5" customHeight="1" x14ac:dyDescent="0.2">
      <c r="C317" s="1542" t="str">
        <f>'Data Set up'!I30</f>
        <v>Bank Credit Card</v>
      </c>
      <c r="D317" s="1542"/>
      <c r="E317" s="1542"/>
      <c r="F317" s="580" t="str">
        <f>LEFT('Data Set up'!H30,4)</f>
        <v>2010</v>
      </c>
      <c r="G317" s="355"/>
      <c r="I317" s="1556"/>
      <c r="J317" s="1556"/>
      <c r="K317" s="1556"/>
      <c r="L317" s="1556"/>
      <c r="M317" s="1556"/>
      <c r="N317" s="1556"/>
      <c r="P317" s="80"/>
      <c r="Q317" s="80"/>
      <c r="R317" s="80"/>
      <c r="S317" s="80"/>
      <c r="T317" s="80"/>
      <c r="U317" s="80"/>
      <c r="V317" s="144"/>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0"/>
      <c r="BH317" s="80"/>
      <c r="BI317" s="80"/>
      <c r="BJ317" s="80"/>
      <c r="BN317" s="648"/>
      <c r="BO317" s="648"/>
      <c r="BP317" s="648"/>
      <c r="BQ317" s="648"/>
      <c r="BR317" s="648"/>
    </row>
    <row r="318" spans="3:70" s="1" customFormat="1" ht="25.5" customHeight="1" x14ac:dyDescent="0.2">
      <c r="C318" s="1532" t="str">
        <f>IF($Q$2=2,"Solde du compte au ","Account Balance on ")</f>
        <v xml:space="preserve">Account Balance on </v>
      </c>
      <c r="D318" s="1532"/>
      <c r="E318" s="1532"/>
      <c r="F318" s="581" t="str">
        <f>'Data Set up'!$F$40&amp;" "&amp;'Data Set up'!$G$40&amp;" "&amp;'Data Set up'!$F$39</f>
        <v>31 August 2023</v>
      </c>
      <c r="G318" s="582">
        <f>'Data Set up'!F30</f>
        <v>0</v>
      </c>
      <c r="I318" s="1533" t="str">
        <f>IF($Q$2=2,"Solde au compte en fin d'exercice","End of Year Account Balance")</f>
        <v>End of Year Account Balance</v>
      </c>
      <c r="J318" s="1533"/>
      <c r="K318" s="1533"/>
      <c r="L318" s="1533"/>
      <c r="M318" s="1533"/>
      <c r="N318" s="583"/>
      <c r="P318" s="80"/>
      <c r="Q318" s="1534" t="str">
        <f>IF($Q$2=2,"Inscrivez le solde à payer ici","Insert the Balance payable here")</f>
        <v>Insert the Balance payable here</v>
      </c>
      <c r="R318" s="1534"/>
      <c r="S318" s="1534"/>
      <c r="T318" s="80"/>
      <c r="U318" s="585">
        <f>N318*1</f>
        <v>0</v>
      </c>
      <c r="V318" s="144"/>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0"/>
      <c r="BH318" s="80"/>
      <c r="BI318" s="80"/>
      <c r="BJ318" s="80"/>
      <c r="BN318" s="648"/>
      <c r="BO318" s="648"/>
      <c r="BP318" s="648"/>
      <c r="BQ318" s="648"/>
      <c r="BR318" s="648"/>
    </row>
    <row r="319" spans="3:70" s="1" customFormat="1" ht="25.5" customHeight="1" x14ac:dyDescent="0.2">
      <c r="C319" s="1535" t="str">
        <f>IF($Q$2=2,"Plus: Remboursements (Jrnl des revenus)","Plus: Reimbursements (Revenue Jrnl)")</f>
        <v>Plus: Reimbursements (Revenue Jrnl)</v>
      </c>
      <c r="D319" s="1535"/>
      <c r="E319" s="1535"/>
      <c r="F319" s="1535"/>
      <c r="G319" s="582">
        <f>'Revenue Jrnl'!G534</f>
        <v>0</v>
      </c>
      <c r="H319" s="586"/>
      <c r="I319" s="1556"/>
      <c r="J319" s="1556"/>
      <c r="K319" s="1556"/>
      <c r="L319" s="1556"/>
      <c r="M319" s="1556"/>
      <c r="N319" s="1556"/>
      <c r="P319" s="80"/>
      <c r="Q319" s="80"/>
      <c r="R319" s="80"/>
      <c r="S319" s="80"/>
      <c r="T319" s="80"/>
      <c r="U319" s="80"/>
      <c r="V319" s="144"/>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c r="BH319" s="80"/>
      <c r="BI319" s="80"/>
      <c r="BJ319" s="80"/>
      <c r="BN319" s="648"/>
      <c r="BO319" s="648"/>
      <c r="BP319" s="648"/>
      <c r="BQ319" s="648"/>
      <c r="BR319" s="648"/>
    </row>
    <row r="320" spans="3:70" s="1" customFormat="1" ht="25.5" customHeight="1" x14ac:dyDescent="0.2">
      <c r="C320" s="1535" t="str">
        <f>IF($Q$2=2," Moins: Dépenses (Jrnl des dépenses)","Less: Expenses (Expense Jrnl)")</f>
        <v>Less: Expenses (Expense Jrnl)</v>
      </c>
      <c r="D320" s="1535"/>
      <c r="E320" s="1535"/>
      <c r="F320" s="1535"/>
      <c r="G320" s="582">
        <f>'Expense Jrnl'!G534</f>
        <v>0</v>
      </c>
      <c r="I320" s="1545" t="str">
        <f>IF($Q$2=2,"Plus: Remb. faits mais pas réconciliés","Plus: Reimb. made but not reconciled")</f>
        <v>Plus: Reimb. made but not reconciled</v>
      </c>
      <c r="J320" s="1545"/>
      <c r="K320" s="1545"/>
      <c r="L320" s="1545"/>
      <c r="M320" s="1545"/>
      <c r="N320" s="600">
        <f>'Revenue Jrnl'!H534</f>
        <v>0</v>
      </c>
      <c r="P320" s="80"/>
      <c r="Q320" s="80"/>
      <c r="R320" s="80"/>
      <c r="S320" s="80"/>
      <c r="T320" s="80"/>
      <c r="U320" s="80"/>
      <c r="V320" s="144"/>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0"/>
    </row>
    <row r="321" spans="3:62" s="1" customFormat="1" ht="25.5" customHeight="1" x14ac:dyDescent="0.2">
      <c r="C321" s="1536"/>
      <c r="D321" s="1536"/>
      <c r="E321" s="1536"/>
      <c r="F321" s="1536"/>
      <c r="H321" s="586"/>
      <c r="I321" s="1556"/>
      <c r="J321" s="1556"/>
      <c r="K321" s="1556"/>
      <c r="L321" s="1556"/>
      <c r="M321" s="1556"/>
      <c r="N321" s="1556"/>
      <c r="P321" s="80"/>
      <c r="Q321" s="80"/>
      <c r="R321" s="80"/>
      <c r="S321" s="80"/>
      <c r="T321" s="80"/>
      <c r="U321" s="80"/>
      <c r="V321" s="144"/>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c r="BH321" s="80"/>
      <c r="BI321" s="80"/>
      <c r="BJ321" s="80"/>
    </row>
    <row r="322" spans="3:62" s="1" customFormat="1" ht="25.5" customHeight="1" x14ac:dyDescent="0.2">
      <c r="C322" s="1546" t="str">
        <f>IF($Q$2=2,"Remboursements de l'année précédente (non traités dans l'année précédente)","Previous Year's Reimbursements (not processed in prev year)")</f>
        <v>Previous Year's Reimbursements (not processed in prev year)</v>
      </c>
      <c r="D322" s="1546"/>
      <c r="E322" s="1546"/>
      <c r="F322" s="1546"/>
      <c r="G322" s="1546"/>
      <c r="I322" s="1547" t="str">
        <f>IF($Q$2=2,"Moins: Dépenses effectuées mais non encore enr.","Less: Expenses made but not processed")</f>
        <v>Less: Expenses made but not processed</v>
      </c>
      <c r="J322" s="1547"/>
      <c r="K322" s="1547"/>
      <c r="L322" s="1547"/>
      <c r="M322" s="1547"/>
      <c r="N322" s="600">
        <f>'Expense Jrnl'!H534</f>
        <v>0</v>
      </c>
      <c r="P322" s="80"/>
      <c r="Q322" s="80"/>
      <c r="R322" s="80"/>
      <c r="S322" s="80"/>
      <c r="T322" s="80"/>
      <c r="U322" s="80"/>
      <c r="V322" s="144"/>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0"/>
      <c r="BH322" s="80"/>
      <c r="BI322" s="80"/>
      <c r="BJ322" s="80"/>
    </row>
    <row r="323" spans="3:62" s="1" customFormat="1" ht="25.5" customHeight="1" x14ac:dyDescent="0.2">
      <c r="C323" s="601" t="str">
        <f>IF($Q$2=2,"Chèque #","Cheque #")</f>
        <v>Cheque #</v>
      </c>
      <c r="D323" s="1548" t="str">
        <f>IF($Q$2=2,"Détails","Details")</f>
        <v>Details</v>
      </c>
      <c r="E323" s="1548"/>
      <c r="F323" s="1548"/>
      <c r="G323" s="601" t="str">
        <f>IF($Q$2=2,"Montant","Amount")</f>
        <v>Amount</v>
      </c>
      <c r="I323" s="1556"/>
      <c r="J323" s="1556"/>
      <c r="K323" s="1556"/>
      <c r="L323" s="1556"/>
      <c r="M323" s="1556"/>
      <c r="N323" s="1556"/>
      <c r="P323" s="80"/>
      <c r="Q323" s="80"/>
      <c r="R323" s="80"/>
      <c r="S323" s="80"/>
      <c r="T323" s="80"/>
      <c r="U323" s="80"/>
      <c r="V323" s="144"/>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c r="BH323" s="80"/>
      <c r="BI323" s="80"/>
      <c r="BJ323" s="80"/>
    </row>
    <row r="324" spans="3:62" s="1" customFormat="1" ht="25.5" customHeight="1" x14ac:dyDescent="0.2">
      <c r="C324" s="602" t="str">
        <f>IF('Data Set up'!$J59=$F$317,'Data Set up'!$C59,"")</f>
        <v/>
      </c>
      <c r="D324" s="1565" t="str">
        <f>IF('Data Set up'!$J59=$F$317,'Data Set up'!$D59,"")</f>
        <v/>
      </c>
      <c r="E324" s="1565"/>
      <c r="F324" s="1565"/>
      <c r="G324" s="634" t="str">
        <f>IF('Data Set up'!$J59=$F$317,'Data Set up'!$F59,"")</f>
        <v/>
      </c>
      <c r="I324" s="1547" t="str">
        <f>IF($Q$2=2,"Solde engagé actuel du compte (reconcilié)","Actual Credit balance committed (reconciled)")</f>
        <v>Actual Credit balance committed (reconciled)</v>
      </c>
      <c r="J324" s="1547"/>
      <c r="K324" s="1547"/>
      <c r="L324" s="1547"/>
      <c r="M324" s="1547"/>
      <c r="N324" s="590">
        <f>N318-N320+N322</f>
        <v>0</v>
      </c>
      <c r="P324" s="80"/>
      <c r="Q324" s="80"/>
      <c r="R324" s="80"/>
      <c r="S324" s="80"/>
      <c r="T324" s="80"/>
      <c r="U324" s="80"/>
      <c r="V324" s="144"/>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c r="BH324" s="80"/>
      <c r="BI324" s="80"/>
      <c r="BJ324" s="80"/>
    </row>
    <row r="325" spans="3:62" s="1" customFormat="1" ht="25.5" customHeight="1" x14ac:dyDescent="0.2">
      <c r="C325" s="602" t="str">
        <f>IF('Data Set up'!$J60=$F$317,'Data Set up'!$C60,"")</f>
        <v/>
      </c>
      <c r="D325" s="1565" t="str">
        <f>IF('Data Set up'!$J60=$F$317,'Data Set up'!$D60,"")</f>
        <v/>
      </c>
      <c r="E325" s="1565"/>
      <c r="F325" s="1565"/>
      <c r="G325" s="634" t="str">
        <f>IF('Data Set up'!$J60=$F$317,'Data Set up'!$F60,"")</f>
        <v/>
      </c>
      <c r="P325" s="80"/>
      <c r="Q325" s="80"/>
      <c r="R325" s="80"/>
      <c r="S325" s="80"/>
      <c r="T325" s="80"/>
      <c r="U325" s="80"/>
      <c r="V325" s="144"/>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c r="BH325" s="80"/>
      <c r="BI325" s="80"/>
      <c r="BJ325" s="80"/>
    </row>
    <row r="326" spans="3:62" s="1" customFormat="1" ht="25.5" customHeight="1" x14ac:dyDescent="0.2">
      <c r="C326" s="602" t="str">
        <f>IF('Data Set up'!$J61=$F$317,'Data Set up'!$C61,"")</f>
        <v/>
      </c>
      <c r="D326" s="1565" t="str">
        <f>IF('Data Set up'!$J61=$F$317,'Data Set up'!$D61,"")</f>
        <v/>
      </c>
      <c r="E326" s="1565"/>
      <c r="F326" s="1565"/>
      <c r="G326" s="634" t="str">
        <f>IF('Data Set up'!$J61=$F$317,'Data Set up'!$F61,"")</f>
        <v/>
      </c>
      <c r="I326" s="144"/>
      <c r="J326" s="80"/>
      <c r="K326" s="80"/>
      <c r="L326" s="80"/>
      <c r="M326" s="80"/>
      <c r="N326" s="144"/>
      <c r="P326" s="80"/>
      <c r="Q326" s="80"/>
      <c r="R326" s="80"/>
      <c r="S326" s="80"/>
      <c r="T326" s="80"/>
      <c r="U326" s="80"/>
      <c r="V326" s="144"/>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c r="BH326" s="80"/>
      <c r="BI326" s="80"/>
      <c r="BJ326" s="80"/>
    </row>
    <row r="327" spans="3:62" s="1" customFormat="1" ht="25.5" customHeight="1" x14ac:dyDescent="0.2">
      <c r="C327" s="602" t="str">
        <f>IF('Data Set up'!$J62=$F$317,'Data Set up'!$C62,"")</f>
        <v/>
      </c>
      <c r="D327" s="1565" t="str">
        <f>IF('Data Set up'!$J62=$F$317,'Data Set up'!$D62,"")</f>
        <v/>
      </c>
      <c r="E327" s="1565"/>
      <c r="F327" s="1565"/>
      <c r="G327" s="634" t="str">
        <f>IF('Data Set up'!$J62=$F$317,'Data Set up'!$F62,"")</f>
        <v/>
      </c>
      <c r="I327" s="144"/>
      <c r="J327" s="80"/>
      <c r="K327" s="80"/>
      <c r="L327" s="80"/>
      <c r="M327" s="80"/>
      <c r="N327" s="144"/>
      <c r="P327" s="80"/>
      <c r="Q327" s="80"/>
      <c r="R327" s="80"/>
      <c r="S327" s="80"/>
      <c r="T327" s="80"/>
      <c r="U327" s="80"/>
      <c r="V327" s="144"/>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0"/>
    </row>
    <row r="328" spans="3:62" s="1" customFormat="1" ht="25.5" customHeight="1" x14ac:dyDescent="0.2">
      <c r="C328" s="602" t="str">
        <f>IF('Data Set up'!$J63=$F$317,'Data Set up'!$C63,"")</f>
        <v/>
      </c>
      <c r="D328" s="1565" t="str">
        <f>IF('Data Set up'!$J63=$F$317,'Data Set up'!$D63,"")</f>
        <v/>
      </c>
      <c r="E328" s="1565"/>
      <c r="F328" s="1565"/>
      <c r="G328" s="634" t="str">
        <f>IF('Data Set up'!$J63=$F$317,'Data Set up'!$F63,"")</f>
        <v/>
      </c>
      <c r="I328" s="144"/>
      <c r="J328" s="80"/>
      <c r="K328" s="80"/>
      <c r="L328" s="80"/>
      <c r="M328" s="80"/>
      <c r="N328" s="144"/>
      <c r="P328" s="80"/>
      <c r="Q328" s="80"/>
      <c r="R328" s="80"/>
      <c r="S328" s="80"/>
      <c r="T328" s="80"/>
      <c r="U328" s="80"/>
      <c r="V328" s="144"/>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0"/>
      <c r="BH328" s="80"/>
      <c r="BI328" s="80"/>
      <c r="BJ328" s="80"/>
    </row>
    <row r="329" spans="3:62" s="1" customFormat="1" ht="25.5" customHeight="1" x14ac:dyDescent="0.2">
      <c r="C329" s="602" t="str">
        <f>IF('Data Set up'!$J64=$F$317,'Data Set up'!$C64,"")</f>
        <v/>
      </c>
      <c r="D329" s="1565" t="str">
        <f>IF('Data Set up'!$J64=$F$317,'Data Set up'!$D64,"")</f>
        <v/>
      </c>
      <c r="E329" s="1565"/>
      <c r="F329" s="1565"/>
      <c r="G329" s="634" t="str">
        <f>IF('Data Set up'!$J64=$F$317,'Data Set up'!$F64,"")</f>
        <v/>
      </c>
      <c r="I329" s="144"/>
      <c r="J329" s="80"/>
      <c r="K329" s="80"/>
      <c r="L329" s="80"/>
      <c r="M329" s="80"/>
      <c r="N329" s="144"/>
      <c r="P329" s="80"/>
      <c r="Q329" s="80"/>
      <c r="R329" s="80"/>
      <c r="S329" s="80"/>
      <c r="T329" s="80"/>
      <c r="U329" s="80"/>
      <c r="V329" s="144"/>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c r="AW329" s="80"/>
      <c r="AX329" s="80"/>
      <c r="AY329" s="80"/>
      <c r="AZ329" s="80"/>
      <c r="BA329" s="80"/>
      <c r="BB329" s="80"/>
      <c r="BC329" s="80"/>
      <c r="BD329" s="80"/>
      <c r="BE329" s="80"/>
      <c r="BF329" s="80"/>
      <c r="BG329" s="80"/>
      <c r="BH329" s="80"/>
      <c r="BI329" s="80"/>
      <c r="BJ329" s="80"/>
    </row>
    <row r="330" spans="3:62" s="1" customFormat="1" ht="25.5" customHeight="1" x14ac:dyDescent="0.2">
      <c r="C330" s="602" t="str">
        <f>IF('Data Set up'!$J65=$F$317,'Data Set up'!$C65,"")</f>
        <v/>
      </c>
      <c r="D330" s="1565" t="str">
        <f>IF('Data Set up'!$J65=$F$317,'Data Set up'!$D65,"")</f>
        <v/>
      </c>
      <c r="E330" s="1565"/>
      <c r="F330" s="1565"/>
      <c r="G330" s="634" t="str">
        <f>IF('Data Set up'!$J65=$F$317,'Data Set up'!$F65,"")</f>
        <v/>
      </c>
      <c r="I330" s="144"/>
      <c r="J330" s="80"/>
      <c r="K330" s="80"/>
      <c r="L330" s="80"/>
      <c r="M330" s="80"/>
      <c r="N330" s="144"/>
      <c r="P330" s="80"/>
      <c r="Q330" s="80"/>
      <c r="R330" s="80"/>
      <c r="S330" s="80"/>
      <c r="T330" s="80"/>
      <c r="U330" s="80"/>
      <c r="V330" s="144"/>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c r="BC330" s="80"/>
      <c r="BD330" s="80"/>
      <c r="BE330" s="80"/>
      <c r="BF330" s="80"/>
      <c r="BG330" s="80"/>
      <c r="BH330" s="80"/>
      <c r="BI330" s="80"/>
      <c r="BJ330" s="80"/>
    </row>
    <row r="331" spans="3:62" s="1" customFormat="1" ht="25.5" customHeight="1" x14ac:dyDescent="0.2">
      <c r="C331" s="602" t="str">
        <f>IF('Data Set up'!$J66=$F$317,'Data Set up'!$C66,"")</f>
        <v/>
      </c>
      <c r="D331" s="1565" t="str">
        <f>IF('Data Set up'!$J66=$F$317,'Data Set up'!$D66,"")</f>
        <v/>
      </c>
      <c r="E331" s="1565"/>
      <c r="F331" s="1565"/>
      <c r="G331" s="634" t="str">
        <f>IF('Data Set up'!$J66=$F$317,'Data Set up'!$F66,"")</f>
        <v/>
      </c>
      <c r="I331" s="144"/>
      <c r="J331" s="80"/>
      <c r="K331" s="80"/>
      <c r="L331" s="80"/>
      <c r="M331" s="80"/>
      <c r="N331" s="144"/>
      <c r="P331" s="80"/>
      <c r="Q331" s="80"/>
      <c r="R331" s="80"/>
      <c r="S331" s="80"/>
      <c r="T331" s="80"/>
      <c r="U331" s="80"/>
      <c r="V331" s="144"/>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c r="BH331" s="80"/>
      <c r="BI331" s="80"/>
      <c r="BJ331" s="80"/>
    </row>
    <row r="332" spans="3:62" s="1" customFormat="1" ht="25.5" customHeight="1" x14ac:dyDescent="0.2">
      <c r="C332" s="602" t="str">
        <f>IF('Data Set up'!$J67=$F$317,'Data Set up'!$C67,"")</f>
        <v/>
      </c>
      <c r="D332" s="1565" t="str">
        <f>IF('Data Set up'!$J67=$F$317,'Data Set up'!$D67,"")</f>
        <v/>
      </c>
      <c r="E332" s="1565"/>
      <c r="F332" s="1565"/>
      <c r="G332" s="634" t="str">
        <f>IF('Data Set up'!$J67=$F$317,'Data Set up'!$F67,"")</f>
        <v/>
      </c>
      <c r="I332" s="144"/>
      <c r="J332" s="80"/>
      <c r="K332" s="80"/>
      <c r="L332" s="80"/>
      <c r="M332" s="80"/>
      <c r="N332" s="144"/>
      <c r="P332" s="80"/>
      <c r="Q332" s="80"/>
      <c r="R332" s="80"/>
      <c r="S332" s="80"/>
      <c r="T332" s="80"/>
      <c r="U332" s="80"/>
      <c r="V332" s="144"/>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c r="BG332" s="80"/>
      <c r="BH332" s="80"/>
      <c r="BI332" s="80"/>
      <c r="BJ332" s="80"/>
    </row>
    <row r="333" spans="3:62" s="1" customFormat="1" ht="25.5" customHeight="1" x14ac:dyDescent="0.2">
      <c r="C333" s="602" t="str">
        <f>IF('Data Set up'!$J68=$F$317,'Data Set up'!$C68,"")</f>
        <v/>
      </c>
      <c r="D333" s="1565" t="str">
        <f>IF('Data Set up'!$J68=$F$317,'Data Set up'!$D68,"")</f>
        <v/>
      </c>
      <c r="E333" s="1565"/>
      <c r="F333" s="1565"/>
      <c r="G333" s="634" t="str">
        <f>IF('Data Set up'!$J68=$F$317,'Data Set up'!$F68,"")</f>
        <v/>
      </c>
      <c r="I333" s="144"/>
      <c r="J333" s="80"/>
      <c r="K333" s="80"/>
      <c r="L333" s="80"/>
      <c r="M333" s="80"/>
      <c r="N333" s="144"/>
      <c r="P333" s="80"/>
      <c r="Q333" s="80"/>
      <c r="R333" s="80"/>
      <c r="S333" s="80"/>
      <c r="T333" s="80"/>
      <c r="U333" s="80"/>
      <c r="V333" s="144"/>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row>
    <row r="334" spans="3:62" s="1" customFormat="1" ht="25.5" customHeight="1" x14ac:dyDescent="0.2">
      <c r="C334" s="602" t="str">
        <f>IF('Data Set up'!$J69=$F$317,'Data Set up'!$C69,"")</f>
        <v/>
      </c>
      <c r="D334" s="1565" t="str">
        <f>IF('Data Set up'!$J69=$F$317,'Data Set up'!$D69,"")</f>
        <v/>
      </c>
      <c r="E334" s="1565"/>
      <c r="F334" s="1565"/>
      <c r="G334" s="634" t="str">
        <f>IF('Data Set up'!$J69=$F$317,'Data Set up'!$F69,"")</f>
        <v/>
      </c>
      <c r="I334" s="144"/>
      <c r="J334" s="80"/>
      <c r="K334" s="80"/>
      <c r="L334" s="80"/>
      <c r="M334" s="80"/>
      <c r="N334" s="144"/>
      <c r="P334" s="80"/>
      <c r="Q334" s="80"/>
      <c r="R334" s="80"/>
      <c r="S334" s="80"/>
      <c r="T334" s="80"/>
      <c r="U334" s="80"/>
      <c r="V334" s="144"/>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row>
    <row r="335" spans="3:62" s="1" customFormat="1" ht="25.5" customHeight="1" x14ac:dyDescent="0.2">
      <c r="C335" s="602" t="str">
        <f>IF('Data Set up'!$J70=$F$317,'Data Set up'!$C70,"")</f>
        <v/>
      </c>
      <c r="D335" s="1565" t="str">
        <f>IF('Data Set up'!$J70=$F$317,'Data Set up'!$D70,"")</f>
        <v/>
      </c>
      <c r="E335" s="1565"/>
      <c r="F335" s="1565"/>
      <c r="G335" s="634" t="str">
        <f>IF('Data Set up'!$J70=$F$317,'Data Set up'!$F70,"")</f>
        <v/>
      </c>
      <c r="I335" s="144"/>
      <c r="J335" s="80"/>
      <c r="K335" s="80"/>
      <c r="L335" s="80"/>
      <c r="M335" s="80"/>
      <c r="N335" s="144"/>
      <c r="P335" s="80"/>
      <c r="Q335" s="80"/>
      <c r="R335" s="80"/>
      <c r="S335" s="80"/>
      <c r="T335" s="80"/>
      <c r="U335" s="80"/>
      <c r="V335" s="144"/>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row>
    <row r="336" spans="3:62" s="1" customFormat="1" ht="25.5" customHeight="1" x14ac:dyDescent="0.2">
      <c r="C336" s="602" t="str">
        <f>IF('Data Set up'!$J71=$F$317,'Data Set up'!$C71,"")</f>
        <v/>
      </c>
      <c r="D336" s="1565" t="str">
        <f>IF('Data Set up'!$J71=$F$317,'Data Set up'!$D71,"")</f>
        <v/>
      </c>
      <c r="E336" s="1565"/>
      <c r="F336" s="1565"/>
      <c r="G336" s="634" t="str">
        <f>IF('Data Set up'!$J71=$F$317,'Data Set up'!$F71,"")</f>
        <v/>
      </c>
      <c r="I336" s="143"/>
      <c r="J336" s="80"/>
      <c r="K336" s="80"/>
      <c r="L336" s="80"/>
      <c r="M336" s="80"/>
      <c r="N336" s="208"/>
      <c r="P336" s="80"/>
      <c r="Q336" s="80"/>
      <c r="R336" s="80"/>
      <c r="S336" s="80"/>
      <c r="T336" s="80"/>
      <c r="U336" s="80"/>
      <c r="V336" s="144"/>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row>
    <row r="337" spans="3:62" s="1" customFormat="1" ht="25.5" customHeight="1" x14ac:dyDescent="0.2">
      <c r="C337" s="1546" t="str">
        <f>IF($Q$2=2,"Dépenses de l'année précédente (non traités dans l'année précédente)","Previous Year's Expenses (not processed in prev year)")</f>
        <v>Previous Year's Expenses (not processed in prev year)</v>
      </c>
      <c r="D337" s="1546"/>
      <c r="E337" s="1546"/>
      <c r="F337" s="1546"/>
      <c r="G337" s="1546"/>
      <c r="I337" s="604"/>
      <c r="J337" s="605"/>
      <c r="K337" s="605"/>
      <c r="L337" s="605"/>
      <c r="M337" s="605"/>
      <c r="N337" s="208"/>
      <c r="P337" s="80"/>
      <c r="Q337" s="80"/>
      <c r="R337" s="80"/>
      <c r="S337" s="80"/>
      <c r="T337" s="80"/>
      <c r="U337" s="80"/>
      <c r="V337" s="144"/>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row>
    <row r="338" spans="3:62" s="1" customFormat="1" ht="25.5" customHeight="1" x14ac:dyDescent="0.2">
      <c r="C338" s="606" t="str">
        <f>IF($Q$2=2,"Transactions #","Transactions #")</f>
        <v>Transactions #</v>
      </c>
      <c r="D338" s="1548" t="str">
        <f>IF($Q$2=2,"À l'ordre de","Payable to")</f>
        <v>Payable to</v>
      </c>
      <c r="E338" s="1548"/>
      <c r="F338" s="1548"/>
      <c r="G338" s="607" t="str">
        <f>IF($Q$2=2,"Montant","Amount")</f>
        <v>Amount</v>
      </c>
      <c r="H338" s="586"/>
      <c r="I338" s="608"/>
      <c r="J338" s="605"/>
      <c r="K338" s="605"/>
      <c r="L338" s="605"/>
      <c r="M338" s="605"/>
      <c r="N338" s="208"/>
      <c r="P338" s="80"/>
      <c r="Q338" s="80"/>
      <c r="R338" s="80"/>
      <c r="S338" s="80"/>
      <c r="T338" s="80"/>
      <c r="U338" s="80"/>
      <c r="V338" s="144"/>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row>
    <row r="339" spans="3:62" s="1" customFormat="1" ht="25.5" customHeight="1" x14ac:dyDescent="0.2">
      <c r="C339" s="602" t="str">
        <f>IF('Data Set up'!$J76=$F$317,'Data Set up'!$C76,"")</f>
        <v/>
      </c>
      <c r="D339" s="1565" t="str">
        <f>IF('Data Set up'!$J76=$F$317,'Data Set up'!$D76,"")</f>
        <v/>
      </c>
      <c r="E339" s="1565"/>
      <c r="F339" s="1565"/>
      <c r="G339" s="634" t="str">
        <f>IF('Data Set up'!$J76=$F$317,'Data Set up'!$F76,"")</f>
        <v/>
      </c>
      <c r="H339" s="586"/>
      <c r="I339" s="205"/>
      <c r="N339" s="208"/>
      <c r="P339" s="80"/>
      <c r="Q339" s="80"/>
      <c r="R339" s="80"/>
      <c r="S339" s="80"/>
      <c r="T339" s="80"/>
      <c r="U339" s="80"/>
      <c r="V339" s="144"/>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row>
    <row r="340" spans="3:62" s="1" customFormat="1" ht="25.5" customHeight="1" x14ac:dyDescent="0.2">
      <c r="C340" s="602" t="str">
        <f>IF('Data Set up'!$J77=$F$317,'Data Set up'!$C77,"")</f>
        <v/>
      </c>
      <c r="D340" s="1565" t="str">
        <f>IF('Data Set up'!$J77=$F$317,'Data Set up'!$D77,"")</f>
        <v/>
      </c>
      <c r="E340" s="1565"/>
      <c r="F340" s="1565"/>
      <c r="G340" s="634" t="str">
        <f>IF('Data Set up'!$J77=$F$317,'Data Set up'!$F77,"")</f>
        <v/>
      </c>
      <c r="I340" s="355"/>
      <c r="J340" s="355"/>
      <c r="K340" s="355"/>
      <c r="L340" s="355"/>
      <c r="M340" s="355"/>
      <c r="N340" s="355"/>
      <c r="P340" s="80"/>
      <c r="Q340" s="80"/>
      <c r="R340" s="80"/>
      <c r="S340" s="80"/>
      <c r="T340" s="80"/>
      <c r="U340" s="80"/>
      <c r="V340" s="144"/>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c r="BH340" s="80"/>
      <c r="BI340" s="80"/>
      <c r="BJ340" s="80"/>
    </row>
    <row r="341" spans="3:62" s="1" customFormat="1" ht="25.5" customHeight="1" x14ac:dyDescent="0.2">
      <c r="C341" s="602" t="str">
        <f>IF('Data Set up'!$J78=$F$317,'Data Set up'!$C78,"")</f>
        <v/>
      </c>
      <c r="D341" s="1565" t="str">
        <f>IF('Data Set up'!$J78=$F$317,'Data Set up'!$D78,"")</f>
        <v/>
      </c>
      <c r="E341" s="1565"/>
      <c r="F341" s="1565"/>
      <c r="G341" s="634" t="str">
        <f>IF('Data Set up'!$J78=$F$317,'Data Set up'!$F78,"")</f>
        <v/>
      </c>
      <c r="I341" s="609"/>
      <c r="J341" s="80"/>
      <c r="K341" s="80"/>
      <c r="L341" s="80"/>
      <c r="M341" s="80"/>
      <c r="N341" s="144"/>
      <c r="P341" s="80"/>
      <c r="Q341" s="80"/>
      <c r="R341" s="80"/>
      <c r="S341" s="80"/>
      <c r="T341" s="80"/>
      <c r="U341" s="80"/>
      <c r="V341" s="144"/>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c r="BD341" s="80"/>
      <c r="BE341" s="80"/>
      <c r="BF341" s="80"/>
      <c r="BG341" s="80"/>
      <c r="BH341" s="80"/>
      <c r="BI341" s="80"/>
      <c r="BJ341" s="80"/>
    </row>
    <row r="342" spans="3:62" s="1" customFormat="1" ht="25.5" customHeight="1" x14ac:dyDescent="0.2">
      <c r="C342" s="602" t="str">
        <f>IF('Data Set up'!$J79=$F$317,'Data Set up'!$C79,"")</f>
        <v/>
      </c>
      <c r="D342" s="1565" t="str">
        <f>IF('Data Set up'!$J79=$F$317,'Data Set up'!$D79,"")</f>
        <v/>
      </c>
      <c r="E342" s="1565"/>
      <c r="F342" s="1565"/>
      <c r="G342" s="634" t="str">
        <f>IF('Data Set up'!$J79=$F$317,'Data Set up'!$F79,"")</f>
        <v/>
      </c>
      <c r="I342" s="610"/>
      <c r="J342" s="80"/>
      <c r="K342" s="80"/>
      <c r="L342" s="80"/>
      <c r="M342" s="80"/>
      <c r="N342" s="589"/>
      <c r="P342" s="80"/>
      <c r="Q342" s="80"/>
      <c r="R342" s="80"/>
      <c r="S342" s="80"/>
      <c r="T342" s="80"/>
      <c r="U342" s="80"/>
      <c r="V342" s="144"/>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c r="BD342" s="80"/>
      <c r="BE342" s="80"/>
      <c r="BF342" s="80"/>
      <c r="BG342" s="80"/>
      <c r="BH342" s="80"/>
      <c r="BI342" s="80"/>
      <c r="BJ342" s="80"/>
    </row>
    <row r="343" spans="3:62" s="1" customFormat="1" ht="25.5" customHeight="1" x14ac:dyDescent="0.2">
      <c r="C343" s="602" t="str">
        <f>IF('Data Set up'!$J80=$F$317,'Data Set up'!$C80,"")</f>
        <v/>
      </c>
      <c r="D343" s="1565" t="str">
        <f>IF('Data Set up'!$J80=$F$317,'Data Set up'!$D80,"")</f>
        <v/>
      </c>
      <c r="E343" s="1565"/>
      <c r="F343" s="1565"/>
      <c r="G343" s="634" t="str">
        <f>IF('Data Set up'!$J80=$F$317,'Data Set up'!$F80,"")</f>
        <v/>
      </c>
      <c r="I343" s="610"/>
      <c r="J343" s="80"/>
      <c r="K343" s="80"/>
      <c r="L343" s="80"/>
      <c r="M343" s="80"/>
      <c r="N343" s="589"/>
      <c r="P343" s="80"/>
      <c r="Q343" s="80"/>
      <c r="R343" s="80"/>
      <c r="S343" s="80"/>
      <c r="T343" s="80"/>
      <c r="U343" s="80"/>
      <c r="V343" s="144"/>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c r="BD343" s="80"/>
      <c r="BE343" s="80"/>
      <c r="BF343" s="80"/>
      <c r="BG343" s="80"/>
      <c r="BH343" s="80"/>
      <c r="BI343" s="80"/>
      <c r="BJ343" s="80"/>
    </row>
    <row r="344" spans="3:62" s="1" customFormat="1" ht="25.5" customHeight="1" x14ac:dyDescent="0.2">
      <c r="C344" s="602" t="str">
        <f>IF('Data Set up'!$J81=$F$317,'Data Set up'!$C81,"")</f>
        <v/>
      </c>
      <c r="D344" s="1565" t="str">
        <f>IF('Data Set up'!$J81=$F$317,'Data Set up'!$D81,"")</f>
        <v/>
      </c>
      <c r="E344" s="1565"/>
      <c r="F344" s="1565"/>
      <c r="G344" s="634" t="str">
        <f>IF('Data Set up'!$J81=$F$317,'Data Set up'!$F81,"")</f>
        <v/>
      </c>
      <c r="I344" s="610"/>
      <c r="J344" s="80"/>
      <c r="K344" s="80"/>
      <c r="L344" s="80"/>
      <c r="M344" s="80"/>
      <c r="N344" s="589"/>
      <c r="P344" s="80"/>
      <c r="Q344" s="80"/>
      <c r="R344" s="80"/>
      <c r="S344" s="80"/>
      <c r="T344" s="80"/>
      <c r="U344" s="80"/>
      <c r="V344" s="144"/>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80"/>
      <c r="BH344" s="80"/>
      <c r="BI344" s="80"/>
      <c r="BJ344" s="80"/>
    </row>
    <row r="345" spans="3:62" s="1" customFormat="1" ht="25.5" customHeight="1" x14ac:dyDescent="0.2">
      <c r="C345" s="602" t="str">
        <f>IF('Data Set up'!$J82=$F$317,'Data Set up'!$C82,"")</f>
        <v/>
      </c>
      <c r="D345" s="1565" t="str">
        <f>IF('Data Set up'!$J82=$F$317,'Data Set up'!$D82,"")</f>
        <v/>
      </c>
      <c r="E345" s="1565"/>
      <c r="F345" s="1565"/>
      <c r="G345" s="634" t="str">
        <f>IF('Data Set up'!$J82=$F$317,'Data Set up'!$F82,"")</f>
        <v/>
      </c>
      <c r="I345" s="610"/>
      <c r="J345" s="80"/>
      <c r="K345" s="80"/>
      <c r="L345" s="80"/>
      <c r="M345" s="80"/>
      <c r="N345" s="589"/>
      <c r="P345" s="80"/>
      <c r="Q345" s="80"/>
      <c r="R345" s="80"/>
      <c r="S345" s="80"/>
      <c r="T345" s="80"/>
      <c r="U345" s="80"/>
      <c r="V345" s="144"/>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c r="BE345" s="80"/>
      <c r="BF345" s="80"/>
      <c r="BG345" s="80"/>
      <c r="BH345" s="80"/>
      <c r="BI345" s="80"/>
      <c r="BJ345" s="80"/>
    </row>
    <row r="346" spans="3:62" s="1" customFormat="1" ht="25.5" customHeight="1" x14ac:dyDescent="0.2">
      <c r="C346" s="602" t="str">
        <f>IF('Data Set up'!$J83=$F$317,'Data Set up'!$C83,"")</f>
        <v/>
      </c>
      <c r="D346" s="1565" t="str">
        <f>IF('Data Set up'!$J83=$F$317,'Data Set up'!$D83,"")</f>
        <v/>
      </c>
      <c r="E346" s="1565"/>
      <c r="F346" s="1565"/>
      <c r="G346" s="634" t="str">
        <f>IF('Data Set up'!$J83=$F$317,'Data Set up'!$F83,"")</f>
        <v/>
      </c>
      <c r="I346" s="611"/>
      <c r="J346" s="649"/>
      <c r="K346" s="649"/>
      <c r="L346" s="649"/>
      <c r="M346" s="649"/>
      <c r="N346" s="589"/>
      <c r="P346" s="80"/>
      <c r="Q346" s="80"/>
      <c r="R346" s="80"/>
      <c r="S346" s="80"/>
      <c r="T346" s="80"/>
      <c r="U346" s="80"/>
      <c r="V346" s="144"/>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c r="BH346" s="80"/>
      <c r="BI346" s="80"/>
      <c r="BJ346" s="80"/>
    </row>
    <row r="347" spans="3:62" s="1" customFormat="1" ht="25.5" customHeight="1" x14ac:dyDescent="0.2">
      <c r="C347" s="602" t="str">
        <f>IF('Data Set up'!$J84=$F$317,'Data Set up'!$C84,"")</f>
        <v/>
      </c>
      <c r="D347" s="1565" t="str">
        <f>IF('Data Set up'!$J84=$F$317,'Data Set up'!$D84,"")</f>
        <v/>
      </c>
      <c r="E347" s="1565"/>
      <c r="F347" s="1565"/>
      <c r="G347" s="634" t="str">
        <f>IF('Data Set up'!$J84=$F$317,'Data Set up'!$F84,"")</f>
        <v/>
      </c>
      <c r="I347" s="612"/>
      <c r="J347" s="649"/>
      <c r="K347" s="649"/>
      <c r="L347" s="649"/>
      <c r="M347" s="649"/>
      <c r="N347" s="589"/>
      <c r="P347" s="80"/>
      <c r="Q347" s="80"/>
      <c r="R347" s="80"/>
      <c r="S347" s="80"/>
      <c r="T347" s="80"/>
      <c r="U347" s="80"/>
      <c r="V347" s="144"/>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c r="BH347" s="80"/>
      <c r="BI347" s="80"/>
      <c r="BJ347" s="80"/>
    </row>
    <row r="348" spans="3:62" s="1" customFormat="1" ht="25.5" customHeight="1" x14ac:dyDescent="0.2">
      <c r="C348" s="602" t="str">
        <f>IF('Data Set up'!$J85=$F$317,'Data Set up'!$C85,"")</f>
        <v/>
      </c>
      <c r="D348" s="1565" t="str">
        <f>IF('Data Set up'!$J85=$F$317,'Data Set up'!$D85,"")</f>
        <v/>
      </c>
      <c r="E348" s="1565"/>
      <c r="F348" s="1565"/>
      <c r="G348" s="634" t="str">
        <f>IF('Data Set up'!$J85=$F$317,'Data Set up'!$F85,"")</f>
        <v/>
      </c>
      <c r="I348" s="611"/>
      <c r="J348" s="649"/>
      <c r="K348" s="649"/>
      <c r="L348" s="649"/>
      <c r="M348" s="649"/>
      <c r="N348" s="589"/>
      <c r="P348" s="80"/>
      <c r="Q348" s="80"/>
      <c r="R348" s="80"/>
      <c r="S348" s="80"/>
      <c r="T348" s="80"/>
      <c r="U348" s="80"/>
      <c r="V348" s="144"/>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c r="BH348" s="80"/>
      <c r="BI348" s="80"/>
      <c r="BJ348" s="80"/>
    </row>
    <row r="349" spans="3:62" s="1" customFormat="1" ht="25.5" customHeight="1" x14ac:dyDescent="0.2">
      <c r="C349" s="602" t="str">
        <f>IF('Data Set up'!$J86=$F$317,'Data Set up'!$C86,"")</f>
        <v/>
      </c>
      <c r="D349" s="1565" t="str">
        <f>IF('Data Set up'!$J86=$F$317,'Data Set up'!$D86,"")</f>
        <v/>
      </c>
      <c r="E349" s="1565"/>
      <c r="F349" s="1565"/>
      <c r="G349" s="634" t="str">
        <f>IF('Data Set up'!$J86=$F$317,'Data Set up'!$F86,"")</f>
        <v/>
      </c>
      <c r="I349" s="611"/>
      <c r="J349" s="650"/>
      <c r="K349" s="650"/>
      <c r="L349" s="650"/>
      <c r="M349" s="650"/>
      <c r="N349" s="589"/>
      <c r="P349" s="80"/>
      <c r="Q349" s="80"/>
      <c r="R349" s="80"/>
      <c r="S349" s="80"/>
      <c r="T349" s="80"/>
      <c r="U349" s="80"/>
      <c r="V349" s="144"/>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0"/>
      <c r="BH349" s="80"/>
      <c r="BI349" s="80"/>
      <c r="BJ349" s="80"/>
    </row>
    <row r="350" spans="3:62" s="1" customFormat="1" ht="25.5" customHeight="1" x14ac:dyDescent="0.2">
      <c r="C350" s="602" t="str">
        <f>IF('Data Set up'!$J87=$F$317,'Data Set up'!$C87,"")</f>
        <v/>
      </c>
      <c r="D350" s="1565" t="str">
        <f>IF('Data Set up'!$J87=$F$317,'Data Set up'!$D87,"")</f>
        <v/>
      </c>
      <c r="E350" s="1565"/>
      <c r="F350" s="1565"/>
      <c r="G350" s="634" t="str">
        <f>IF('Data Set up'!$J87=$F$317,'Data Set up'!$F87,"")</f>
        <v/>
      </c>
      <c r="I350" s="143"/>
      <c r="J350" s="80"/>
      <c r="K350" s="80"/>
      <c r="L350" s="80"/>
      <c r="M350" s="80"/>
      <c r="N350" s="589"/>
      <c r="P350" s="80"/>
      <c r="Q350" s="80"/>
      <c r="R350" s="80"/>
      <c r="S350" s="80"/>
      <c r="T350" s="80"/>
      <c r="U350" s="80"/>
      <c r="V350" s="144"/>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0"/>
      <c r="BH350" s="80"/>
      <c r="BI350" s="80"/>
      <c r="BJ350" s="80"/>
    </row>
    <row r="351" spans="3:62" s="1" customFormat="1" ht="25.5" customHeight="1" x14ac:dyDescent="0.2">
      <c r="C351" s="602" t="str">
        <f>IF('Data Set up'!$J88=$F$317,'Data Set up'!$C88,"")</f>
        <v/>
      </c>
      <c r="D351" s="1565" t="str">
        <f>IF('Data Set up'!$J88=$F$317,'Data Set up'!$D88,"")</f>
        <v/>
      </c>
      <c r="E351" s="1565"/>
      <c r="F351" s="1565"/>
      <c r="G351" s="634" t="str">
        <f>IF('Data Set up'!$J88=$F$317,'Data Set up'!$F88,"")</f>
        <v/>
      </c>
      <c r="I351" s="143"/>
      <c r="J351" s="80"/>
      <c r="K351" s="80"/>
      <c r="L351" s="80"/>
      <c r="M351" s="80"/>
      <c r="N351" s="589"/>
      <c r="P351" s="80"/>
      <c r="Q351" s="80"/>
      <c r="R351" s="80"/>
      <c r="S351" s="80"/>
      <c r="T351" s="80"/>
      <c r="U351" s="80"/>
      <c r="V351" s="144"/>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0"/>
      <c r="BH351" s="80"/>
      <c r="BI351" s="80"/>
      <c r="BJ351" s="80"/>
    </row>
    <row r="352" spans="3:62" s="1" customFormat="1" ht="25.5" customHeight="1" x14ac:dyDescent="0.2">
      <c r="C352" s="1554" t="str">
        <f>IF($Q$2=2,"Montant non-comptabilisé de l'année précédente","Previous Year's non-accounted Amount")</f>
        <v>Previous Year's non-accounted Amount</v>
      </c>
      <c r="D352" s="1554"/>
      <c r="E352" s="1554"/>
      <c r="F352" s="1554"/>
      <c r="G352" s="582">
        <f>SUM(G324:G336)-SUM(G339:G351)</f>
        <v>0</v>
      </c>
      <c r="I352" s="330"/>
      <c r="J352" s="80"/>
      <c r="K352" s="80"/>
      <c r="L352" s="80"/>
      <c r="M352" s="80"/>
      <c r="N352" s="589"/>
      <c r="P352" s="80"/>
      <c r="Q352" s="80"/>
      <c r="R352" s="80"/>
      <c r="S352" s="80"/>
      <c r="T352" s="80"/>
      <c r="U352" s="80"/>
      <c r="V352" s="144"/>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c r="AW352" s="80"/>
      <c r="AX352" s="80"/>
      <c r="AY352" s="80"/>
      <c r="AZ352" s="80"/>
      <c r="BA352" s="80"/>
      <c r="BB352" s="80"/>
      <c r="BC352" s="80"/>
      <c r="BD352" s="80"/>
      <c r="BE352" s="80"/>
      <c r="BF352" s="80"/>
      <c r="BG352" s="80"/>
      <c r="BH352" s="80"/>
      <c r="BI352" s="80"/>
      <c r="BJ352" s="80"/>
    </row>
    <row r="353" spans="3:70" s="1" customFormat="1" ht="25.5" customHeight="1" x14ac:dyDescent="0.2">
      <c r="C353" s="1537" t="str">
        <f>IF($Q$2=2,F317&amp;" Fonds disponible du compte",F317&amp;" Account Available Funds")</f>
        <v>2010 Account Available Funds</v>
      </c>
      <c r="D353" s="1537"/>
      <c r="E353" s="1537"/>
      <c r="F353" s="1537"/>
      <c r="G353" s="588"/>
      <c r="I353" s="143"/>
      <c r="J353" s="80"/>
      <c r="K353" s="80"/>
      <c r="L353" s="80"/>
      <c r="M353" s="80"/>
      <c r="N353" s="589"/>
      <c r="P353" s="80"/>
      <c r="Q353" s="80"/>
      <c r="R353" s="80"/>
      <c r="S353" s="80"/>
      <c r="T353" s="80"/>
      <c r="U353" s="80"/>
      <c r="V353" s="144"/>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c r="AW353" s="80"/>
      <c r="AX353" s="80"/>
      <c r="AY353" s="80"/>
      <c r="AZ353" s="80"/>
      <c r="BA353" s="80"/>
      <c r="BB353" s="80"/>
      <c r="BC353" s="80"/>
      <c r="BD353" s="80"/>
      <c r="BE353" s="80"/>
      <c r="BF353" s="80"/>
      <c r="BG353" s="80"/>
      <c r="BH353" s="80"/>
      <c r="BI353" s="80"/>
      <c r="BJ353" s="80"/>
    </row>
    <row r="354" spans="3:70" s="1" customFormat="1" ht="25.5" customHeight="1" x14ac:dyDescent="0.2">
      <c r="C354" s="1558" t="str">
        <f>IF($Q$2=2,"Solde reporté à la ligne "&amp;F317&amp;" du Bilan - page 6","This balance fwrd'd to line "&amp;F317&amp;" of Balance Sheet -  page 6")</f>
        <v>This balance fwrd'd to line 2010 of Balance Sheet -  page 6</v>
      </c>
      <c r="D354" s="1558"/>
      <c r="E354" s="1558"/>
      <c r="F354" s="1558"/>
      <c r="G354" s="590">
        <f>IF(AND(SUM(G318-G319+G320-G352)&lt;0.001,SUM(G318-G319+G320-G352)&gt;-0.001),0,SUM(G318-G319+G320-G352))</f>
        <v>0</v>
      </c>
      <c r="H354" s="398"/>
      <c r="J354" s="355"/>
      <c r="K354" s="355"/>
      <c r="L354" s="355"/>
      <c r="M354" s="591"/>
      <c r="N354" s="590">
        <f>N324</f>
        <v>0</v>
      </c>
      <c r="P354" s="80"/>
      <c r="Q354" s="80"/>
      <c r="R354" s="80"/>
      <c r="S354" s="80"/>
      <c r="T354" s="80"/>
      <c r="U354" s="80"/>
      <c r="V354" s="144"/>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c r="AW354" s="80"/>
      <c r="AX354" s="80"/>
      <c r="AY354" s="80"/>
      <c r="AZ354" s="80"/>
      <c r="BA354" s="80"/>
      <c r="BB354" s="80"/>
      <c r="BC354" s="80"/>
      <c r="BD354" s="80"/>
      <c r="BE354" s="80"/>
      <c r="BF354" s="80"/>
      <c r="BG354" s="80"/>
      <c r="BH354" s="80"/>
      <c r="BI354" s="80"/>
      <c r="BJ354" s="80"/>
    </row>
    <row r="355" spans="3:70" s="1" customFormat="1" ht="9.75" customHeight="1" x14ac:dyDescent="0.2">
      <c r="F355" s="592"/>
      <c r="J355" s="586"/>
      <c r="M355" s="593"/>
      <c r="P355" s="80"/>
      <c r="Q355" s="80"/>
      <c r="R355" s="80"/>
      <c r="S355" s="80"/>
      <c r="T355" s="80"/>
      <c r="U355" s="80"/>
      <c r="V355" s="144"/>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c r="AW355" s="80"/>
      <c r="AX355" s="80"/>
      <c r="AY355" s="80"/>
      <c r="AZ355" s="80"/>
      <c r="BA355" s="80"/>
      <c r="BB355" s="80"/>
      <c r="BC355" s="80"/>
      <c r="BD355" s="80"/>
      <c r="BE355" s="80"/>
      <c r="BF355" s="80"/>
      <c r="BG355" s="80"/>
      <c r="BH355" s="80"/>
      <c r="BI355" s="80"/>
      <c r="BJ355" s="80"/>
    </row>
    <row r="356" spans="3:70" s="1" customFormat="1" ht="9.75" customHeight="1" x14ac:dyDescent="0.2">
      <c r="C356" s="355"/>
      <c r="D356" s="355"/>
      <c r="E356" s="355"/>
      <c r="F356" s="355"/>
      <c r="G356" s="355"/>
      <c r="H356" s="355"/>
      <c r="I356" s="355"/>
      <c r="J356" s="355"/>
      <c r="K356" s="355"/>
      <c r="L356" s="355"/>
      <c r="M356" s="355"/>
      <c r="P356" s="80"/>
      <c r="Q356" s="80"/>
      <c r="R356" s="80"/>
      <c r="S356" s="80"/>
      <c r="T356" s="80"/>
      <c r="U356" s="80"/>
      <c r="V356" s="144"/>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c r="BH356" s="80"/>
      <c r="BI356" s="80"/>
      <c r="BJ356" s="80"/>
    </row>
    <row r="357" spans="3:70" s="1" customFormat="1" ht="44.25" customHeight="1" x14ac:dyDescent="0.2">
      <c r="C357" s="1539"/>
      <c r="D357" s="1539"/>
      <c r="E357" s="1539"/>
      <c r="F357" s="1539"/>
      <c r="G357" s="595">
        <f>IF(AND(G354-N354&lt;0.001,G354-N354&gt;-0.001),0,G354-N354)</f>
        <v>0</v>
      </c>
      <c r="H357" s="1540" t="str">
        <f>IF($Q$2=2,IF(G357=0,$T$7,$T$5),IF(G357=0,$T$8,$T$6))</f>
        <v>Books and Statements balance.</v>
      </c>
      <c r="I357" s="1540"/>
      <c r="J357" s="1540"/>
      <c r="K357" s="1540"/>
      <c r="L357" s="1540"/>
      <c r="M357" s="1540"/>
      <c r="N357" s="1540"/>
      <c r="P357" s="80"/>
      <c r="Q357" s="80"/>
      <c r="R357" s="80"/>
      <c r="S357" s="80"/>
      <c r="T357" s="80"/>
      <c r="U357" s="80"/>
      <c r="V357" s="144"/>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0"/>
      <c r="BH357" s="80"/>
      <c r="BI357" s="80"/>
      <c r="BJ357" s="80"/>
    </row>
    <row r="358" spans="3:70" s="1" customFormat="1" ht="33" customHeight="1" x14ac:dyDescent="0.2">
      <c r="C358" s="594"/>
      <c r="D358" s="594"/>
      <c r="E358" s="594"/>
      <c r="F358" s="594"/>
      <c r="G358" s="596"/>
      <c r="H358" s="597"/>
      <c r="I358" s="597"/>
      <c r="J358" s="597"/>
      <c r="K358" s="597"/>
      <c r="L358" s="597"/>
      <c r="M358" s="597"/>
      <c r="N358" s="597"/>
      <c r="P358" s="80"/>
      <c r="Q358" s="80"/>
      <c r="R358" s="80"/>
      <c r="S358" s="80"/>
      <c r="T358" s="80"/>
      <c r="U358" s="80"/>
      <c r="V358" s="144"/>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0"/>
    </row>
    <row r="359" spans="3:70" s="1" customFormat="1" ht="18.75" customHeight="1" x14ac:dyDescent="0.2">
      <c r="C359" s="1541"/>
      <c r="D359" s="1541"/>
      <c r="E359" s="1541"/>
      <c r="F359" s="1541"/>
      <c r="G359" s="1541"/>
      <c r="H359" s="1541"/>
      <c r="I359" s="1541"/>
      <c r="J359" s="1541"/>
      <c r="K359" s="1541"/>
      <c r="L359" s="1541"/>
      <c r="M359" s="1541"/>
      <c r="N359" s="1541"/>
      <c r="P359" s="80"/>
      <c r="Q359" s="80"/>
      <c r="R359" s="80"/>
      <c r="S359" s="80"/>
      <c r="T359" s="80"/>
      <c r="U359" s="80"/>
      <c r="V359" s="144"/>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c r="AW359" s="80"/>
      <c r="AX359" s="80"/>
      <c r="AY359" s="80"/>
      <c r="AZ359" s="80"/>
      <c r="BA359" s="80"/>
      <c r="BB359" s="80"/>
      <c r="BC359" s="80"/>
      <c r="BD359" s="80"/>
      <c r="BE359" s="80"/>
      <c r="BF359" s="80"/>
      <c r="BG359" s="80"/>
      <c r="BH359" s="80"/>
      <c r="BI359" s="80"/>
      <c r="BJ359" s="80"/>
    </row>
    <row r="360" spans="3:70" s="1" customFormat="1" ht="40.5" customHeight="1" x14ac:dyDescent="0.2">
      <c r="D360" s="1528" t="str">
        <f>IF($Q$2,"Réconciliation détaillée du compte "&amp;F362&amp;" - "&amp;C362,"Detailed Reconciliation of the Account "&amp;F362&amp;" - "&amp;C362)</f>
        <v>Réconciliation détaillée du compte 2020 - Available (Rename)</v>
      </c>
      <c r="E360" s="1528"/>
      <c r="F360" s="1528"/>
      <c r="G360" s="1528"/>
      <c r="H360" s="1528"/>
      <c r="I360" s="1528"/>
      <c r="J360" s="1528"/>
      <c r="K360" s="1528"/>
      <c r="L360" s="1528"/>
      <c r="M360" s="1528"/>
      <c r="N360" s="577"/>
      <c r="P360" s="80"/>
      <c r="Q360" s="80"/>
      <c r="R360" s="80"/>
      <c r="S360" s="80"/>
      <c r="T360" s="80"/>
      <c r="U360" s="80"/>
      <c r="V360" s="144"/>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c r="AW360" s="80"/>
      <c r="AX360" s="80"/>
      <c r="AY360" s="80"/>
      <c r="AZ360" s="80"/>
      <c r="BA360" s="80"/>
      <c r="BB360" s="80"/>
      <c r="BC360" s="80"/>
      <c r="BD360" s="80"/>
      <c r="BE360" s="80"/>
      <c r="BF360" s="80"/>
      <c r="BG360" s="80"/>
      <c r="BH360" s="80"/>
      <c r="BI360" s="80"/>
      <c r="BJ360" s="80"/>
    </row>
    <row r="361" spans="3:70" s="1" customFormat="1" ht="29.25" customHeight="1" x14ac:dyDescent="0.2">
      <c r="C361" s="1529" t="str">
        <f>IF($Q$2=2,"Réconciliation selon les livres comptables","Reconciliation as per BookKeeping")</f>
        <v>Reconciliation as per BookKeeping</v>
      </c>
      <c r="D361" s="1529"/>
      <c r="E361" s="1529"/>
      <c r="F361" s="1529"/>
      <c r="G361" s="1529"/>
      <c r="I361" s="1529" t="str">
        <f>IF($Q$2=2,"Réconciliation selon l'état de compte","Reconciliation as per Account Statement")</f>
        <v>Reconciliation as per Account Statement</v>
      </c>
      <c r="J361" s="1529"/>
      <c r="K361" s="1529"/>
      <c r="L361" s="1529"/>
      <c r="M361" s="1529"/>
      <c r="N361" s="578" t="str">
        <f>F362</f>
        <v>2020</v>
      </c>
      <c r="P361" s="579"/>
      <c r="Q361" s="579"/>
      <c r="R361" s="579"/>
      <c r="S361" s="579"/>
      <c r="T361" s="579"/>
      <c r="U361" s="579"/>
      <c r="V361" s="47"/>
      <c r="W361" s="579"/>
      <c r="X361" s="579"/>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c r="AW361" s="80"/>
      <c r="AX361" s="80"/>
      <c r="AY361" s="80"/>
      <c r="AZ361" s="80"/>
      <c r="BA361" s="80"/>
      <c r="BB361" s="80"/>
      <c r="BC361" s="80"/>
      <c r="BD361" s="80"/>
      <c r="BE361" s="80"/>
      <c r="BF361" s="80"/>
      <c r="BG361" s="80"/>
      <c r="BH361" s="80"/>
      <c r="BI361" s="80"/>
      <c r="BJ361" s="80"/>
    </row>
    <row r="362" spans="3:70" s="1" customFormat="1" ht="25.5" customHeight="1" x14ac:dyDescent="0.2">
      <c r="C362" s="1542" t="str">
        <f>'Data Set up'!I31</f>
        <v>Available (Rename)</v>
      </c>
      <c r="D362" s="1542"/>
      <c r="E362" s="1542"/>
      <c r="F362" s="580" t="str">
        <f>LEFT('Data Set up'!H31,4)</f>
        <v>2020</v>
      </c>
      <c r="G362" s="355"/>
      <c r="I362" s="1556"/>
      <c r="J362" s="1556"/>
      <c r="K362" s="1556"/>
      <c r="L362" s="1556"/>
      <c r="M362" s="1556"/>
      <c r="N362" s="1556"/>
      <c r="P362" s="80"/>
      <c r="Q362" s="80"/>
      <c r="R362" s="80"/>
      <c r="S362" s="80"/>
      <c r="T362" s="80"/>
      <c r="U362" s="80"/>
      <c r="V362" s="144"/>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c r="AW362" s="80"/>
      <c r="AX362" s="80"/>
      <c r="AY362" s="80"/>
      <c r="AZ362" s="80"/>
      <c r="BA362" s="80"/>
      <c r="BB362" s="80"/>
      <c r="BC362" s="80"/>
      <c r="BD362" s="80"/>
      <c r="BE362" s="80"/>
      <c r="BF362" s="80"/>
      <c r="BG362" s="80"/>
      <c r="BH362" s="80"/>
      <c r="BI362" s="80"/>
      <c r="BJ362" s="80"/>
      <c r="BN362" s="648"/>
      <c r="BO362" s="648"/>
      <c r="BP362" s="648"/>
      <c r="BQ362" s="648"/>
      <c r="BR362" s="648"/>
    </row>
    <row r="363" spans="3:70" s="1" customFormat="1" ht="25.5" customHeight="1" x14ac:dyDescent="0.2">
      <c r="C363" s="1532" t="str">
        <f>IF($Q$2=2,"Solde du compte au ","Account Balance on ")</f>
        <v xml:space="preserve">Account Balance on </v>
      </c>
      <c r="D363" s="1532"/>
      <c r="E363" s="1532"/>
      <c r="F363" s="581" t="str">
        <f>'Data Set up'!$F$40&amp;" "&amp;'Data Set up'!$G$40&amp;" "&amp;'Data Set up'!$F$39</f>
        <v>31 August 2023</v>
      </c>
      <c r="G363" s="582">
        <f>'Data Set up'!F31</f>
        <v>0</v>
      </c>
      <c r="I363" s="1533" t="str">
        <f>IF($Q$2=2,"Solde au compte en fin d'exercice","End of Year Account Balance")</f>
        <v>End of Year Account Balance</v>
      </c>
      <c r="J363" s="1533"/>
      <c r="K363" s="1533"/>
      <c r="L363" s="1533"/>
      <c r="M363" s="1533"/>
      <c r="N363" s="583">
        <v>0</v>
      </c>
      <c r="P363" s="80"/>
      <c r="Q363" s="1534" t="str">
        <f>IF($Q$2=2,"Inscrivez le solde à payer ici","Insert the Balance payable here")</f>
        <v>Insert the Balance payable here</v>
      </c>
      <c r="R363" s="1534"/>
      <c r="S363" s="1534"/>
      <c r="T363" s="80"/>
      <c r="U363" s="585">
        <f>N363*1</f>
        <v>0</v>
      </c>
      <c r="V363" s="144"/>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c r="AV363" s="80"/>
      <c r="AW363" s="80"/>
      <c r="AX363" s="80"/>
      <c r="AY363" s="80"/>
      <c r="AZ363" s="80"/>
      <c r="BA363" s="80"/>
      <c r="BB363" s="80"/>
      <c r="BC363" s="80"/>
      <c r="BD363" s="80"/>
      <c r="BE363" s="80"/>
      <c r="BF363" s="80"/>
      <c r="BG363" s="80"/>
      <c r="BH363" s="80"/>
      <c r="BI363" s="80"/>
      <c r="BJ363" s="80"/>
      <c r="BN363" s="648"/>
      <c r="BO363" s="648"/>
      <c r="BP363" s="648"/>
      <c r="BQ363" s="648"/>
      <c r="BR363" s="648"/>
    </row>
    <row r="364" spans="3:70" s="1" customFormat="1" ht="25.5" customHeight="1" x14ac:dyDescent="0.2">
      <c r="C364" s="1535" t="str">
        <f>IF($Q$2=2,"Plus: Remboursements (Jrnl des revenus)","Plus: Reimbursements (Revenue Jrnl)")</f>
        <v>Plus: Reimbursements (Revenue Jrnl)</v>
      </c>
      <c r="D364" s="1535"/>
      <c r="E364" s="1535"/>
      <c r="F364" s="1535"/>
      <c r="G364" s="582">
        <f>'Revenue Jrnl'!G535</f>
        <v>0</v>
      </c>
      <c r="H364" s="586"/>
      <c r="I364" s="1556"/>
      <c r="J364" s="1556"/>
      <c r="K364" s="1556"/>
      <c r="L364" s="1556"/>
      <c r="M364" s="1556"/>
      <c r="N364" s="1556"/>
      <c r="P364" s="80"/>
      <c r="Q364" s="80"/>
      <c r="R364" s="80"/>
      <c r="S364" s="80"/>
      <c r="T364" s="80"/>
      <c r="U364" s="80"/>
      <c r="V364" s="144"/>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c r="AV364" s="80"/>
      <c r="AW364" s="80"/>
      <c r="AX364" s="80"/>
      <c r="AY364" s="80"/>
      <c r="AZ364" s="80"/>
      <c r="BA364" s="80"/>
      <c r="BB364" s="80"/>
      <c r="BC364" s="80"/>
      <c r="BD364" s="80"/>
      <c r="BE364" s="80"/>
      <c r="BF364" s="80"/>
      <c r="BG364" s="80"/>
      <c r="BH364" s="80"/>
      <c r="BI364" s="80"/>
      <c r="BJ364" s="80"/>
      <c r="BN364" s="648"/>
      <c r="BO364" s="648"/>
      <c r="BP364" s="648"/>
      <c r="BQ364" s="648"/>
      <c r="BR364" s="648"/>
    </row>
    <row r="365" spans="3:70" s="1" customFormat="1" ht="25.5" customHeight="1" x14ac:dyDescent="0.2">
      <c r="C365" s="1535" t="str">
        <f>IF($Q$2=2," Moins: Dépenses (Jrnl des dépenses)","Less: Expenses (Expense Jrnl)")</f>
        <v>Less: Expenses (Expense Jrnl)</v>
      </c>
      <c r="D365" s="1535"/>
      <c r="E365" s="1535"/>
      <c r="F365" s="1535"/>
      <c r="G365" s="582">
        <f>'Expense Jrnl'!G535</f>
        <v>0</v>
      </c>
      <c r="I365" s="1545" t="str">
        <f>IF($Q$2=2,"Plus: Remb. faits mais pas réconciliés","Plus: Reimb. made but not reconciled")</f>
        <v>Plus: Reimb. made but not reconciled</v>
      </c>
      <c r="J365" s="1545"/>
      <c r="K365" s="1545"/>
      <c r="L365" s="1545"/>
      <c r="M365" s="1545"/>
      <c r="N365" s="600">
        <f>'Revenue Jrnl'!H535</f>
        <v>0</v>
      </c>
      <c r="P365" s="80"/>
      <c r="Q365" s="80"/>
      <c r="R365" s="80"/>
      <c r="S365" s="80"/>
      <c r="T365" s="80"/>
      <c r="U365" s="80"/>
      <c r="V365" s="144"/>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c r="BH365" s="80"/>
      <c r="BI365" s="80"/>
      <c r="BJ365" s="80"/>
    </row>
    <row r="366" spans="3:70" s="1" customFormat="1" ht="25.5" customHeight="1" x14ac:dyDescent="0.2">
      <c r="C366" s="1536"/>
      <c r="D366" s="1536"/>
      <c r="E366" s="1536"/>
      <c r="F366" s="1536"/>
      <c r="H366" s="586"/>
      <c r="I366" s="1556"/>
      <c r="J366" s="1556"/>
      <c r="K366" s="1556"/>
      <c r="L366" s="1556"/>
      <c r="M366" s="1556"/>
      <c r="N366" s="1556"/>
      <c r="P366" s="80"/>
      <c r="Q366" s="80"/>
      <c r="R366" s="80"/>
      <c r="S366" s="80"/>
      <c r="T366" s="80"/>
      <c r="U366" s="80"/>
      <c r="V366" s="144"/>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c r="BH366" s="80"/>
      <c r="BI366" s="80"/>
      <c r="BJ366" s="80"/>
    </row>
    <row r="367" spans="3:70" s="1" customFormat="1" ht="25.5" customHeight="1" x14ac:dyDescent="0.2">
      <c r="C367" s="1546" t="str">
        <f>IF($Q$2=2,"Remboursements de l'année précédente (non traités dans l'année précédente)","Previous Year's Reimbursements (not processed in prev year)")</f>
        <v>Previous Year's Reimbursements (not processed in prev year)</v>
      </c>
      <c r="D367" s="1546"/>
      <c r="E367" s="1546"/>
      <c r="F367" s="1546"/>
      <c r="G367" s="1546"/>
      <c r="I367" s="1547" t="str">
        <f>IF($Q$2=2,"Moins: Dépenses effectuées mais non encore enr.","Less: Expenses made but not processed")</f>
        <v>Less: Expenses made but not processed</v>
      </c>
      <c r="J367" s="1547"/>
      <c r="K367" s="1547"/>
      <c r="L367" s="1547"/>
      <c r="M367" s="1547"/>
      <c r="N367" s="600">
        <f>'Expense Jrnl'!H535</f>
        <v>0</v>
      </c>
      <c r="P367" s="80"/>
      <c r="Q367" s="80"/>
      <c r="R367" s="80"/>
      <c r="S367" s="80"/>
      <c r="T367" s="80"/>
      <c r="U367" s="80"/>
      <c r="V367" s="144"/>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c r="AW367" s="80"/>
      <c r="AX367" s="80"/>
      <c r="AY367" s="80"/>
      <c r="AZ367" s="80"/>
      <c r="BA367" s="80"/>
      <c r="BB367" s="80"/>
      <c r="BC367" s="80"/>
      <c r="BD367" s="80"/>
      <c r="BE367" s="80"/>
      <c r="BF367" s="80"/>
      <c r="BG367" s="80"/>
      <c r="BH367" s="80"/>
      <c r="BI367" s="80"/>
      <c r="BJ367" s="80"/>
    </row>
    <row r="368" spans="3:70" s="1" customFormat="1" ht="25.5" customHeight="1" x14ac:dyDescent="0.2">
      <c r="C368" s="601" t="str">
        <f>IF($Q$2=2,"Chèque #","Cheque #")</f>
        <v>Cheque #</v>
      </c>
      <c r="D368" s="1548" t="str">
        <f>IF($Q$2=2,"Détails","Details")</f>
        <v>Details</v>
      </c>
      <c r="E368" s="1548"/>
      <c r="F368" s="1548"/>
      <c r="G368" s="601" t="str">
        <f>IF($Q$2=2,"Montant","Amount")</f>
        <v>Amount</v>
      </c>
      <c r="I368" s="1556"/>
      <c r="J368" s="1556"/>
      <c r="K368" s="1556"/>
      <c r="L368" s="1556"/>
      <c r="M368" s="1556"/>
      <c r="N368" s="1556"/>
      <c r="P368" s="80"/>
      <c r="Q368" s="80"/>
      <c r="R368" s="80"/>
      <c r="S368" s="80"/>
      <c r="T368" s="80"/>
      <c r="U368" s="80"/>
      <c r="V368" s="144"/>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c r="AW368" s="80"/>
      <c r="AX368" s="80"/>
      <c r="AY368" s="80"/>
      <c r="AZ368" s="80"/>
      <c r="BA368" s="80"/>
      <c r="BB368" s="80"/>
      <c r="BC368" s="80"/>
      <c r="BD368" s="80"/>
      <c r="BE368" s="80"/>
      <c r="BF368" s="80"/>
      <c r="BG368" s="80"/>
      <c r="BH368" s="80"/>
      <c r="BI368" s="80"/>
      <c r="BJ368" s="80"/>
    </row>
    <row r="369" spans="3:62" s="1" customFormat="1" ht="25.5" customHeight="1" x14ac:dyDescent="0.2">
      <c r="C369" s="602" t="str">
        <f>IF('Data Set up'!$J59=$F$362,'Data Set up'!$C59,"")</f>
        <v/>
      </c>
      <c r="D369" s="1565" t="str">
        <f>IF('Data Set up'!$J59=$F$362,'Data Set up'!$D59,"")</f>
        <v/>
      </c>
      <c r="E369" s="1565"/>
      <c r="F369" s="1565"/>
      <c r="G369" s="634" t="str">
        <f>IF('Data Set up'!$J59=$F$362,'Data Set up'!$F59,"")</f>
        <v/>
      </c>
      <c r="I369" s="1547" t="str">
        <f>IF($Q$2=2,"Solde engagé actuel du compte (reconcilié)","Actual Credit balance committed (reconciled)")</f>
        <v>Actual Credit balance committed (reconciled)</v>
      </c>
      <c r="J369" s="1547"/>
      <c r="K369" s="1547"/>
      <c r="L369" s="1547"/>
      <c r="M369" s="1547"/>
      <c r="N369" s="590">
        <f>N363-N365+N367</f>
        <v>0</v>
      </c>
      <c r="P369" s="80"/>
      <c r="Q369" s="80"/>
      <c r="R369" s="80"/>
      <c r="S369" s="80"/>
      <c r="T369" s="80"/>
      <c r="U369" s="80"/>
      <c r="V369" s="144"/>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c r="AW369" s="80"/>
      <c r="AX369" s="80"/>
      <c r="AY369" s="80"/>
      <c r="AZ369" s="80"/>
      <c r="BA369" s="80"/>
      <c r="BB369" s="80"/>
      <c r="BC369" s="80"/>
      <c r="BD369" s="80"/>
      <c r="BE369" s="80"/>
      <c r="BF369" s="80"/>
      <c r="BG369" s="80"/>
      <c r="BH369" s="80"/>
      <c r="BI369" s="80"/>
      <c r="BJ369" s="80"/>
    </row>
    <row r="370" spans="3:62" s="1" customFormat="1" ht="25.5" customHeight="1" x14ac:dyDescent="0.2">
      <c r="C370" s="602" t="str">
        <f>IF('Data Set up'!$J60=$F$362,'Data Set up'!$C60,"")</f>
        <v/>
      </c>
      <c r="D370" s="1565" t="str">
        <f>IF('Data Set up'!$J60=$F$362,'Data Set up'!$D60,"")</f>
        <v/>
      </c>
      <c r="E370" s="1565"/>
      <c r="F370" s="1565"/>
      <c r="G370" s="634" t="str">
        <f>IF('Data Set up'!$J60=$F$362,'Data Set up'!$F60,"")</f>
        <v/>
      </c>
      <c r="P370" s="80"/>
      <c r="Q370" s="80"/>
      <c r="R370" s="80"/>
      <c r="S370" s="80"/>
      <c r="T370" s="80"/>
      <c r="U370" s="80"/>
      <c r="V370" s="144"/>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c r="BE370" s="80"/>
      <c r="BF370" s="80"/>
      <c r="BG370" s="80"/>
      <c r="BH370" s="80"/>
      <c r="BI370" s="80"/>
      <c r="BJ370" s="80"/>
    </row>
    <row r="371" spans="3:62" s="1" customFormat="1" ht="25.5" customHeight="1" x14ac:dyDescent="0.2">
      <c r="C371" s="602" t="str">
        <f>IF('Data Set up'!$J61=$F$362,'Data Set up'!$C61,"")</f>
        <v/>
      </c>
      <c r="D371" s="1565" t="str">
        <f>IF('Data Set up'!$J61=$F$362,'Data Set up'!$D61,"")</f>
        <v/>
      </c>
      <c r="E371" s="1565"/>
      <c r="F371" s="1565"/>
      <c r="G371" s="634" t="str">
        <f>IF('Data Set up'!$J61=$F$362,'Data Set up'!$F61,"")</f>
        <v/>
      </c>
      <c r="I371" s="144"/>
      <c r="J371" s="80"/>
      <c r="K371" s="80"/>
      <c r="L371" s="80"/>
      <c r="M371" s="80"/>
      <c r="N371" s="144"/>
      <c r="P371" s="80"/>
      <c r="Q371" s="80"/>
      <c r="R371" s="80"/>
      <c r="S371" s="80"/>
      <c r="T371" s="80"/>
      <c r="U371" s="80"/>
      <c r="V371" s="144"/>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c r="BH371" s="80"/>
      <c r="BI371" s="80"/>
      <c r="BJ371" s="80"/>
    </row>
    <row r="372" spans="3:62" s="1" customFormat="1" ht="25.5" customHeight="1" x14ac:dyDescent="0.2">
      <c r="C372" s="602" t="str">
        <f>IF('Data Set up'!$J62=$F$362,'Data Set up'!$C62,"")</f>
        <v/>
      </c>
      <c r="D372" s="1565" t="str">
        <f>IF('Data Set up'!$J62=$F$362,'Data Set up'!$D62,"")</f>
        <v/>
      </c>
      <c r="E372" s="1565"/>
      <c r="F372" s="1565"/>
      <c r="G372" s="634" t="str">
        <f>IF('Data Set up'!$J62=$F$362,'Data Set up'!$F62,"")</f>
        <v/>
      </c>
      <c r="I372" s="144"/>
      <c r="J372" s="80"/>
      <c r="K372" s="80"/>
      <c r="L372" s="80"/>
      <c r="M372" s="80"/>
      <c r="N372" s="144"/>
      <c r="P372" s="80"/>
      <c r="Q372" s="80"/>
      <c r="R372" s="80"/>
      <c r="S372" s="80"/>
      <c r="T372" s="80"/>
      <c r="U372" s="80"/>
      <c r="V372" s="144"/>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c r="BH372" s="80"/>
      <c r="BI372" s="80"/>
      <c r="BJ372" s="80"/>
    </row>
    <row r="373" spans="3:62" s="1" customFormat="1" ht="25.5" customHeight="1" x14ac:dyDescent="0.2">
      <c r="C373" s="602" t="str">
        <f>IF('Data Set up'!$J63=$F$362,'Data Set up'!$C63,"")</f>
        <v/>
      </c>
      <c r="D373" s="1565" t="str">
        <f>IF('Data Set up'!$J63=$F$362,'Data Set up'!$D63,"")</f>
        <v/>
      </c>
      <c r="E373" s="1565"/>
      <c r="F373" s="1565"/>
      <c r="G373" s="634" t="str">
        <f>IF('Data Set up'!$J63=$F$362,'Data Set up'!$F63,"")</f>
        <v/>
      </c>
      <c r="I373" s="144"/>
      <c r="J373" s="80"/>
      <c r="K373" s="80"/>
      <c r="L373" s="80"/>
      <c r="M373" s="80"/>
      <c r="N373" s="144"/>
      <c r="P373" s="80"/>
      <c r="Q373" s="80"/>
      <c r="R373" s="80"/>
      <c r="S373" s="80"/>
      <c r="T373" s="80"/>
      <c r="U373" s="80"/>
      <c r="V373" s="144"/>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0"/>
      <c r="BH373" s="80"/>
      <c r="BI373" s="80"/>
      <c r="BJ373" s="80"/>
    </row>
    <row r="374" spans="3:62" s="1" customFormat="1" ht="25.5" customHeight="1" x14ac:dyDescent="0.2">
      <c r="C374" s="602" t="str">
        <f>IF('Data Set up'!$J64=$F$362,'Data Set up'!$C64,"")</f>
        <v/>
      </c>
      <c r="D374" s="1565" t="str">
        <f>IF('Data Set up'!$J64=$F$362,'Data Set up'!$D64,"")</f>
        <v/>
      </c>
      <c r="E374" s="1565"/>
      <c r="F374" s="1565"/>
      <c r="G374" s="634" t="str">
        <f>IF('Data Set up'!$J64=$F$362,'Data Set up'!$F64,"")</f>
        <v/>
      </c>
      <c r="I374" s="144"/>
      <c r="J374" s="80"/>
      <c r="K374" s="80"/>
      <c r="L374" s="80"/>
      <c r="M374" s="80"/>
      <c r="N374" s="144"/>
      <c r="P374" s="80"/>
      <c r="Q374" s="80"/>
      <c r="R374" s="80"/>
      <c r="S374" s="80"/>
      <c r="T374" s="80"/>
      <c r="U374" s="80"/>
      <c r="V374" s="144"/>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0"/>
      <c r="BH374" s="80"/>
      <c r="BI374" s="80"/>
      <c r="BJ374" s="80"/>
    </row>
    <row r="375" spans="3:62" s="1" customFormat="1" ht="25.5" customHeight="1" x14ac:dyDescent="0.2">
      <c r="C375" s="602" t="str">
        <f>IF('Data Set up'!$J65=$F$362,'Data Set up'!$C65,"")</f>
        <v/>
      </c>
      <c r="D375" s="1565" t="str">
        <f>IF('Data Set up'!$J65=$F$362,'Data Set up'!$D65,"")</f>
        <v/>
      </c>
      <c r="E375" s="1565"/>
      <c r="F375" s="1565"/>
      <c r="G375" s="634" t="str">
        <f>IF('Data Set up'!$J65=$F$362,'Data Set up'!$F65,"")</f>
        <v/>
      </c>
      <c r="I375" s="144"/>
      <c r="J375" s="80"/>
      <c r="K375" s="80"/>
      <c r="L375" s="80"/>
      <c r="M375" s="80"/>
      <c r="N375" s="144"/>
      <c r="P375" s="80"/>
      <c r="Q375" s="80"/>
      <c r="R375" s="80"/>
      <c r="S375" s="80"/>
      <c r="T375" s="80"/>
      <c r="U375" s="80"/>
      <c r="V375" s="144"/>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0"/>
      <c r="BH375" s="80"/>
      <c r="BI375" s="80"/>
      <c r="BJ375" s="80"/>
    </row>
    <row r="376" spans="3:62" s="1" customFormat="1" ht="25.5" customHeight="1" x14ac:dyDescent="0.2">
      <c r="C376" s="602" t="str">
        <f>IF('Data Set up'!$J66=$F$362,'Data Set up'!$C66,"")</f>
        <v/>
      </c>
      <c r="D376" s="1565" t="str">
        <f>IF('Data Set up'!$J66=$F$362,'Data Set up'!$D66,"")</f>
        <v/>
      </c>
      <c r="E376" s="1565"/>
      <c r="F376" s="1565"/>
      <c r="G376" s="634" t="str">
        <f>IF('Data Set up'!$J66=$F$362,'Data Set up'!$F66,"")</f>
        <v/>
      </c>
      <c r="I376" s="144"/>
      <c r="J376" s="80"/>
      <c r="K376" s="80"/>
      <c r="L376" s="80"/>
      <c r="M376" s="80"/>
      <c r="N376" s="144"/>
      <c r="P376" s="80"/>
      <c r="Q376" s="80"/>
      <c r="R376" s="80"/>
      <c r="S376" s="80"/>
      <c r="T376" s="80"/>
      <c r="U376" s="80"/>
      <c r="V376" s="144"/>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c r="BH376" s="80"/>
      <c r="BI376" s="80"/>
      <c r="BJ376" s="80"/>
    </row>
    <row r="377" spans="3:62" s="1" customFormat="1" ht="25.5" customHeight="1" x14ac:dyDescent="0.2">
      <c r="C377" s="602" t="str">
        <f>IF('Data Set up'!$J67=$F$362,'Data Set up'!$C67,"")</f>
        <v/>
      </c>
      <c r="D377" s="1565" t="str">
        <f>IF('Data Set up'!$J67=$F$362,'Data Set up'!$D67,"")</f>
        <v/>
      </c>
      <c r="E377" s="1565"/>
      <c r="F377" s="1565"/>
      <c r="G377" s="634" t="str">
        <f>IF('Data Set up'!$J67=$F$362,'Data Set up'!$F67,"")</f>
        <v/>
      </c>
      <c r="I377" s="144"/>
      <c r="J377" s="80"/>
      <c r="K377" s="80"/>
      <c r="L377" s="80"/>
      <c r="M377" s="80"/>
      <c r="N377" s="144"/>
      <c r="P377" s="80"/>
      <c r="Q377" s="80"/>
      <c r="R377" s="80"/>
      <c r="S377" s="80"/>
      <c r="T377" s="80"/>
      <c r="U377" s="80"/>
      <c r="V377" s="144"/>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0"/>
      <c r="BH377" s="80"/>
      <c r="BI377" s="80"/>
      <c r="BJ377" s="80"/>
    </row>
    <row r="378" spans="3:62" s="1" customFormat="1" ht="25.5" customHeight="1" x14ac:dyDescent="0.2">
      <c r="C378" s="602" t="str">
        <f>IF('Data Set up'!$J68=$F$362,'Data Set up'!$C68,"")</f>
        <v/>
      </c>
      <c r="D378" s="1565" t="str">
        <f>IF('Data Set up'!$J68=$F$362,'Data Set up'!$D68,"")</f>
        <v/>
      </c>
      <c r="E378" s="1565"/>
      <c r="F378" s="1565"/>
      <c r="G378" s="634" t="str">
        <f>IF('Data Set up'!$J68=$F$362,'Data Set up'!$F68,"")</f>
        <v/>
      </c>
      <c r="I378" s="144"/>
      <c r="J378" s="80"/>
      <c r="K378" s="80"/>
      <c r="L378" s="80"/>
      <c r="M378" s="80"/>
      <c r="N378" s="144"/>
      <c r="P378" s="80"/>
      <c r="Q378" s="80"/>
      <c r="R378" s="80"/>
      <c r="S378" s="80"/>
      <c r="T378" s="80"/>
      <c r="U378" s="80"/>
      <c r="V378" s="144"/>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0"/>
      <c r="BH378" s="80"/>
      <c r="BI378" s="80"/>
      <c r="BJ378" s="80"/>
    </row>
    <row r="379" spans="3:62" s="1" customFormat="1" ht="25.5" customHeight="1" x14ac:dyDescent="0.2">
      <c r="C379" s="602" t="str">
        <f>IF('Data Set up'!$J69=$F$362,'Data Set up'!$C69,"")</f>
        <v/>
      </c>
      <c r="D379" s="1565" t="str">
        <f>IF('Data Set up'!$J69=$F$362,'Data Set up'!$D69,"")</f>
        <v/>
      </c>
      <c r="E379" s="1565"/>
      <c r="F379" s="1565"/>
      <c r="G379" s="634" t="str">
        <f>IF('Data Set up'!$J69=$F$362,'Data Set up'!$F69,"")</f>
        <v/>
      </c>
      <c r="I379" s="144"/>
      <c r="J379" s="80"/>
      <c r="K379" s="80"/>
      <c r="L379" s="80"/>
      <c r="M379" s="80"/>
      <c r="N379" s="144"/>
      <c r="P379" s="80"/>
      <c r="Q379" s="80"/>
      <c r="R379" s="80"/>
      <c r="S379" s="80"/>
      <c r="T379" s="80"/>
      <c r="U379" s="80"/>
      <c r="V379" s="144"/>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c r="BH379" s="80"/>
      <c r="BI379" s="80"/>
      <c r="BJ379" s="80"/>
    </row>
    <row r="380" spans="3:62" s="1" customFormat="1" ht="25.5" customHeight="1" x14ac:dyDescent="0.2">
      <c r="C380" s="602" t="str">
        <f>IF('Data Set up'!$J70=$F$362,'Data Set up'!$C70,"")</f>
        <v/>
      </c>
      <c r="D380" s="1565" t="str">
        <f>IF('Data Set up'!$J70=$F$362,'Data Set up'!$D70,"")</f>
        <v/>
      </c>
      <c r="E380" s="1565"/>
      <c r="F380" s="1565"/>
      <c r="G380" s="634" t="str">
        <f>IF('Data Set up'!$J70=$F$362,'Data Set up'!$F70,"")</f>
        <v/>
      </c>
      <c r="I380" s="144"/>
      <c r="J380" s="80"/>
      <c r="K380" s="80"/>
      <c r="L380" s="80"/>
      <c r="M380" s="80"/>
      <c r="N380" s="144"/>
      <c r="P380" s="80"/>
      <c r="Q380" s="80"/>
      <c r="R380" s="80"/>
      <c r="S380" s="80"/>
      <c r="T380" s="80"/>
      <c r="U380" s="80"/>
      <c r="V380" s="144"/>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c r="BH380" s="80"/>
      <c r="BI380" s="80"/>
      <c r="BJ380" s="80"/>
    </row>
    <row r="381" spans="3:62" s="1" customFormat="1" ht="25.5" customHeight="1" x14ac:dyDescent="0.2">
      <c r="C381" s="602" t="str">
        <f>IF('Data Set up'!$J71=$F$362,'Data Set up'!$C71,"")</f>
        <v/>
      </c>
      <c r="D381" s="1565" t="str">
        <f>IF('Data Set up'!$J71=$F$362,'Data Set up'!$D71,"")</f>
        <v/>
      </c>
      <c r="E381" s="1565"/>
      <c r="F381" s="1565"/>
      <c r="G381" s="634" t="str">
        <f>IF('Data Set up'!$J71=$F$362,'Data Set up'!$F71,"")</f>
        <v/>
      </c>
      <c r="I381" s="143"/>
      <c r="J381" s="80"/>
      <c r="K381" s="80"/>
      <c r="L381" s="80"/>
      <c r="M381" s="80"/>
      <c r="N381" s="208"/>
      <c r="P381" s="80"/>
      <c r="Q381" s="80"/>
      <c r="R381" s="80"/>
      <c r="S381" s="80"/>
      <c r="T381" s="80"/>
      <c r="U381" s="80"/>
      <c r="V381" s="144"/>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c r="BH381" s="80"/>
      <c r="BI381" s="80"/>
      <c r="BJ381" s="80"/>
    </row>
    <row r="382" spans="3:62" s="1" customFormat="1" ht="25.5" customHeight="1" x14ac:dyDescent="0.2">
      <c r="C382" s="1546" t="str">
        <f>IF($Q$2=2,"Dépenses de l'année précédente (non traités dans l'année précédente)","Previous Year's Expenses (not processed in prev year)")</f>
        <v>Previous Year's Expenses (not processed in prev year)</v>
      </c>
      <c r="D382" s="1546"/>
      <c r="E382" s="1546"/>
      <c r="F382" s="1546"/>
      <c r="G382" s="1546"/>
      <c r="I382" s="604"/>
      <c r="J382" s="605"/>
      <c r="K382" s="605"/>
      <c r="L382" s="605"/>
      <c r="M382" s="605"/>
      <c r="N382" s="208"/>
      <c r="P382" s="80"/>
      <c r="Q382" s="80"/>
      <c r="R382" s="80"/>
      <c r="S382" s="80"/>
      <c r="T382" s="80"/>
      <c r="U382" s="80"/>
      <c r="V382" s="144"/>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0"/>
      <c r="BH382" s="80"/>
      <c r="BI382" s="80"/>
      <c r="BJ382" s="80"/>
    </row>
    <row r="383" spans="3:62" s="1" customFormat="1" ht="25.5" customHeight="1" x14ac:dyDescent="0.2">
      <c r="C383" s="606" t="str">
        <f>IF($Q$2=2,"Transactions #","Transactions #")</f>
        <v>Transactions #</v>
      </c>
      <c r="D383" s="1548" t="str">
        <f>IF($Q$2=2,"À l'ordre de","Payable to")</f>
        <v>Payable to</v>
      </c>
      <c r="E383" s="1548"/>
      <c r="F383" s="1548"/>
      <c r="G383" s="607" t="str">
        <f>IF($Q$2=2,"Montant","Amount")</f>
        <v>Amount</v>
      </c>
      <c r="H383" s="586"/>
      <c r="I383" s="608"/>
      <c r="J383" s="605"/>
      <c r="K383" s="605"/>
      <c r="L383" s="605"/>
      <c r="M383" s="605"/>
      <c r="N383" s="208"/>
      <c r="P383" s="80"/>
      <c r="Q383" s="80"/>
      <c r="R383" s="80"/>
      <c r="S383" s="80"/>
      <c r="T383" s="80"/>
      <c r="U383" s="80"/>
      <c r="V383" s="144"/>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c r="BH383" s="80"/>
      <c r="BI383" s="80"/>
      <c r="BJ383" s="80"/>
    </row>
    <row r="384" spans="3:62" s="1" customFormat="1" ht="25.5" customHeight="1" x14ac:dyDescent="0.2">
      <c r="C384" s="602" t="str">
        <f>IF('Data Set up'!$J76=$F$362,'Data Set up'!$C76,"")</f>
        <v/>
      </c>
      <c r="D384" s="1565" t="str">
        <f>IF('Data Set up'!$J76=$F$362,'Data Set up'!$D76,"")</f>
        <v/>
      </c>
      <c r="E384" s="1565"/>
      <c r="F384" s="1565"/>
      <c r="G384" s="634" t="str">
        <f>IF('Data Set up'!$J76=$F$362,'Data Set up'!$F76,"")</f>
        <v/>
      </c>
      <c r="H384" s="586"/>
      <c r="I384" s="205"/>
      <c r="N384" s="208"/>
      <c r="P384" s="80"/>
      <c r="Q384" s="80"/>
      <c r="R384" s="80"/>
      <c r="S384" s="80"/>
      <c r="T384" s="80"/>
      <c r="U384" s="80"/>
      <c r="V384" s="144"/>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row>
    <row r="385" spans="3:62" s="1" customFormat="1" ht="25.5" customHeight="1" x14ac:dyDescent="0.2">
      <c r="C385" s="602" t="str">
        <f>IF('Data Set up'!$J77=$F$362,'Data Set up'!$C77,"")</f>
        <v/>
      </c>
      <c r="D385" s="1565" t="str">
        <f>IF('Data Set up'!$J77=$F$362,'Data Set up'!$D77,"")</f>
        <v/>
      </c>
      <c r="E385" s="1565"/>
      <c r="F385" s="1565"/>
      <c r="G385" s="634" t="str">
        <f>IF('Data Set up'!$J77=$F$362,'Data Set up'!$F77,"")</f>
        <v/>
      </c>
      <c r="I385" s="355"/>
      <c r="J385" s="355"/>
      <c r="K385" s="355"/>
      <c r="L385" s="355"/>
      <c r="M385" s="355"/>
      <c r="N385" s="355"/>
      <c r="P385" s="80"/>
      <c r="Q385" s="80"/>
      <c r="R385" s="80"/>
      <c r="S385" s="80"/>
      <c r="T385" s="80"/>
      <c r="U385" s="80"/>
      <c r="V385" s="144"/>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c r="AV385" s="80"/>
      <c r="AW385" s="80"/>
      <c r="AX385" s="80"/>
      <c r="AY385" s="80"/>
      <c r="AZ385" s="80"/>
      <c r="BA385" s="80"/>
      <c r="BB385" s="80"/>
      <c r="BC385" s="80"/>
      <c r="BD385" s="80"/>
      <c r="BE385" s="80"/>
      <c r="BF385" s="80"/>
      <c r="BG385" s="80"/>
      <c r="BH385" s="80"/>
      <c r="BI385" s="80"/>
      <c r="BJ385" s="80"/>
    </row>
    <row r="386" spans="3:62" s="1" customFormat="1" ht="25.5" customHeight="1" x14ac:dyDescent="0.2">
      <c r="C386" s="602" t="str">
        <f>IF('Data Set up'!$J78=$F$362,'Data Set up'!$C78,"")</f>
        <v/>
      </c>
      <c r="D386" s="1565" t="str">
        <f>IF('Data Set up'!$J78=$F$362,'Data Set up'!$D78,"")</f>
        <v/>
      </c>
      <c r="E386" s="1565"/>
      <c r="F386" s="1565"/>
      <c r="G386" s="634" t="str">
        <f>IF('Data Set up'!$J78=$F$362,'Data Set up'!$F78,"")</f>
        <v/>
      </c>
      <c r="I386" s="609"/>
      <c r="J386" s="80"/>
      <c r="K386" s="80"/>
      <c r="L386" s="80"/>
      <c r="M386" s="80"/>
      <c r="N386" s="144"/>
      <c r="P386" s="80"/>
      <c r="Q386" s="80"/>
      <c r="R386" s="80"/>
      <c r="S386" s="80"/>
      <c r="T386" s="80"/>
      <c r="U386" s="80"/>
      <c r="V386" s="144"/>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c r="AW386" s="80"/>
      <c r="AX386" s="80"/>
      <c r="AY386" s="80"/>
      <c r="AZ386" s="80"/>
      <c r="BA386" s="80"/>
      <c r="BB386" s="80"/>
      <c r="BC386" s="80"/>
      <c r="BD386" s="80"/>
      <c r="BE386" s="80"/>
      <c r="BF386" s="80"/>
      <c r="BG386" s="80"/>
      <c r="BH386" s="80"/>
      <c r="BI386" s="80"/>
      <c r="BJ386" s="80"/>
    </row>
    <row r="387" spans="3:62" s="1" customFormat="1" ht="25.5" customHeight="1" x14ac:dyDescent="0.2">
      <c r="C387" s="602" t="str">
        <f>IF('Data Set up'!$J79=$F$362,'Data Set up'!$C79,"")</f>
        <v/>
      </c>
      <c r="D387" s="1565" t="str">
        <f>IF('Data Set up'!$J79=$F$362,'Data Set up'!$D79,"")</f>
        <v/>
      </c>
      <c r="E387" s="1565"/>
      <c r="F387" s="1565"/>
      <c r="G387" s="634" t="str">
        <f>IF('Data Set up'!$J79=$F$362,'Data Set up'!$F79,"")</f>
        <v/>
      </c>
      <c r="I387" s="610"/>
      <c r="J387" s="80"/>
      <c r="K387" s="80"/>
      <c r="L387" s="80"/>
      <c r="M387" s="80"/>
      <c r="N387" s="589"/>
      <c r="P387" s="80"/>
      <c r="Q387" s="80"/>
      <c r="R387" s="80"/>
      <c r="S387" s="80"/>
      <c r="T387" s="80"/>
      <c r="U387" s="80"/>
      <c r="V387" s="144"/>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c r="AW387" s="80"/>
      <c r="AX387" s="80"/>
      <c r="AY387" s="80"/>
      <c r="AZ387" s="80"/>
      <c r="BA387" s="80"/>
      <c r="BB387" s="80"/>
      <c r="BC387" s="80"/>
      <c r="BD387" s="80"/>
      <c r="BE387" s="80"/>
      <c r="BF387" s="80"/>
      <c r="BG387" s="80"/>
      <c r="BH387" s="80"/>
      <c r="BI387" s="80"/>
      <c r="BJ387" s="80"/>
    </row>
    <row r="388" spans="3:62" s="1" customFormat="1" ht="25.5" customHeight="1" x14ac:dyDescent="0.2">
      <c r="C388" s="602" t="str">
        <f>IF('Data Set up'!$J80=$F$362,'Data Set up'!$C80,"")</f>
        <v/>
      </c>
      <c r="D388" s="1565" t="str">
        <f>IF('Data Set up'!$J80=$F$362,'Data Set up'!$D80,"")</f>
        <v/>
      </c>
      <c r="E388" s="1565"/>
      <c r="F388" s="1565"/>
      <c r="G388" s="634" t="str">
        <f>IF('Data Set up'!$J80=$F$362,'Data Set up'!$F80,"")</f>
        <v/>
      </c>
      <c r="I388" s="610"/>
      <c r="J388" s="80"/>
      <c r="K388" s="80"/>
      <c r="L388" s="80"/>
      <c r="M388" s="80"/>
      <c r="N388" s="589"/>
      <c r="P388" s="80"/>
      <c r="Q388" s="80"/>
      <c r="R388" s="80"/>
      <c r="S388" s="80"/>
      <c r="T388" s="80"/>
      <c r="U388" s="80"/>
      <c r="V388" s="144"/>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c r="AW388" s="80"/>
      <c r="AX388" s="80"/>
      <c r="AY388" s="80"/>
      <c r="AZ388" s="80"/>
      <c r="BA388" s="80"/>
      <c r="BB388" s="80"/>
      <c r="BC388" s="80"/>
      <c r="BD388" s="80"/>
      <c r="BE388" s="80"/>
      <c r="BF388" s="80"/>
      <c r="BG388" s="80"/>
      <c r="BH388" s="80"/>
      <c r="BI388" s="80"/>
      <c r="BJ388" s="80"/>
    </row>
    <row r="389" spans="3:62" s="1" customFormat="1" ht="25.5" customHeight="1" x14ac:dyDescent="0.2">
      <c r="C389" s="602" t="str">
        <f>IF('Data Set up'!$J81=$F$362,'Data Set up'!$C81,"")</f>
        <v/>
      </c>
      <c r="D389" s="1565" t="str">
        <f>IF('Data Set up'!$J81=$F$362,'Data Set up'!$D81,"")</f>
        <v/>
      </c>
      <c r="E389" s="1565"/>
      <c r="F389" s="1565"/>
      <c r="G389" s="634" t="str">
        <f>IF('Data Set up'!$J81=$F$362,'Data Set up'!$F81,"")</f>
        <v/>
      </c>
      <c r="I389" s="610"/>
      <c r="J389" s="80"/>
      <c r="K389" s="80"/>
      <c r="L389" s="80"/>
      <c r="M389" s="80"/>
      <c r="N389" s="589"/>
      <c r="P389" s="80"/>
      <c r="Q389" s="80"/>
      <c r="R389" s="80"/>
      <c r="S389" s="80"/>
      <c r="T389" s="80"/>
      <c r="U389" s="80"/>
      <c r="V389" s="144"/>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c r="AW389" s="80"/>
      <c r="AX389" s="80"/>
      <c r="AY389" s="80"/>
      <c r="AZ389" s="80"/>
      <c r="BA389" s="80"/>
      <c r="BB389" s="80"/>
      <c r="BC389" s="80"/>
      <c r="BD389" s="80"/>
      <c r="BE389" s="80"/>
      <c r="BF389" s="80"/>
      <c r="BG389" s="80"/>
      <c r="BH389" s="80"/>
      <c r="BI389" s="80"/>
      <c r="BJ389" s="80"/>
    </row>
    <row r="390" spans="3:62" s="1" customFormat="1" ht="25.5" customHeight="1" x14ac:dyDescent="0.2">
      <c r="C390" s="602" t="str">
        <f>IF('Data Set up'!$J82=$F$362,'Data Set up'!$C82,"")</f>
        <v/>
      </c>
      <c r="D390" s="1565" t="str">
        <f>IF('Data Set up'!$J82=$F$362,'Data Set up'!$D82,"")</f>
        <v/>
      </c>
      <c r="E390" s="1565"/>
      <c r="F390" s="1565"/>
      <c r="G390" s="634" t="str">
        <f>IF('Data Set up'!$J82=$F$362,'Data Set up'!$F82,"")</f>
        <v/>
      </c>
      <c r="I390" s="610"/>
      <c r="J390" s="80"/>
      <c r="K390" s="80"/>
      <c r="L390" s="80"/>
      <c r="M390" s="80"/>
      <c r="N390" s="589"/>
      <c r="P390" s="80"/>
      <c r="Q390" s="80"/>
      <c r="R390" s="80"/>
      <c r="S390" s="80"/>
      <c r="T390" s="80"/>
      <c r="U390" s="80"/>
      <c r="V390" s="144"/>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c r="AV390" s="80"/>
      <c r="AW390" s="80"/>
      <c r="AX390" s="80"/>
      <c r="AY390" s="80"/>
      <c r="AZ390" s="80"/>
      <c r="BA390" s="80"/>
      <c r="BB390" s="80"/>
      <c r="BC390" s="80"/>
      <c r="BD390" s="80"/>
      <c r="BE390" s="80"/>
      <c r="BF390" s="80"/>
      <c r="BG390" s="80"/>
      <c r="BH390" s="80"/>
      <c r="BI390" s="80"/>
      <c r="BJ390" s="80"/>
    </row>
    <row r="391" spans="3:62" s="1" customFormat="1" ht="25.5" customHeight="1" x14ac:dyDescent="0.2">
      <c r="C391" s="602" t="str">
        <f>IF('Data Set up'!$J83=$F$362,'Data Set up'!$C83,"")</f>
        <v/>
      </c>
      <c r="D391" s="1565" t="str">
        <f>IF('Data Set up'!$J83=$F$362,'Data Set up'!$D83,"")</f>
        <v/>
      </c>
      <c r="E391" s="1565"/>
      <c r="F391" s="1565"/>
      <c r="G391" s="634" t="str">
        <f>IF('Data Set up'!$J83=$F$362,'Data Set up'!$F83,"")</f>
        <v/>
      </c>
      <c r="I391" s="611"/>
      <c r="J391" s="649"/>
      <c r="K391" s="649"/>
      <c r="L391" s="649"/>
      <c r="M391" s="649"/>
      <c r="N391" s="589"/>
      <c r="P391" s="80"/>
      <c r="Q391" s="80"/>
      <c r="R391" s="80"/>
      <c r="S391" s="80"/>
      <c r="T391" s="80"/>
      <c r="U391" s="80"/>
      <c r="V391" s="144"/>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c r="AW391" s="80"/>
      <c r="AX391" s="80"/>
      <c r="AY391" s="80"/>
      <c r="AZ391" s="80"/>
      <c r="BA391" s="80"/>
      <c r="BB391" s="80"/>
      <c r="BC391" s="80"/>
      <c r="BD391" s="80"/>
      <c r="BE391" s="80"/>
      <c r="BF391" s="80"/>
      <c r="BG391" s="80"/>
      <c r="BH391" s="80"/>
      <c r="BI391" s="80"/>
      <c r="BJ391" s="80"/>
    </row>
    <row r="392" spans="3:62" s="1" customFormat="1" ht="25.5" customHeight="1" x14ac:dyDescent="0.2">
      <c r="C392" s="602" t="str">
        <f>IF('Data Set up'!$J84=$F$362,'Data Set up'!$C84,"")</f>
        <v/>
      </c>
      <c r="D392" s="1565" t="str">
        <f>IF('Data Set up'!$J84=$F$362,'Data Set up'!$D84,"")</f>
        <v/>
      </c>
      <c r="E392" s="1565"/>
      <c r="F392" s="1565"/>
      <c r="G392" s="634" t="str">
        <f>IF('Data Set up'!$J84=$F$362,'Data Set up'!$F84,"")</f>
        <v/>
      </c>
      <c r="I392" s="612"/>
      <c r="J392" s="649"/>
      <c r="K392" s="649"/>
      <c r="L392" s="649"/>
      <c r="M392" s="649"/>
      <c r="N392" s="589"/>
      <c r="P392" s="80"/>
      <c r="Q392" s="80"/>
      <c r="R392" s="80"/>
      <c r="S392" s="80"/>
      <c r="T392" s="80"/>
      <c r="U392" s="80"/>
      <c r="V392" s="144"/>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c r="BH392" s="80"/>
      <c r="BI392" s="80"/>
      <c r="BJ392" s="80"/>
    </row>
    <row r="393" spans="3:62" s="1" customFormat="1" ht="25.5" customHeight="1" x14ac:dyDescent="0.2">
      <c r="C393" s="602" t="str">
        <f>IF('Data Set up'!$J85=$F$362,'Data Set up'!$C85,"")</f>
        <v/>
      </c>
      <c r="D393" s="1565" t="str">
        <f>IF('Data Set up'!$J85=$F$362,'Data Set up'!$D85,"")</f>
        <v/>
      </c>
      <c r="E393" s="1565"/>
      <c r="F393" s="1565"/>
      <c r="G393" s="634" t="str">
        <f>IF('Data Set up'!$J85=$F$362,'Data Set up'!$F85,"")</f>
        <v/>
      </c>
      <c r="I393" s="611"/>
      <c r="J393" s="649"/>
      <c r="K393" s="649"/>
      <c r="L393" s="649"/>
      <c r="M393" s="649"/>
      <c r="N393" s="589"/>
      <c r="P393" s="80"/>
      <c r="Q393" s="80"/>
      <c r="R393" s="80"/>
      <c r="S393" s="80"/>
      <c r="T393" s="80"/>
      <c r="U393" s="80"/>
      <c r="V393" s="144"/>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c r="BH393" s="80"/>
      <c r="BI393" s="80"/>
      <c r="BJ393" s="80"/>
    </row>
    <row r="394" spans="3:62" s="1" customFormat="1" ht="25.5" customHeight="1" x14ac:dyDescent="0.2">
      <c r="C394" s="602" t="str">
        <f>IF('Data Set up'!$J86=$F$362,'Data Set up'!$C86,"")</f>
        <v/>
      </c>
      <c r="D394" s="1565" t="str">
        <f>IF('Data Set up'!$J86=$F$362,'Data Set up'!$D86,"")</f>
        <v/>
      </c>
      <c r="E394" s="1565"/>
      <c r="F394" s="1565"/>
      <c r="G394" s="634" t="str">
        <f>IF('Data Set up'!$J86=$F$362,'Data Set up'!$F86,"")</f>
        <v/>
      </c>
      <c r="I394" s="611"/>
      <c r="J394" s="650"/>
      <c r="K394" s="650"/>
      <c r="L394" s="650"/>
      <c r="M394" s="650"/>
      <c r="N394" s="589"/>
      <c r="P394" s="80"/>
      <c r="Q394" s="80"/>
      <c r="R394" s="80"/>
      <c r="S394" s="80"/>
      <c r="T394" s="80"/>
      <c r="U394" s="80"/>
      <c r="V394" s="144"/>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0"/>
      <c r="BH394" s="80"/>
      <c r="BI394" s="80"/>
      <c r="BJ394" s="80"/>
    </row>
    <row r="395" spans="3:62" s="1" customFormat="1" ht="25.5" customHeight="1" x14ac:dyDescent="0.2">
      <c r="C395" s="602" t="str">
        <f>IF('Data Set up'!$J87=$F$362,'Data Set up'!$C87,"")</f>
        <v/>
      </c>
      <c r="D395" s="1565" t="str">
        <f>IF('Data Set up'!$J87=$F$362,'Data Set up'!$D87,"")</f>
        <v/>
      </c>
      <c r="E395" s="1565"/>
      <c r="F395" s="1565"/>
      <c r="G395" s="634" t="str">
        <f>IF('Data Set up'!$J87=$F$362,'Data Set up'!$F87,"")</f>
        <v/>
      </c>
      <c r="I395" s="143"/>
      <c r="J395" s="80"/>
      <c r="K395" s="80"/>
      <c r="L395" s="80"/>
      <c r="M395" s="80"/>
      <c r="N395" s="589"/>
      <c r="P395" s="80"/>
      <c r="Q395" s="80"/>
      <c r="R395" s="80"/>
      <c r="S395" s="80"/>
      <c r="T395" s="80"/>
      <c r="U395" s="80"/>
      <c r="V395" s="144"/>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c r="AW395" s="80"/>
      <c r="AX395" s="80"/>
      <c r="AY395" s="80"/>
      <c r="AZ395" s="80"/>
      <c r="BA395" s="80"/>
      <c r="BB395" s="80"/>
      <c r="BC395" s="80"/>
      <c r="BD395" s="80"/>
      <c r="BE395" s="80"/>
      <c r="BF395" s="80"/>
      <c r="BG395" s="80"/>
      <c r="BH395" s="80"/>
      <c r="BI395" s="80"/>
      <c r="BJ395" s="80"/>
    </row>
    <row r="396" spans="3:62" s="1" customFormat="1" ht="25.5" customHeight="1" x14ac:dyDescent="0.2">
      <c r="C396" s="602" t="str">
        <f>IF('Data Set up'!$J88=$F$362,'Data Set up'!$C88,"")</f>
        <v/>
      </c>
      <c r="D396" s="1565" t="str">
        <f>IF('Data Set up'!$J88=$F$362,'Data Set up'!$D88,"")</f>
        <v/>
      </c>
      <c r="E396" s="1565"/>
      <c r="F396" s="1565"/>
      <c r="G396" s="634" t="str">
        <f>IF('Data Set up'!$J88=$F$362,'Data Set up'!$F88,"")</f>
        <v/>
      </c>
      <c r="I396" s="143"/>
      <c r="J396" s="80"/>
      <c r="K396" s="80"/>
      <c r="L396" s="80"/>
      <c r="M396" s="80"/>
      <c r="N396" s="589"/>
      <c r="P396" s="80"/>
      <c r="Q396" s="80"/>
      <c r="R396" s="80"/>
      <c r="S396" s="80"/>
      <c r="T396" s="80"/>
      <c r="U396" s="80"/>
      <c r="V396" s="144"/>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c r="AW396" s="80"/>
      <c r="AX396" s="80"/>
      <c r="AY396" s="80"/>
      <c r="AZ396" s="80"/>
      <c r="BA396" s="80"/>
      <c r="BB396" s="80"/>
      <c r="BC396" s="80"/>
      <c r="BD396" s="80"/>
      <c r="BE396" s="80"/>
      <c r="BF396" s="80"/>
      <c r="BG396" s="80"/>
      <c r="BH396" s="80"/>
      <c r="BI396" s="80"/>
      <c r="BJ396" s="80"/>
    </row>
    <row r="397" spans="3:62" s="1" customFormat="1" ht="25.5" customHeight="1" x14ac:dyDescent="0.2">
      <c r="C397" s="1554" t="str">
        <f>IF($Q$2=2,"Montant non-comptabilisé de l'année précédente","Previous Year's non-accounted Amount")</f>
        <v>Previous Year's non-accounted Amount</v>
      </c>
      <c r="D397" s="1554"/>
      <c r="E397" s="1554"/>
      <c r="F397" s="1554"/>
      <c r="G397" s="582">
        <f>SUM(G369:G381)-SUM(G384:G396)</f>
        <v>0</v>
      </c>
      <c r="I397" s="330"/>
      <c r="J397" s="80"/>
      <c r="K397" s="80"/>
      <c r="L397" s="80"/>
      <c r="M397" s="80"/>
      <c r="N397" s="589"/>
      <c r="P397" s="80"/>
      <c r="Q397" s="80"/>
      <c r="R397" s="80"/>
      <c r="S397" s="80"/>
      <c r="T397" s="80"/>
      <c r="U397" s="80"/>
      <c r="V397" s="144"/>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c r="AV397" s="80"/>
      <c r="AW397" s="80"/>
      <c r="AX397" s="80"/>
      <c r="AY397" s="80"/>
      <c r="AZ397" s="80"/>
      <c r="BA397" s="80"/>
      <c r="BB397" s="80"/>
      <c r="BC397" s="80"/>
      <c r="BD397" s="80"/>
      <c r="BE397" s="80"/>
      <c r="BF397" s="80"/>
      <c r="BG397" s="80"/>
      <c r="BH397" s="80"/>
      <c r="BI397" s="80"/>
      <c r="BJ397" s="80"/>
    </row>
    <row r="398" spans="3:62" s="1" customFormat="1" ht="25.5" customHeight="1" x14ac:dyDescent="0.2">
      <c r="C398" s="1537" t="str">
        <f>IF($Q$2=2,F362&amp;" Fonds disponible du compte",F362&amp;" Account Available Funds")</f>
        <v>2020 Account Available Funds</v>
      </c>
      <c r="D398" s="1537"/>
      <c r="E398" s="1537"/>
      <c r="F398" s="1537"/>
      <c r="G398" s="588"/>
      <c r="I398" s="143"/>
      <c r="J398" s="80"/>
      <c r="K398" s="80"/>
      <c r="L398" s="80"/>
      <c r="M398" s="80"/>
      <c r="N398" s="589"/>
      <c r="P398" s="80"/>
      <c r="Q398" s="80"/>
      <c r="R398" s="80"/>
      <c r="S398" s="80"/>
      <c r="T398" s="80"/>
      <c r="U398" s="80"/>
      <c r="V398" s="144"/>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c r="AV398" s="80"/>
      <c r="AW398" s="80"/>
      <c r="AX398" s="80"/>
      <c r="AY398" s="80"/>
      <c r="AZ398" s="80"/>
      <c r="BA398" s="80"/>
      <c r="BB398" s="80"/>
      <c r="BC398" s="80"/>
      <c r="BD398" s="80"/>
      <c r="BE398" s="80"/>
      <c r="BF398" s="80"/>
      <c r="BG398" s="80"/>
      <c r="BH398" s="80"/>
      <c r="BI398" s="80"/>
      <c r="BJ398" s="80"/>
    </row>
    <row r="399" spans="3:62" s="1" customFormat="1" ht="25.5" customHeight="1" x14ac:dyDescent="0.2">
      <c r="C399" s="1558" t="str">
        <f>IF($Q$2=2,"Solde reporté à la ligne "&amp;F362&amp;" du Bilan - page 6","This balance fwrd'd to line "&amp;F362&amp;" of Balance Sheet -  page 6")</f>
        <v>This balance fwrd'd to line 2020 of Balance Sheet -  page 6</v>
      </c>
      <c r="D399" s="1558"/>
      <c r="E399" s="1558"/>
      <c r="F399" s="1558"/>
      <c r="G399" s="590">
        <f>IF(AND(SUM(G363-G364+G365-G397)&lt;0.001,SUM(G363-G364+G365-G397)&gt;-0.001),0,SUM(G363-G364+G365-G397))</f>
        <v>0</v>
      </c>
      <c r="H399" s="398"/>
      <c r="J399" s="355"/>
      <c r="K399" s="355"/>
      <c r="L399" s="355"/>
      <c r="M399" s="591"/>
      <c r="N399" s="590">
        <f>N369</f>
        <v>0</v>
      </c>
      <c r="P399" s="80"/>
      <c r="Q399" s="80"/>
      <c r="R399" s="80"/>
      <c r="S399" s="80"/>
      <c r="T399" s="80"/>
      <c r="U399" s="80"/>
      <c r="V399" s="144"/>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row>
    <row r="400" spans="3:62" s="1" customFormat="1" ht="9.75" customHeight="1" x14ac:dyDescent="0.2">
      <c r="F400" s="592"/>
      <c r="J400" s="586"/>
      <c r="M400" s="593"/>
      <c r="P400" s="80"/>
      <c r="Q400" s="80"/>
      <c r="R400" s="80"/>
      <c r="S400" s="80"/>
      <c r="T400" s="80"/>
      <c r="U400" s="80"/>
      <c r="V400" s="144"/>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0"/>
      <c r="BH400" s="80"/>
      <c r="BI400" s="80"/>
      <c r="BJ400" s="80"/>
    </row>
    <row r="401" spans="3:70" s="1" customFormat="1" ht="9.75" customHeight="1" x14ac:dyDescent="0.2">
      <c r="C401" s="355"/>
      <c r="D401" s="355"/>
      <c r="E401" s="355"/>
      <c r="F401" s="355"/>
      <c r="G401" s="355"/>
      <c r="H401" s="355"/>
      <c r="I401" s="355"/>
      <c r="J401" s="355"/>
      <c r="K401" s="355"/>
      <c r="L401" s="355"/>
      <c r="M401" s="355"/>
      <c r="P401" s="80"/>
      <c r="Q401" s="80"/>
      <c r="R401" s="80"/>
      <c r="S401" s="80"/>
      <c r="T401" s="80"/>
      <c r="U401" s="80"/>
      <c r="V401" s="144"/>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c r="AV401" s="80"/>
      <c r="AW401" s="80"/>
      <c r="AX401" s="80"/>
      <c r="AY401" s="80"/>
      <c r="AZ401" s="80"/>
      <c r="BA401" s="80"/>
      <c r="BB401" s="80"/>
      <c r="BC401" s="80"/>
      <c r="BD401" s="80"/>
      <c r="BE401" s="80"/>
      <c r="BF401" s="80"/>
      <c r="BG401" s="80"/>
      <c r="BH401" s="80"/>
      <c r="BI401" s="80"/>
      <c r="BJ401" s="80"/>
    </row>
    <row r="402" spans="3:70" s="1" customFormat="1" ht="44.25" customHeight="1" x14ac:dyDescent="0.2">
      <c r="C402" s="1539"/>
      <c r="D402" s="1539"/>
      <c r="E402" s="1539"/>
      <c r="F402" s="1539"/>
      <c r="G402" s="595">
        <f>IF(AND(G399-N399&lt;0.001,G399-N399&gt;-0.001),0,G399-N399)</f>
        <v>0</v>
      </c>
      <c r="H402" s="1540" t="str">
        <f>IF($Q$2=2,IF(G402=0,$T$7,$T$5),IF(G402=0,$T$8,$T$6))</f>
        <v>Books and Statements balance.</v>
      </c>
      <c r="I402" s="1540"/>
      <c r="J402" s="1540"/>
      <c r="K402" s="1540"/>
      <c r="L402" s="1540"/>
      <c r="M402" s="1540"/>
      <c r="N402" s="1540"/>
      <c r="P402" s="80"/>
      <c r="Q402" s="80"/>
      <c r="R402" s="80"/>
      <c r="S402" s="80"/>
      <c r="T402" s="80"/>
      <c r="U402" s="80"/>
      <c r="V402" s="144"/>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c r="AV402" s="80"/>
      <c r="AW402" s="80"/>
      <c r="AX402" s="80"/>
      <c r="AY402" s="80"/>
      <c r="AZ402" s="80"/>
      <c r="BA402" s="80"/>
      <c r="BB402" s="80"/>
      <c r="BC402" s="80"/>
      <c r="BD402" s="80"/>
      <c r="BE402" s="80"/>
      <c r="BF402" s="80"/>
      <c r="BG402" s="80"/>
      <c r="BH402" s="80"/>
      <c r="BI402" s="80"/>
      <c r="BJ402" s="80"/>
    </row>
    <row r="403" spans="3:70" s="1" customFormat="1" ht="33" customHeight="1" x14ac:dyDescent="0.2">
      <c r="C403" s="594"/>
      <c r="D403" s="594"/>
      <c r="E403" s="594"/>
      <c r="F403" s="594"/>
      <c r="G403" s="596"/>
      <c r="H403" s="597"/>
      <c r="I403" s="597"/>
      <c r="J403" s="597"/>
      <c r="K403" s="597"/>
      <c r="L403" s="597"/>
      <c r="M403" s="597"/>
      <c r="N403" s="597"/>
      <c r="P403" s="80"/>
      <c r="Q403" s="80"/>
      <c r="R403" s="80"/>
      <c r="S403" s="80"/>
      <c r="T403" s="80"/>
      <c r="U403" s="80"/>
      <c r="V403" s="144"/>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0"/>
      <c r="BH403" s="80"/>
      <c r="BI403" s="80"/>
      <c r="BJ403" s="80"/>
    </row>
    <row r="404" spans="3:70" ht="18.75" customHeight="1" x14ac:dyDescent="0.2">
      <c r="C404" s="1541"/>
      <c r="D404" s="1541"/>
      <c r="E404" s="1541"/>
      <c r="F404" s="1541"/>
      <c r="G404" s="1541"/>
      <c r="H404" s="1541"/>
      <c r="I404" s="1541"/>
      <c r="J404" s="1541"/>
      <c r="K404" s="1541"/>
      <c r="L404" s="1541"/>
      <c r="M404" s="1541"/>
      <c r="N404" s="1541"/>
      <c r="BK404" s="568"/>
      <c r="BL404" s="568"/>
      <c r="BM404" s="568"/>
    </row>
    <row r="405" spans="3:70" s="1" customFormat="1" ht="40.5" customHeight="1" x14ac:dyDescent="0.2">
      <c r="D405" s="1528" t="str">
        <f>IF($Q$2,"Réconciliation détaillée du compte "&amp;F407&amp;" - "&amp;C407,"Detailed Reconciliation of the Account "&amp;F407&amp;" - "&amp;C407)</f>
        <v>Réconciliation détaillée du compte 2030 - Available (Rename)</v>
      </c>
      <c r="E405" s="1528"/>
      <c r="F405" s="1528"/>
      <c r="G405" s="1528"/>
      <c r="H405" s="1528"/>
      <c r="I405" s="1528"/>
      <c r="J405" s="1528"/>
      <c r="K405" s="1528"/>
      <c r="L405" s="1528"/>
      <c r="M405" s="1528"/>
      <c r="N405" s="577"/>
      <c r="P405" s="80"/>
      <c r="Q405" s="80"/>
      <c r="R405" s="80"/>
      <c r="S405" s="80"/>
      <c r="T405" s="80"/>
      <c r="U405" s="80"/>
      <c r="V405" s="144"/>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0"/>
      <c r="BH405" s="80"/>
      <c r="BI405" s="80"/>
      <c r="BJ405" s="80"/>
    </row>
    <row r="406" spans="3:70" s="1" customFormat="1" ht="29.25" customHeight="1" x14ac:dyDescent="0.2">
      <c r="C406" s="1529" t="str">
        <f>IF($Q$2=2,"Réconciliation selon les livres comptables","Reconciliation as per BookKeeping")</f>
        <v>Reconciliation as per BookKeeping</v>
      </c>
      <c r="D406" s="1529"/>
      <c r="E406" s="1529"/>
      <c r="F406" s="1529"/>
      <c r="G406" s="1529"/>
      <c r="I406" s="1529" t="str">
        <f>IF($Q$2=2,"Réconciliation selon l'état de compte","Reconciliation as per Account Statement")</f>
        <v>Reconciliation as per Account Statement</v>
      </c>
      <c r="J406" s="1529"/>
      <c r="K406" s="1529"/>
      <c r="L406" s="1529"/>
      <c r="M406" s="1529"/>
      <c r="N406" s="578" t="str">
        <f>F407</f>
        <v>2030</v>
      </c>
      <c r="P406" s="579"/>
      <c r="Q406" s="579"/>
      <c r="R406" s="579"/>
      <c r="S406" s="579"/>
      <c r="T406" s="579"/>
      <c r="U406" s="579"/>
      <c r="V406" s="47"/>
      <c r="W406" s="579"/>
      <c r="X406" s="579"/>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0"/>
      <c r="BH406" s="80"/>
      <c r="BI406" s="80"/>
      <c r="BJ406" s="80"/>
    </row>
    <row r="407" spans="3:70" s="1" customFormat="1" ht="25.5" customHeight="1" x14ac:dyDescent="0.2">
      <c r="C407" s="1542" t="str">
        <f>'Data Set up'!I32</f>
        <v>Available (Rename)</v>
      </c>
      <c r="D407" s="1542"/>
      <c r="E407" s="1542"/>
      <c r="F407" s="580" t="str">
        <f>LEFT('Data Set up'!H32,4)</f>
        <v>2030</v>
      </c>
      <c r="G407" s="355"/>
      <c r="I407" s="1556"/>
      <c r="J407" s="1556"/>
      <c r="K407" s="1556"/>
      <c r="L407" s="1556"/>
      <c r="M407" s="1556"/>
      <c r="N407" s="1556"/>
      <c r="P407" s="80"/>
      <c r="Q407" s="80"/>
      <c r="R407" s="80"/>
      <c r="S407" s="80"/>
      <c r="T407" s="80"/>
      <c r="U407" s="80"/>
      <c r="V407" s="144"/>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0"/>
      <c r="BH407" s="80"/>
      <c r="BI407" s="80"/>
      <c r="BJ407" s="80"/>
      <c r="BN407" s="648"/>
      <c r="BO407" s="648"/>
      <c r="BP407" s="648"/>
      <c r="BQ407" s="648"/>
      <c r="BR407" s="648"/>
    </row>
    <row r="408" spans="3:70" s="1" customFormat="1" ht="25.5" customHeight="1" x14ac:dyDescent="0.2">
      <c r="C408" s="1532" t="str">
        <f>IF($Q$2=2,"Solde du compte au ","Account Balance on ")</f>
        <v xml:space="preserve">Account Balance on </v>
      </c>
      <c r="D408" s="1532"/>
      <c r="E408" s="1532"/>
      <c r="F408" s="581" t="str">
        <f>'Data Set up'!$F$40&amp;" "&amp;'Data Set up'!$G$40&amp;" "&amp;'Data Set up'!$F$39</f>
        <v>31 August 2023</v>
      </c>
      <c r="G408" s="582">
        <f>'Data Set up'!F32</f>
        <v>0</v>
      </c>
      <c r="I408" s="1533" t="str">
        <f>IF($Q$2=2,"Solde au compte en fin d'exercice","End of Year Account Balance")</f>
        <v>End of Year Account Balance</v>
      </c>
      <c r="J408" s="1533"/>
      <c r="K408" s="1533"/>
      <c r="L408" s="1533"/>
      <c r="M408" s="1533"/>
      <c r="N408" s="583">
        <v>0</v>
      </c>
      <c r="P408" s="80"/>
      <c r="Q408" s="1534" t="str">
        <f>IF($Q$2=2,"Inscrivez le solde à payer ici","Insert the Balance payable here")</f>
        <v>Insert the Balance payable here</v>
      </c>
      <c r="R408" s="1534"/>
      <c r="S408" s="1534"/>
      <c r="T408" s="80"/>
      <c r="U408" s="585">
        <f>N408*1</f>
        <v>0</v>
      </c>
      <c r="V408" s="144"/>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0"/>
      <c r="BH408" s="80"/>
      <c r="BI408" s="80"/>
      <c r="BJ408" s="80"/>
      <c r="BN408" s="648"/>
      <c r="BO408" s="648"/>
      <c r="BP408" s="648"/>
      <c r="BQ408" s="648"/>
      <c r="BR408" s="648"/>
    </row>
    <row r="409" spans="3:70" s="1" customFormat="1" ht="25.5" customHeight="1" x14ac:dyDescent="0.2">
      <c r="C409" s="1535" t="str">
        <f>IF($Q$2=2,"Plus: Remboursements (Jrnl des revenus)","Plus: Reimbursements (Revenue Jrnl)")</f>
        <v>Plus: Reimbursements (Revenue Jrnl)</v>
      </c>
      <c r="D409" s="1535"/>
      <c r="E409" s="1535"/>
      <c r="F409" s="1535"/>
      <c r="G409" s="582">
        <f>'Revenue Jrnl'!G536</f>
        <v>0</v>
      </c>
      <c r="H409" s="586"/>
      <c r="I409" s="1556"/>
      <c r="J409" s="1556"/>
      <c r="K409" s="1556"/>
      <c r="L409" s="1556"/>
      <c r="M409" s="1556"/>
      <c r="N409" s="1556"/>
      <c r="P409" s="80"/>
      <c r="Q409" s="80"/>
      <c r="R409" s="80"/>
      <c r="S409" s="80"/>
      <c r="T409" s="80"/>
      <c r="U409" s="80"/>
      <c r="V409" s="144"/>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c r="BN409" s="648"/>
      <c r="BO409" s="648"/>
      <c r="BP409" s="648"/>
      <c r="BQ409" s="648"/>
      <c r="BR409" s="648"/>
    </row>
    <row r="410" spans="3:70" s="1" customFormat="1" ht="25.5" customHeight="1" x14ac:dyDescent="0.2">
      <c r="C410" s="1535" t="str">
        <f>IF($Q$2=2," Moins: Dépenses (Jrnl des dépenses)","Less: Expenses (Expense Jrnl)")</f>
        <v>Less: Expenses (Expense Jrnl)</v>
      </c>
      <c r="D410" s="1535"/>
      <c r="E410" s="1535"/>
      <c r="F410" s="1535"/>
      <c r="G410" s="582">
        <f>'Expense Jrnl'!G536</f>
        <v>0</v>
      </c>
      <c r="I410" s="1545" t="str">
        <f>IF($Q$2=2,"Plus: Remb. faits mais pas réconciliés","Plus: Reimb. made but not reconciled")</f>
        <v>Plus: Reimb. made but not reconciled</v>
      </c>
      <c r="J410" s="1545"/>
      <c r="K410" s="1545"/>
      <c r="L410" s="1545"/>
      <c r="M410" s="1545"/>
      <c r="N410" s="600">
        <f>'Revenue Jrnl'!H536</f>
        <v>0</v>
      </c>
      <c r="P410" s="80"/>
      <c r="Q410" s="80"/>
      <c r="R410" s="80"/>
      <c r="S410" s="80"/>
      <c r="T410" s="80"/>
      <c r="U410" s="80"/>
      <c r="V410" s="144"/>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row>
    <row r="411" spans="3:70" s="1" customFormat="1" ht="25.5" customHeight="1" x14ac:dyDescent="0.2">
      <c r="C411" s="1536"/>
      <c r="D411" s="1536"/>
      <c r="E411" s="1536"/>
      <c r="F411" s="1536"/>
      <c r="H411" s="586"/>
      <c r="I411" s="1556"/>
      <c r="J411" s="1556"/>
      <c r="K411" s="1556"/>
      <c r="L411" s="1556"/>
      <c r="M411" s="1556"/>
      <c r="N411" s="1556"/>
      <c r="P411" s="80"/>
      <c r="Q411" s="80"/>
      <c r="R411" s="80"/>
      <c r="S411" s="80"/>
      <c r="T411" s="80"/>
      <c r="U411" s="80"/>
      <c r="V411" s="144"/>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row>
    <row r="412" spans="3:70" s="1" customFormat="1" ht="25.5" customHeight="1" x14ac:dyDescent="0.2">
      <c r="C412" s="1546" t="str">
        <f>IF($Q$2=2,"Remboursements de l'année précédente (non traités dans l'année précédente)","Previous Year's Reimbursements (not processed in prev year)")</f>
        <v>Previous Year's Reimbursements (not processed in prev year)</v>
      </c>
      <c r="D412" s="1546"/>
      <c r="E412" s="1546"/>
      <c r="F412" s="1546"/>
      <c r="G412" s="1546"/>
      <c r="I412" s="1547" t="str">
        <f>IF($Q$2=2,"Moins: Dépenses effectuées mais non encore enr.","Less: Expenses made but not processed")</f>
        <v>Less: Expenses made but not processed</v>
      </c>
      <c r="J412" s="1547"/>
      <c r="K412" s="1547"/>
      <c r="L412" s="1547"/>
      <c r="M412" s="1547"/>
      <c r="N412" s="600">
        <f>'Expense Jrnl'!H536</f>
        <v>0</v>
      </c>
      <c r="P412" s="80"/>
      <c r="Q412" s="80"/>
      <c r="R412" s="80"/>
      <c r="S412" s="80"/>
      <c r="T412" s="80"/>
      <c r="U412" s="80"/>
      <c r="V412" s="144"/>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0"/>
    </row>
    <row r="413" spans="3:70" s="1" customFormat="1" ht="25.5" customHeight="1" x14ac:dyDescent="0.2">
      <c r="C413" s="601" t="str">
        <f>IF($Q$2=2,"Chèque #","Cheque #")</f>
        <v>Cheque #</v>
      </c>
      <c r="D413" s="1548" t="str">
        <f>IF($Q$2=2,"Détails","Details")</f>
        <v>Details</v>
      </c>
      <c r="E413" s="1548"/>
      <c r="F413" s="1548"/>
      <c r="G413" s="601" t="str">
        <f>IF($Q$2=2,"Montant","Amount")</f>
        <v>Amount</v>
      </c>
      <c r="I413" s="1556"/>
      <c r="J413" s="1556"/>
      <c r="K413" s="1556"/>
      <c r="L413" s="1556"/>
      <c r="M413" s="1556"/>
      <c r="N413" s="1556"/>
      <c r="P413" s="80"/>
      <c r="Q413" s="80"/>
      <c r="R413" s="80"/>
      <c r="S413" s="80"/>
      <c r="T413" s="80"/>
      <c r="U413" s="80"/>
      <c r="V413" s="144"/>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0"/>
    </row>
    <row r="414" spans="3:70" s="1" customFormat="1" ht="25.5" customHeight="1" x14ac:dyDescent="0.2">
      <c r="C414" s="602" t="str">
        <f>IF('Data Set up'!$J59=$F$407,'Data Set up'!$C59,"")</f>
        <v/>
      </c>
      <c r="D414" s="1565" t="str">
        <f>IF('Data Set up'!$J59=$F$407,'Data Set up'!$D59,"")</f>
        <v/>
      </c>
      <c r="E414" s="1565"/>
      <c r="F414" s="1565"/>
      <c r="G414" s="634" t="str">
        <f>IF('Data Set up'!$J59=$F$407,'Data Set up'!$F59,"")</f>
        <v/>
      </c>
      <c r="I414" s="1547" t="str">
        <f>IF($Q$2=2,"Solde engagé actuel du compte (reconcilié)","Actual Credit balance committed (reconciled)")</f>
        <v>Actual Credit balance committed (reconciled)</v>
      </c>
      <c r="J414" s="1547"/>
      <c r="K414" s="1547"/>
      <c r="L414" s="1547"/>
      <c r="M414" s="1547"/>
      <c r="N414" s="590">
        <f>N408-N410+N412</f>
        <v>0</v>
      </c>
      <c r="P414" s="80"/>
      <c r="Q414" s="80"/>
      <c r="R414" s="80"/>
      <c r="S414" s="80"/>
      <c r="T414" s="80"/>
      <c r="U414" s="80"/>
      <c r="V414" s="144"/>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0"/>
    </row>
    <row r="415" spans="3:70" s="1" customFormat="1" ht="25.5" customHeight="1" x14ac:dyDescent="0.2">
      <c r="C415" s="602" t="str">
        <f>IF('Data Set up'!$J60=$F$407,'Data Set up'!$C60,"")</f>
        <v/>
      </c>
      <c r="D415" s="1565" t="str">
        <f>IF('Data Set up'!$J60=$F$407,'Data Set up'!$D60,"")</f>
        <v/>
      </c>
      <c r="E415" s="1565"/>
      <c r="F415" s="1565"/>
      <c r="G415" s="634" t="str">
        <f>IF('Data Set up'!$J60=$F$407,'Data Set up'!$F60,"")</f>
        <v/>
      </c>
      <c r="P415" s="80"/>
      <c r="Q415" s="80"/>
      <c r="R415" s="80"/>
      <c r="S415" s="80"/>
      <c r="T415" s="80"/>
      <c r="U415" s="80"/>
      <c r="V415" s="144"/>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0"/>
    </row>
    <row r="416" spans="3:70" s="1" customFormat="1" ht="25.5" customHeight="1" x14ac:dyDescent="0.2">
      <c r="C416" s="602" t="str">
        <f>IF('Data Set up'!$J61=$F$407,'Data Set up'!$C61,"")</f>
        <v/>
      </c>
      <c r="D416" s="1565" t="str">
        <f>IF('Data Set up'!$J61=$F$407,'Data Set up'!$D61,"")</f>
        <v/>
      </c>
      <c r="E416" s="1565"/>
      <c r="F416" s="1565"/>
      <c r="G416" s="634" t="str">
        <f>IF('Data Set up'!$J61=$F$407,'Data Set up'!$F61,"")</f>
        <v/>
      </c>
      <c r="I416" s="144"/>
      <c r="J416" s="80"/>
      <c r="K416" s="80"/>
      <c r="L416" s="80"/>
      <c r="M416" s="80"/>
      <c r="N416" s="144"/>
      <c r="P416" s="80"/>
      <c r="Q416" s="80"/>
      <c r="R416" s="80"/>
      <c r="S416" s="80"/>
      <c r="T416" s="80"/>
      <c r="U416" s="80"/>
      <c r="V416" s="144"/>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0"/>
    </row>
    <row r="417" spans="3:62" s="1" customFormat="1" ht="25.5" customHeight="1" x14ac:dyDescent="0.2">
      <c r="C417" s="602" t="str">
        <f>IF('Data Set up'!$J62=$F$407,'Data Set up'!$C62,"")</f>
        <v/>
      </c>
      <c r="D417" s="1565" t="str">
        <f>IF('Data Set up'!$J62=$F$407,'Data Set up'!$D62,"")</f>
        <v/>
      </c>
      <c r="E417" s="1565"/>
      <c r="F417" s="1565"/>
      <c r="G417" s="634" t="str">
        <f>IF('Data Set up'!$J62=$F$407,'Data Set up'!$F62,"")</f>
        <v/>
      </c>
      <c r="I417" s="144"/>
      <c r="J417" s="80"/>
      <c r="K417" s="80"/>
      <c r="L417" s="80"/>
      <c r="M417" s="80"/>
      <c r="N417" s="144"/>
      <c r="P417" s="80"/>
      <c r="Q417" s="80"/>
      <c r="R417" s="80"/>
      <c r="S417" s="80"/>
      <c r="T417" s="80"/>
      <c r="U417" s="80"/>
      <c r="V417" s="144"/>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c r="AW417" s="80"/>
      <c r="AX417" s="80"/>
      <c r="AY417" s="80"/>
      <c r="AZ417" s="80"/>
      <c r="BA417" s="80"/>
      <c r="BB417" s="80"/>
      <c r="BC417" s="80"/>
      <c r="BD417" s="80"/>
      <c r="BE417" s="80"/>
      <c r="BF417" s="80"/>
      <c r="BG417" s="80"/>
      <c r="BH417" s="80"/>
      <c r="BI417" s="80"/>
      <c r="BJ417" s="80"/>
    </row>
    <row r="418" spans="3:62" s="1" customFormat="1" ht="25.5" customHeight="1" x14ac:dyDescent="0.2">
      <c r="C418" s="602" t="str">
        <f>IF('Data Set up'!$J63=$F$407,'Data Set up'!$C63,"")</f>
        <v/>
      </c>
      <c r="D418" s="1565" t="str">
        <f>IF('Data Set up'!$J63=$F$407,'Data Set up'!$D63,"")</f>
        <v/>
      </c>
      <c r="E418" s="1565"/>
      <c r="F418" s="1565"/>
      <c r="G418" s="634" t="str">
        <f>IF('Data Set up'!$J63=$F$407,'Data Set up'!$F63,"")</f>
        <v/>
      </c>
      <c r="I418" s="144"/>
      <c r="J418" s="80"/>
      <c r="K418" s="80"/>
      <c r="L418" s="80"/>
      <c r="M418" s="80"/>
      <c r="N418" s="144"/>
      <c r="P418" s="80"/>
      <c r="Q418" s="80"/>
      <c r="R418" s="80"/>
      <c r="S418" s="80"/>
      <c r="T418" s="80"/>
      <c r="U418" s="80"/>
      <c r="V418" s="144"/>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c r="AW418" s="80"/>
      <c r="AX418" s="80"/>
      <c r="AY418" s="80"/>
      <c r="AZ418" s="80"/>
      <c r="BA418" s="80"/>
      <c r="BB418" s="80"/>
      <c r="BC418" s="80"/>
      <c r="BD418" s="80"/>
      <c r="BE418" s="80"/>
      <c r="BF418" s="80"/>
      <c r="BG418" s="80"/>
      <c r="BH418" s="80"/>
      <c r="BI418" s="80"/>
      <c r="BJ418" s="80"/>
    </row>
    <row r="419" spans="3:62" s="1" customFormat="1" ht="25.5" customHeight="1" x14ac:dyDescent="0.2">
      <c r="C419" s="602" t="str">
        <f>IF('Data Set up'!$J64=$F$407,'Data Set up'!$C64,"")</f>
        <v/>
      </c>
      <c r="D419" s="1565" t="str">
        <f>IF('Data Set up'!$J64=$F$407,'Data Set up'!$D64,"")</f>
        <v/>
      </c>
      <c r="E419" s="1565"/>
      <c r="F419" s="1565"/>
      <c r="G419" s="634" t="str">
        <f>IF('Data Set up'!$J64=$F$407,'Data Set up'!$F64,"")</f>
        <v/>
      </c>
      <c r="I419" s="144"/>
      <c r="J419" s="80"/>
      <c r="K419" s="80"/>
      <c r="L419" s="80"/>
      <c r="M419" s="80"/>
      <c r="N419" s="144"/>
      <c r="P419" s="80"/>
      <c r="Q419" s="80"/>
      <c r="R419" s="80"/>
      <c r="S419" s="80"/>
      <c r="T419" s="80"/>
      <c r="U419" s="80"/>
      <c r="V419" s="144"/>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c r="AW419" s="80"/>
      <c r="AX419" s="80"/>
      <c r="AY419" s="80"/>
      <c r="AZ419" s="80"/>
      <c r="BA419" s="80"/>
      <c r="BB419" s="80"/>
      <c r="BC419" s="80"/>
      <c r="BD419" s="80"/>
      <c r="BE419" s="80"/>
      <c r="BF419" s="80"/>
      <c r="BG419" s="80"/>
      <c r="BH419" s="80"/>
      <c r="BI419" s="80"/>
      <c r="BJ419" s="80"/>
    </row>
    <row r="420" spans="3:62" s="1" customFormat="1" ht="25.5" customHeight="1" x14ac:dyDescent="0.2">
      <c r="C420" s="602" t="str">
        <f>IF('Data Set up'!$J65=$F$407,'Data Set up'!$C65,"")</f>
        <v/>
      </c>
      <c r="D420" s="1565" t="str">
        <f>IF('Data Set up'!$J65=$F$407,'Data Set up'!$D65,"")</f>
        <v/>
      </c>
      <c r="E420" s="1565"/>
      <c r="F420" s="1565"/>
      <c r="G420" s="634" t="str">
        <f>IF('Data Set up'!$J65=$F$407,'Data Set up'!$F65,"")</f>
        <v/>
      </c>
      <c r="I420" s="144"/>
      <c r="J420" s="80"/>
      <c r="K420" s="80"/>
      <c r="L420" s="80"/>
      <c r="M420" s="80"/>
      <c r="N420" s="144"/>
      <c r="P420" s="80"/>
      <c r="Q420" s="80"/>
      <c r="R420" s="80"/>
      <c r="S420" s="80"/>
      <c r="T420" s="80"/>
      <c r="U420" s="80"/>
      <c r="V420" s="144"/>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c r="AW420" s="80"/>
      <c r="AX420" s="80"/>
      <c r="AY420" s="80"/>
      <c r="AZ420" s="80"/>
      <c r="BA420" s="80"/>
      <c r="BB420" s="80"/>
      <c r="BC420" s="80"/>
      <c r="BD420" s="80"/>
      <c r="BE420" s="80"/>
      <c r="BF420" s="80"/>
      <c r="BG420" s="80"/>
      <c r="BH420" s="80"/>
      <c r="BI420" s="80"/>
      <c r="BJ420" s="80"/>
    </row>
    <row r="421" spans="3:62" s="1" customFormat="1" ht="25.5" customHeight="1" x14ac:dyDescent="0.2">
      <c r="C421" s="602" t="str">
        <f>IF('Data Set up'!$J66=$F$407,'Data Set up'!$C66,"")</f>
        <v/>
      </c>
      <c r="D421" s="1565" t="str">
        <f>IF('Data Set up'!$J66=$F$407,'Data Set up'!$D66,"")</f>
        <v/>
      </c>
      <c r="E421" s="1565"/>
      <c r="F421" s="1565"/>
      <c r="G421" s="634" t="str">
        <f>IF('Data Set up'!$J66=$F$407,'Data Set up'!$F66,"")</f>
        <v/>
      </c>
      <c r="I421" s="144"/>
      <c r="J421" s="80"/>
      <c r="K421" s="80"/>
      <c r="L421" s="80"/>
      <c r="M421" s="80"/>
      <c r="N421" s="144"/>
      <c r="P421" s="80"/>
      <c r="Q421" s="80"/>
      <c r="R421" s="80"/>
      <c r="S421" s="80"/>
      <c r="T421" s="80"/>
      <c r="U421" s="80"/>
      <c r="V421" s="144"/>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c r="AW421" s="80"/>
      <c r="AX421" s="80"/>
      <c r="AY421" s="80"/>
      <c r="AZ421" s="80"/>
      <c r="BA421" s="80"/>
      <c r="BB421" s="80"/>
      <c r="BC421" s="80"/>
      <c r="BD421" s="80"/>
      <c r="BE421" s="80"/>
      <c r="BF421" s="80"/>
      <c r="BG421" s="80"/>
      <c r="BH421" s="80"/>
      <c r="BI421" s="80"/>
      <c r="BJ421" s="80"/>
    </row>
    <row r="422" spans="3:62" s="1" customFormat="1" ht="25.5" customHeight="1" x14ac:dyDescent="0.2">
      <c r="C422" s="602" t="str">
        <f>IF('Data Set up'!$J67=$F$407,'Data Set up'!$C67,"")</f>
        <v/>
      </c>
      <c r="D422" s="1565" t="str">
        <f>IF('Data Set up'!$J67=$F$407,'Data Set up'!$D67,"")</f>
        <v/>
      </c>
      <c r="E422" s="1565"/>
      <c r="F422" s="1565"/>
      <c r="G422" s="634" t="str">
        <f>IF('Data Set up'!$J67=$F$407,'Data Set up'!$F67,"")</f>
        <v/>
      </c>
      <c r="I422" s="144"/>
      <c r="J422" s="80"/>
      <c r="K422" s="80"/>
      <c r="L422" s="80"/>
      <c r="M422" s="80"/>
      <c r="N422" s="144"/>
      <c r="P422" s="80"/>
      <c r="Q422" s="80"/>
      <c r="R422" s="80"/>
      <c r="S422" s="80"/>
      <c r="T422" s="80"/>
      <c r="U422" s="80"/>
      <c r="V422" s="144"/>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c r="AW422" s="80"/>
      <c r="AX422" s="80"/>
      <c r="AY422" s="80"/>
      <c r="AZ422" s="80"/>
      <c r="BA422" s="80"/>
      <c r="BB422" s="80"/>
      <c r="BC422" s="80"/>
      <c r="BD422" s="80"/>
      <c r="BE422" s="80"/>
      <c r="BF422" s="80"/>
      <c r="BG422" s="80"/>
      <c r="BH422" s="80"/>
      <c r="BI422" s="80"/>
      <c r="BJ422" s="80"/>
    </row>
    <row r="423" spans="3:62" s="1" customFormat="1" ht="25.5" customHeight="1" x14ac:dyDescent="0.2">
      <c r="C423" s="602" t="str">
        <f>IF('Data Set up'!$J68=$F$407,'Data Set up'!$C68,"")</f>
        <v/>
      </c>
      <c r="D423" s="1565" t="str">
        <f>IF('Data Set up'!$J68=$F$407,'Data Set up'!$D68,"")</f>
        <v/>
      </c>
      <c r="E423" s="1565"/>
      <c r="F423" s="1565"/>
      <c r="G423" s="634" t="str">
        <f>IF('Data Set up'!$J68=$F$407,'Data Set up'!$F68,"")</f>
        <v/>
      </c>
      <c r="I423" s="144"/>
      <c r="J423" s="80"/>
      <c r="K423" s="80"/>
      <c r="L423" s="80"/>
      <c r="M423" s="80"/>
      <c r="N423" s="144"/>
      <c r="P423" s="80"/>
      <c r="Q423" s="80"/>
      <c r="R423" s="80"/>
      <c r="S423" s="80"/>
      <c r="T423" s="80"/>
      <c r="U423" s="80"/>
      <c r="V423" s="144"/>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c r="AW423" s="80"/>
      <c r="AX423" s="80"/>
      <c r="AY423" s="80"/>
      <c r="AZ423" s="80"/>
      <c r="BA423" s="80"/>
      <c r="BB423" s="80"/>
      <c r="BC423" s="80"/>
      <c r="BD423" s="80"/>
      <c r="BE423" s="80"/>
      <c r="BF423" s="80"/>
      <c r="BG423" s="80"/>
      <c r="BH423" s="80"/>
      <c r="BI423" s="80"/>
      <c r="BJ423" s="80"/>
    </row>
    <row r="424" spans="3:62" s="1" customFormat="1" ht="25.5" customHeight="1" x14ac:dyDescent="0.2">
      <c r="C424" s="602" t="str">
        <f>IF('Data Set up'!$J69=$F$407,'Data Set up'!$C69,"")</f>
        <v/>
      </c>
      <c r="D424" s="1565" t="str">
        <f>IF('Data Set up'!$J69=$F$407,'Data Set up'!$D69,"")</f>
        <v/>
      </c>
      <c r="E424" s="1565"/>
      <c r="F424" s="1565"/>
      <c r="G424" s="634" t="str">
        <f>IF('Data Set up'!$J69=$F$407,'Data Set up'!$F69,"")</f>
        <v/>
      </c>
      <c r="I424" s="144"/>
      <c r="J424" s="80"/>
      <c r="K424" s="80"/>
      <c r="L424" s="80"/>
      <c r="M424" s="80"/>
      <c r="N424" s="144"/>
      <c r="P424" s="80"/>
      <c r="Q424" s="80"/>
      <c r="R424" s="80"/>
      <c r="S424" s="80"/>
      <c r="T424" s="80"/>
      <c r="U424" s="80"/>
      <c r="V424" s="144"/>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c r="AW424" s="80"/>
      <c r="AX424" s="80"/>
      <c r="AY424" s="80"/>
      <c r="AZ424" s="80"/>
      <c r="BA424" s="80"/>
      <c r="BB424" s="80"/>
      <c r="BC424" s="80"/>
      <c r="BD424" s="80"/>
      <c r="BE424" s="80"/>
      <c r="BF424" s="80"/>
      <c r="BG424" s="80"/>
      <c r="BH424" s="80"/>
      <c r="BI424" s="80"/>
      <c r="BJ424" s="80"/>
    </row>
    <row r="425" spans="3:62" s="1" customFormat="1" ht="25.5" customHeight="1" x14ac:dyDescent="0.2">
      <c r="C425" s="602" t="str">
        <f>IF('Data Set up'!$J70=$F$407,'Data Set up'!$C70,"")</f>
        <v/>
      </c>
      <c r="D425" s="1565" t="str">
        <f>IF('Data Set up'!$J70=$F$407,'Data Set up'!$D70,"")</f>
        <v/>
      </c>
      <c r="E425" s="1565"/>
      <c r="F425" s="1565"/>
      <c r="G425" s="634" t="str">
        <f>IF('Data Set up'!$J70=$F$407,'Data Set up'!$F70,"")</f>
        <v/>
      </c>
      <c r="I425" s="144"/>
      <c r="J425" s="80"/>
      <c r="K425" s="80"/>
      <c r="L425" s="80"/>
      <c r="M425" s="80"/>
      <c r="N425" s="144"/>
      <c r="P425" s="80"/>
      <c r="Q425" s="80"/>
      <c r="R425" s="80"/>
      <c r="S425" s="80"/>
      <c r="T425" s="80"/>
      <c r="U425" s="80"/>
      <c r="V425" s="144"/>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c r="AW425" s="80"/>
      <c r="AX425" s="80"/>
      <c r="AY425" s="80"/>
      <c r="AZ425" s="80"/>
      <c r="BA425" s="80"/>
      <c r="BB425" s="80"/>
      <c r="BC425" s="80"/>
      <c r="BD425" s="80"/>
      <c r="BE425" s="80"/>
      <c r="BF425" s="80"/>
      <c r="BG425" s="80"/>
      <c r="BH425" s="80"/>
      <c r="BI425" s="80"/>
      <c r="BJ425" s="80"/>
    </row>
    <row r="426" spans="3:62" s="1" customFormat="1" ht="25.5" customHeight="1" x14ac:dyDescent="0.2">
      <c r="C426" s="602" t="str">
        <f>IF('Data Set up'!$J71=$F$407,'Data Set up'!$C71,"")</f>
        <v/>
      </c>
      <c r="D426" s="1565" t="str">
        <f>IF('Data Set up'!$J71=$F$407,'Data Set up'!$D71,"")</f>
        <v/>
      </c>
      <c r="E426" s="1565"/>
      <c r="F426" s="1565"/>
      <c r="G426" s="634" t="str">
        <f>IF('Data Set up'!$J71=$F$407,'Data Set up'!$F71,"")</f>
        <v/>
      </c>
      <c r="I426" s="143"/>
      <c r="J426" s="80"/>
      <c r="K426" s="80"/>
      <c r="L426" s="80"/>
      <c r="M426" s="80"/>
      <c r="N426" s="208"/>
      <c r="P426" s="80"/>
      <c r="Q426" s="80"/>
      <c r="R426" s="80"/>
      <c r="S426" s="80"/>
      <c r="T426" s="80"/>
      <c r="U426" s="80"/>
      <c r="V426" s="144"/>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c r="AW426" s="80"/>
      <c r="AX426" s="80"/>
      <c r="AY426" s="80"/>
      <c r="AZ426" s="80"/>
      <c r="BA426" s="80"/>
      <c r="BB426" s="80"/>
      <c r="BC426" s="80"/>
      <c r="BD426" s="80"/>
      <c r="BE426" s="80"/>
      <c r="BF426" s="80"/>
      <c r="BG426" s="80"/>
      <c r="BH426" s="80"/>
      <c r="BI426" s="80"/>
      <c r="BJ426" s="80"/>
    </row>
    <row r="427" spans="3:62" s="1" customFormat="1" ht="25.5" customHeight="1" x14ac:dyDescent="0.2">
      <c r="C427" s="1546" t="str">
        <f>IF($Q$2=2,"Dépenses de l'année précédente (non traités dans l'année précédente)","Previous Year's Expenses (not processed in prev year)")</f>
        <v>Previous Year's Expenses (not processed in prev year)</v>
      </c>
      <c r="D427" s="1546"/>
      <c r="E427" s="1546"/>
      <c r="F427" s="1546"/>
      <c r="G427" s="1546"/>
      <c r="I427" s="604"/>
      <c r="J427" s="605"/>
      <c r="K427" s="605"/>
      <c r="L427" s="605"/>
      <c r="M427" s="605"/>
      <c r="N427" s="208"/>
      <c r="P427" s="80"/>
      <c r="Q427" s="80"/>
      <c r="R427" s="80"/>
      <c r="S427" s="80"/>
      <c r="T427" s="80"/>
      <c r="U427" s="80"/>
      <c r="V427" s="144"/>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c r="AW427" s="80"/>
      <c r="AX427" s="80"/>
      <c r="AY427" s="80"/>
      <c r="AZ427" s="80"/>
      <c r="BA427" s="80"/>
      <c r="BB427" s="80"/>
      <c r="BC427" s="80"/>
      <c r="BD427" s="80"/>
      <c r="BE427" s="80"/>
      <c r="BF427" s="80"/>
      <c r="BG427" s="80"/>
      <c r="BH427" s="80"/>
      <c r="BI427" s="80"/>
      <c r="BJ427" s="80"/>
    </row>
    <row r="428" spans="3:62" s="1" customFormat="1" ht="25.5" customHeight="1" x14ac:dyDescent="0.2">
      <c r="C428" s="606" t="str">
        <f>IF($Q$2=2,"Transactions #","Transactions #")</f>
        <v>Transactions #</v>
      </c>
      <c r="D428" s="1548" t="str">
        <f>IF($Q$2=2,"À l'ordre de","Payable to")</f>
        <v>Payable to</v>
      </c>
      <c r="E428" s="1548"/>
      <c r="F428" s="1548"/>
      <c r="G428" s="607" t="str">
        <f>IF($Q$2=2,"Montant","Amount")</f>
        <v>Amount</v>
      </c>
      <c r="H428" s="586"/>
      <c r="I428" s="608"/>
      <c r="J428" s="605"/>
      <c r="K428" s="605"/>
      <c r="L428" s="605"/>
      <c r="M428" s="605"/>
      <c r="N428" s="208"/>
      <c r="P428" s="80"/>
      <c r="Q428" s="80"/>
      <c r="R428" s="80"/>
      <c r="S428" s="80"/>
      <c r="T428" s="80"/>
      <c r="U428" s="80"/>
      <c r="V428" s="144"/>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c r="AW428" s="80"/>
      <c r="AX428" s="80"/>
      <c r="AY428" s="80"/>
      <c r="AZ428" s="80"/>
      <c r="BA428" s="80"/>
      <c r="BB428" s="80"/>
      <c r="BC428" s="80"/>
      <c r="BD428" s="80"/>
      <c r="BE428" s="80"/>
      <c r="BF428" s="80"/>
      <c r="BG428" s="80"/>
      <c r="BH428" s="80"/>
      <c r="BI428" s="80"/>
      <c r="BJ428" s="80"/>
    </row>
    <row r="429" spans="3:62" s="1" customFormat="1" ht="25.5" customHeight="1" x14ac:dyDescent="0.2">
      <c r="C429" s="602" t="str">
        <f>IF('Data Set up'!$J76=$F$407,'Data Set up'!$C76,"")</f>
        <v/>
      </c>
      <c r="D429" s="1565" t="str">
        <f>IF('Data Set up'!$J76=$F$407,'Data Set up'!$D76,"")</f>
        <v/>
      </c>
      <c r="E429" s="1565"/>
      <c r="F429" s="1565"/>
      <c r="G429" s="634" t="str">
        <f>IF('Data Set up'!$J76=$F$407,'Data Set up'!$F76,"")</f>
        <v/>
      </c>
      <c r="H429" s="586"/>
      <c r="I429" s="205"/>
      <c r="N429" s="208"/>
      <c r="P429" s="80"/>
      <c r="Q429" s="80"/>
      <c r="R429" s="80"/>
      <c r="S429" s="80"/>
      <c r="T429" s="80"/>
      <c r="U429" s="80"/>
      <c r="V429" s="144"/>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c r="AW429" s="80"/>
      <c r="AX429" s="80"/>
      <c r="AY429" s="80"/>
      <c r="AZ429" s="80"/>
      <c r="BA429" s="80"/>
      <c r="BB429" s="80"/>
      <c r="BC429" s="80"/>
      <c r="BD429" s="80"/>
      <c r="BE429" s="80"/>
      <c r="BF429" s="80"/>
      <c r="BG429" s="80"/>
      <c r="BH429" s="80"/>
      <c r="BI429" s="80"/>
      <c r="BJ429" s="80"/>
    </row>
    <row r="430" spans="3:62" s="1" customFormat="1" ht="25.5" customHeight="1" x14ac:dyDescent="0.2">
      <c r="C430" s="602" t="str">
        <f>IF('Data Set up'!$J77=$F$407,'Data Set up'!$C77,"")</f>
        <v/>
      </c>
      <c r="D430" s="1565" t="str">
        <f>IF('Data Set up'!$J77=$F$407,'Data Set up'!$D77,"")</f>
        <v/>
      </c>
      <c r="E430" s="1565"/>
      <c r="F430" s="1565"/>
      <c r="G430" s="634" t="str">
        <f>IF('Data Set up'!$J77=$F$407,'Data Set up'!$F77,"")</f>
        <v/>
      </c>
      <c r="I430" s="355"/>
      <c r="J430" s="355"/>
      <c r="K430" s="355"/>
      <c r="L430" s="355"/>
      <c r="M430" s="355"/>
      <c r="N430" s="355"/>
      <c r="P430" s="80"/>
      <c r="Q430" s="80"/>
      <c r="R430" s="80"/>
      <c r="S430" s="80"/>
      <c r="T430" s="80"/>
      <c r="U430" s="80"/>
      <c r="V430" s="144"/>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c r="AW430" s="80"/>
      <c r="AX430" s="80"/>
      <c r="AY430" s="80"/>
      <c r="AZ430" s="80"/>
      <c r="BA430" s="80"/>
      <c r="BB430" s="80"/>
      <c r="BC430" s="80"/>
      <c r="BD430" s="80"/>
      <c r="BE430" s="80"/>
      <c r="BF430" s="80"/>
      <c r="BG430" s="80"/>
      <c r="BH430" s="80"/>
      <c r="BI430" s="80"/>
      <c r="BJ430" s="80"/>
    </row>
    <row r="431" spans="3:62" s="1" customFormat="1" ht="25.5" customHeight="1" x14ac:dyDescent="0.2">
      <c r="C431" s="602" t="str">
        <f>IF('Data Set up'!$J78=$F$407,'Data Set up'!$C78,"")</f>
        <v/>
      </c>
      <c r="D431" s="1565" t="str">
        <f>IF('Data Set up'!$J78=$F$407,'Data Set up'!$D78,"")</f>
        <v/>
      </c>
      <c r="E431" s="1565"/>
      <c r="F431" s="1565"/>
      <c r="G431" s="634" t="str">
        <f>IF('Data Set up'!$J78=$F$407,'Data Set up'!$F78,"")</f>
        <v/>
      </c>
      <c r="I431" s="609"/>
      <c r="J431" s="80"/>
      <c r="K431" s="80"/>
      <c r="L431" s="80"/>
      <c r="M431" s="80"/>
      <c r="N431" s="144"/>
      <c r="P431" s="80"/>
      <c r="Q431" s="80"/>
      <c r="R431" s="80"/>
      <c r="S431" s="80"/>
      <c r="T431" s="80"/>
      <c r="U431" s="80"/>
      <c r="V431" s="144"/>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0"/>
      <c r="BA431" s="80"/>
      <c r="BB431" s="80"/>
      <c r="BC431" s="80"/>
      <c r="BD431" s="80"/>
      <c r="BE431" s="80"/>
      <c r="BF431" s="80"/>
      <c r="BG431" s="80"/>
      <c r="BH431" s="80"/>
      <c r="BI431" s="80"/>
      <c r="BJ431" s="80"/>
    </row>
    <row r="432" spans="3:62" s="1" customFormat="1" ht="25.5" customHeight="1" x14ac:dyDescent="0.2">
      <c r="C432" s="602" t="str">
        <f>IF('Data Set up'!$J79=$F$407,'Data Set up'!$C79,"")</f>
        <v/>
      </c>
      <c r="D432" s="1565" t="str">
        <f>IF('Data Set up'!$J79=$F$407,'Data Set up'!$D79,"")</f>
        <v/>
      </c>
      <c r="E432" s="1565"/>
      <c r="F432" s="1565"/>
      <c r="G432" s="634" t="str">
        <f>IF('Data Set up'!$J79=$F$407,'Data Set up'!$F79,"")</f>
        <v/>
      </c>
      <c r="I432" s="610"/>
      <c r="J432" s="80"/>
      <c r="K432" s="80"/>
      <c r="L432" s="80"/>
      <c r="M432" s="80"/>
      <c r="N432" s="589"/>
      <c r="P432" s="80"/>
      <c r="Q432" s="80"/>
      <c r="R432" s="80"/>
      <c r="S432" s="80"/>
      <c r="T432" s="80"/>
      <c r="U432" s="80"/>
      <c r="V432" s="144"/>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c r="AW432" s="80"/>
      <c r="AX432" s="80"/>
      <c r="AY432" s="80"/>
      <c r="AZ432" s="80"/>
      <c r="BA432" s="80"/>
      <c r="BB432" s="80"/>
      <c r="BC432" s="80"/>
      <c r="BD432" s="80"/>
      <c r="BE432" s="80"/>
      <c r="BF432" s="80"/>
      <c r="BG432" s="80"/>
      <c r="BH432" s="80"/>
      <c r="BI432" s="80"/>
      <c r="BJ432" s="80"/>
    </row>
    <row r="433" spans="3:62" s="1" customFormat="1" ht="25.5" customHeight="1" x14ac:dyDescent="0.2">
      <c r="C433" s="602" t="str">
        <f>IF('Data Set up'!$J80=$F$407,'Data Set up'!$C80,"")</f>
        <v/>
      </c>
      <c r="D433" s="1565" t="str">
        <f>IF('Data Set up'!$J80=$F$407,'Data Set up'!$D80,"")</f>
        <v/>
      </c>
      <c r="E433" s="1565"/>
      <c r="F433" s="1565"/>
      <c r="G433" s="634" t="str">
        <f>IF('Data Set up'!$J80=$F$407,'Data Set up'!$F80,"")</f>
        <v/>
      </c>
      <c r="I433" s="610"/>
      <c r="J433" s="80"/>
      <c r="K433" s="80"/>
      <c r="L433" s="80"/>
      <c r="M433" s="80"/>
      <c r="N433" s="589"/>
      <c r="P433" s="80"/>
      <c r="Q433" s="80"/>
      <c r="R433" s="80"/>
      <c r="S433" s="80"/>
      <c r="T433" s="80"/>
      <c r="U433" s="80"/>
      <c r="V433" s="144"/>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c r="AW433" s="80"/>
      <c r="AX433" s="80"/>
      <c r="AY433" s="80"/>
      <c r="AZ433" s="80"/>
      <c r="BA433" s="80"/>
      <c r="BB433" s="80"/>
      <c r="BC433" s="80"/>
      <c r="BD433" s="80"/>
      <c r="BE433" s="80"/>
      <c r="BF433" s="80"/>
      <c r="BG433" s="80"/>
      <c r="BH433" s="80"/>
      <c r="BI433" s="80"/>
      <c r="BJ433" s="80"/>
    </row>
    <row r="434" spans="3:62" s="1" customFormat="1" ht="25.5" customHeight="1" x14ac:dyDescent="0.2">
      <c r="C434" s="602" t="str">
        <f>IF('Data Set up'!$J81=$F$407,'Data Set up'!$C81,"")</f>
        <v/>
      </c>
      <c r="D434" s="1565" t="str">
        <f>IF('Data Set up'!$J81=$F$407,'Data Set up'!$D81,"")</f>
        <v/>
      </c>
      <c r="E434" s="1565"/>
      <c r="F434" s="1565"/>
      <c r="G434" s="634" t="str">
        <f>IF('Data Set up'!$J81=$F$407,'Data Set up'!$F81,"")</f>
        <v/>
      </c>
      <c r="I434" s="610"/>
      <c r="J434" s="80"/>
      <c r="K434" s="80"/>
      <c r="L434" s="80"/>
      <c r="M434" s="80"/>
      <c r="N434" s="589"/>
      <c r="P434" s="80"/>
      <c r="Q434" s="80"/>
      <c r="R434" s="80"/>
      <c r="S434" s="80"/>
      <c r="T434" s="80"/>
      <c r="U434" s="80"/>
      <c r="V434" s="144"/>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c r="AW434" s="80"/>
      <c r="AX434" s="80"/>
      <c r="AY434" s="80"/>
      <c r="AZ434" s="80"/>
      <c r="BA434" s="80"/>
      <c r="BB434" s="80"/>
      <c r="BC434" s="80"/>
      <c r="BD434" s="80"/>
      <c r="BE434" s="80"/>
      <c r="BF434" s="80"/>
      <c r="BG434" s="80"/>
      <c r="BH434" s="80"/>
      <c r="BI434" s="80"/>
      <c r="BJ434" s="80"/>
    </row>
    <row r="435" spans="3:62" s="1" customFormat="1" ht="25.5" customHeight="1" x14ac:dyDescent="0.2">
      <c r="C435" s="602" t="str">
        <f>IF('Data Set up'!$J82=$F$407,'Data Set up'!$C82,"")</f>
        <v/>
      </c>
      <c r="D435" s="1565" t="str">
        <f>IF('Data Set up'!$J82=$F$407,'Data Set up'!$D82,"")</f>
        <v/>
      </c>
      <c r="E435" s="1565"/>
      <c r="F435" s="1565"/>
      <c r="G435" s="634" t="str">
        <f>IF('Data Set up'!$J82=$F$407,'Data Set up'!$F82,"")</f>
        <v/>
      </c>
      <c r="I435" s="610"/>
      <c r="J435" s="80"/>
      <c r="K435" s="80"/>
      <c r="L435" s="80"/>
      <c r="M435" s="80"/>
      <c r="N435" s="589"/>
      <c r="P435" s="80"/>
      <c r="Q435" s="80"/>
      <c r="R435" s="80"/>
      <c r="S435" s="80"/>
      <c r="T435" s="80"/>
      <c r="U435" s="80"/>
      <c r="V435" s="144"/>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c r="AW435" s="80"/>
      <c r="AX435" s="80"/>
      <c r="AY435" s="80"/>
      <c r="AZ435" s="80"/>
      <c r="BA435" s="80"/>
      <c r="BB435" s="80"/>
      <c r="BC435" s="80"/>
      <c r="BD435" s="80"/>
      <c r="BE435" s="80"/>
      <c r="BF435" s="80"/>
      <c r="BG435" s="80"/>
      <c r="BH435" s="80"/>
      <c r="BI435" s="80"/>
      <c r="BJ435" s="80"/>
    </row>
    <row r="436" spans="3:62" s="1" customFormat="1" ht="25.5" customHeight="1" x14ac:dyDescent="0.2">
      <c r="C436" s="602" t="str">
        <f>IF('Data Set up'!$J83=$F$407,'Data Set up'!$C83,"")</f>
        <v/>
      </c>
      <c r="D436" s="1565" t="str">
        <f>IF('Data Set up'!$J83=$F$407,'Data Set up'!$D83,"")</f>
        <v/>
      </c>
      <c r="E436" s="1565"/>
      <c r="F436" s="1565"/>
      <c r="G436" s="634" t="str">
        <f>IF('Data Set up'!$J83=$F$407,'Data Set up'!$F83,"")</f>
        <v/>
      </c>
      <c r="I436" s="611"/>
      <c r="J436" s="649"/>
      <c r="K436" s="649"/>
      <c r="L436" s="649"/>
      <c r="M436" s="649"/>
      <c r="N436" s="589"/>
      <c r="P436" s="80"/>
      <c r="Q436" s="80"/>
      <c r="R436" s="80"/>
      <c r="S436" s="80"/>
      <c r="T436" s="80"/>
      <c r="U436" s="80"/>
      <c r="V436" s="144"/>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c r="AW436" s="80"/>
      <c r="AX436" s="80"/>
      <c r="AY436" s="80"/>
      <c r="AZ436" s="80"/>
      <c r="BA436" s="80"/>
      <c r="BB436" s="80"/>
      <c r="BC436" s="80"/>
      <c r="BD436" s="80"/>
      <c r="BE436" s="80"/>
      <c r="BF436" s="80"/>
      <c r="BG436" s="80"/>
      <c r="BH436" s="80"/>
      <c r="BI436" s="80"/>
      <c r="BJ436" s="80"/>
    </row>
    <row r="437" spans="3:62" s="1" customFormat="1" ht="25.5" customHeight="1" x14ac:dyDescent="0.2">
      <c r="C437" s="602" t="str">
        <f>IF('Data Set up'!$J84=$F$407,'Data Set up'!$C84,"")</f>
        <v/>
      </c>
      <c r="D437" s="1565" t="str">
        <f>IF('Data Set up'!$J84=$F$407,'Data Set up'!$D84,"")</f>
        <v/>
      </c>
      <c r="E437" s="1565"/>
      <c r="F437" s="1565"/>
      <c r="G437" s="634" t="str">
        <f>IF('Data Set up'!$J84=$F$407,'Data Set up'!$F84,"")</f>
        <v/>
      </c>
      <c r="I437" s="612"/>
      <c r="J437" s="649"/>
      <c r="K437" s="649"/>
      <c r="L437" s="649"/>
      <c r="M437" s="649"/>
      <c r="N437" s="589"/>
      <c r="P437" s="80"/>
      <c r="Q437" s="80"/>
      <c r="R437" s="80"/>
      <c r="S437" s="80"/>
      <c r="T437" s="80"/>
      <c r="U437" s="80"/>
      <c r="V437" s="144"/>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c r="AW437" s="80"/>
      <c r="AX437" s="80"/>
      <c r="AY437" s="80"/>
      <c r="AZ437" s="80"/>
      <c r="BA437" s="80"/>
      <c r="BB437" s="80"/>
      <c r="BC437" s="80"/>
      <c r="BD437" s="80"/>
      <c r="BE437" s="80"/>
      <c r="BF437" s="80"/>
      <c r="BG437" s="80"/>
      <c r="BH437" s="80"/>
      <c r="BI437" s="80"/>
      <c r="BJ437" s="80"/>
    </row>
    <row r="438" spans="3:62" s="1" customFormat="1" ht="25.5" customHeight="1" x14ac:dyDescent="0.2">
      <c r="C438" s="602" t="str">
        <f>IF('Data Set up'!$J85=$F$407,'Data Set up'!$C85,"")</f>
        <v/>
      </c>
      <c r="D438" s="1565" t="str">
        <f>IF('Data Set up'!$J85=$F$407,'Data Set up'!$D85,"")</f>
        <v/>
      </c>
      <c r="E438" s="1565"/>
      <c r="F438" s="1565"/>
      <c r="G438" s="634" t="str">
        <f>IF('Data Set up'!$J85=$F$407,'Data Set up'!$F85,"")</f>
        <v/>
      </c>
      <c r="I438" s="611"/>
      <c r="J438" s="649"/>
      <c r="K438" s="649"/>
      <c r="L438" s="649"/>
      <c r="M438" s="649"/>
      <c r="N438" s="589"/>
      <c r="P438" s="80"/>
      <c r="Q438" s="80"/>
      <c r="R438" s="80"/>
      <c r="S438" s="80"/>
      <c r="T438" s="80"/>
      <c r="U438" s="80"/>
      <c r="V438" s="144"/>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c r="AW438" s="80"/>
      <c r="AX438" s="80"/>
      <c r="AY438" s="80"/>
      <c r="AZ438" s="80"/>
      <c r="BA438" s="80"/>
      <c r="BB438" s="80"/>
      <c r="BC438" s="80"/>
      <c r="BD438" s="80"/>
      <c r="BE438" s="80"/>
      <c r="BF438" s="80"/>
      <c r="BG438" s="80"/>
      <c r="BH438" s="80"/>
      <c r="BI438" s="80"/>
      <c r="BJ438" s="80"/>
    </row>
    <row r="439" spans="3:62" s="1" customFormat="1" ht="25.5" customHeight="1" x14ac:dyDescent="0.2">
      <c r="C439" s="602" t="str">
        <f>IF('Data Set up'!$J86=$F$407,'Data Set up'!$C86,"")</f>
        <v/>
      </c>
      <c r="D439" s="1565" t="str">
        <f>IF('Data Set up'!$J86=$F$407,'Data Set up'!$D86,"")</f>
        <v/>
      </c>
      <c r="E439" s="1565"/>
      <c r="F439" s="1565"/>
      <c r="G439" s="634" t="str">
        <f>IF('Data Set up'!$J86=$F$407,'Data Set up'!$F86,"")</f>
        <v/>
      </c>
      <c r="I439" s="611"/>
      <c r="J439" s="650"/>
      <c r="K439" s="650"/>
      <c r="L439" s="650"/>
      <c r="M439" s="650"/>
      <c r="N439" s="589"/>
      <c r="P439" s="80"/>
      <c r="Q439" s="80"/>
      <c r="R439" s="80"/>
      <c r="S439" s="80"/>
      <c r="T439" s="80"/>
      <c r="U439" s="80"/>
      <c r="V439" s="144"/>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c r="AW439" s="80"/>
      <c r="AX439" s="80"/>
      <c r="AY439" s="80"/>
      <c r="AZ439" s="80"/>
      <c r="BA439" s="80"/>
      <c r="BB439" s="80"/>
      <c r="BC439" s="80"/>
      <c r="BD439" s="80"/>
      <c r="BE439" s="80"/>
      <c r="BF439" s="80"/>
      <c r="BG439" s="80"/>
      <c r="BH439" s="80"/>
      <c r="BI439" s="80"/>
      <c r="BJ439" s="80"/>
    </row>
    <row r="440" spans="3:62" s="1" customFormat="1" ht="25.5" customHeight="1" x14ac:dyDescent="0.2">
      <c r="C440" s="602" t="str">
        <f>IF('Data Set up'!$J87=$F$407,'Data Set up'!$C87,"")</f>
        <v/>
      </c>
      <c r="D440" s="1565" t="str">
        <f>IF('Data Set up'!$J87=$F$407,'Data Set up'!$D87,"")</f>
        <v/>
      </c>
      <c r="E440" s="1565"/>
      <c r="F440" s="1565"/>
      <c r="G440" s="634" t="str">
        <f>IF('Data Set up'!$J87=$F$407,'Data Set up'!$F87,"")</f>
        <v/>
      </c>
      <c r="I440" s="143"/>
      <c r="J440" s="80"/>
      <c r="K440" s="80"/>
      <c r="L440" s="80"/>
      <c r="M440" s="80"/>
      <c r="N440" s="589"/>
      <c r="P440" s="80"/>
      <c r="Q440" s="80"/>
      <c r="R440" s="80"/>
      <c r="S440" s="80"/>
      <c r="T440" s="80"/>
      <c r="U440" s="80"/>
      <c r="V440" s="144"/>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c r="AW440" s="80"/>
      <c r="AX440" s="80"/>
      <c r="AY440" s="80"/>
      <c r="AZ440" s="80"/>
      <c r="BA440" s="80"/>
      <c r="BB440" s="80"/>
      <c r="BC440" s="80"/>
      <c r="BD440" s="80"/>
      <c r="BE440" s="80"/>
      <c r="BF440" s="80"/>
      <c r="BG440" s="80"/>
      <c r="BH440" s="80"/>
      <c r="BI440" s="80"/>
      <c r="BJ440" s="80"/>
    </row>
    <row r="441" spans="3:62" s="1" customFormat="1" ht="25.5" customHeight="1" x14ac:dyDescent="0.2">
      <c r="C441" s="602" t="str">
        <f>IF('Data Set up'!$J88=$F$407,'Data Set up'!$C88,"")</f>
        <v/>
      </c>
      <c r="D441" s="1565" t="str">
        <f>IF('Data Set up'!$J88=$F$407,'Data Set up'!$D88,"")</f>
        <v/>
      </c>
      <c r="E441" s="1565"/>
      <c r="F441" s="1565"/>
      <c r="G441" s="634" t="str">
        <f>IF('Data Set up'!$J88=$F$407,'Data Set up'!$F88,"")</f>
        <v/>
      </c>
      <c r="I441" s="143"/>
      <c r="J441" s="80"/>
      <c r="K441" s="80"/>
      <c r="L441" s="80"/>
      <c r="M441" s="80"/>
      <c r="N441" s="589"/>
      <c r="P441" s="80"/>
      <c r="Q441" s="80"/>
      <c r="R441" s="80"/>
      <c r="S441" s="80"/>
      <c r="T441" s="80"/>
      <c r="U441" s="80"/>
      <c r="V441" s="144"/>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c r="AW441" s="80"/>
      <c r="AX441" s="80"/>
      <c r="AY441" s="80"/>
      <c r="AZ441" s="80"/>
      <c r="BA441" s="80"/>
      <c r="BB441" s="80"/>
      <c r="BC441" s="80"/>
      <c r="BD441" s="80"/>
      <c r="BE441" s="80"/>
      <c r="BF441" s="80"/>
      <c r="BG441" s="80"/>
      <c r="BH441" s="80"/>
      <c r="BI441" s="80"/>
      <c r="BJ441" s="80"/>
    </row>
    <row r="442" spans="3:62" s="1" customFormat="1" ht="25.5" customHeight="1" x14ac:dyDescent="0.2">
      <c r="C442" s="1554" t="str">
        <f>IF($Q$2=2,"Montant non-comptabilisé de l'année précédente","Previous Year's non-accounted Amount")</f>
        <v>Previous Year's non-accounted Amount</v>
      </c>
      <c r="D442" s="1554"/>
      <c r="E442" s="1554"/>
      <c r="F442" s="1554"/>
      <c r="G442" s="582">
        <f>SUM(G414:G426)-SUM(G429:G441)</f>
        <v>0</v>
      </c>
      <c r="I442" s="330"/>
      <c r="J442" s="80"/>
      <c r="K442" s="80"/>
      <c r="L442" s="80"/>
      <c r="M442" s="80"/>
      <c r="N442" s="589"/>
      <c r="P442" s="80"/>
      <c r="Q442" s="80"/>
      <c r="R442" s="80"/>
      <c r="S442" s="80"/>
      <c r="T442" s="80"/>
      <c r="U442" s="80"/>
      <c r="V442" s="144"/>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c r="AW442" s="80"/>
      <c r="AX442" s="80"/>
      <c r="AY442" s="80"/>
      <c r="AZ442" s="80"/>
      <c r="BA442" s="80"/>
      <c r="BB442" s="80"/>
      <c r="BC442" s="80"/>
      <c r="BD442" s="80"/>
      <c r="BE442" s="80"/>
      <c r="BF442" s="80"/>
      <c r="BG442" s="80"/>
      <c r="BH442" s="80"/>
      <c r="BI442" s="80"/>
      <c r="BJ442" s="80"/>
    </row>
    <row r="443" spans="3:62" s="1" customFormat="1" ht="25.5" customHeight="1" x14ac:dyDescent="0.2">
      <c r="C443" s="1537" t="str">
        <f>IF($Q$2=2,F407&amp;" Fonds disponible du compte",F407&amp;" Account Available Funds")</f>
        <v>2030 Account Available Funds</v>
      </c>
      <c r="D443" s="1537"/>
      <c r="E443" s="1537"/>
      <c r="F443" s="1537"/>
      <c r="G443" s="588"/>
      <c r="I443" s="143"/>
      <c r="J443" s="80"/>
      <c r="K443" s="80"/>
      <c r="L443" s="80"/>
      <c r="M443" s="80"/>
      <c r="N443" s="589"/>
      <c r="P443" s="80"/>
      <c r="Q443" s="80"/>
      <c r="R443" s="80"/>
      <c r="S443" s="80"/>
      <c r="T443" s="80"/>
      <c r="U443" s="80"/>
      <c r="V443" s="144"/>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c r="AW443" s="80"/>
      <c r="AX443" s="80"/>
      <c r="AY443" s="80"/>
      <c r="AZ443" s="80"/>
      <c r="BA443" s="80"/>
      <c r="BB443" s="80"/>
      <c r="BC443" s="80"/>
      <c r="BD443" s="80"/>
      <c r="BE443" s="80"/>
      <c r="BF443" s="80"/>
      <c r="BG443" s="80"/>
      <c r="BH443" s="80"/>
      <c r="BI443" s="80"/>
      <c r="BJ443" s="80"/>
    </row>
    <row r="444" spans="3:62" s="1" customFormat="1" ht="25.5" customHeight="1" x14ac:dyDescent="0.2">
      <c r="C444" s="1558" t="str">
        <f>IF($Q$2=2,"Solde reporté à la ligne "&amp;F407&amp;" du Bilan - page 6","This balance fwrd'd to line "&amp;F407&amp;" of Balance Sheet -  page 6")</f>
        <v>This balance fwrd'd to line 2030 of Balance Sheet -  page 6</v>
      </c>
      <c r="D444" s="1558"/>
      <c r="E444" s="1558"/>
      <c r="F444" s="1558"/>
      <c r="G444" s="590">
        <f>IF(AND(SUM(G408-G409+G410-G442)&lt;0.001,SUM(G408-G409+G410-G442)&gt;-0.001),0,SUM(G408-G409+G410-G442))</f>
        <v>0</v>
      </c>
      <c r="H444" s="398"/>
      <c r="J444" s="355"/>
      <c r="K444" s="355"/>
      <c r="L444" s="355"/>
      <c r="M444" s="591"/>
      <c r="N444" s="590">
        <f>N414</f>
        <v>0</v>
      </c>
      <c r="P444" s="80"/>
      <c r="Q444" s="80"/>
      <c r="R444" s="80"/>
      <c r="S444" s="80"/>
      <c r="T444" s="80"/>
      <c r="U444" s="80"/>
      <c r="V444" s="144"/>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c r="AW444" s="80"/>
      <c r="AX444" s="80"/>
      <c r="AY444" s="80"/>
      <c r="AZ444" s="80"/>
      <c r="BA444" s="80"/>
      <c r="BB444" s="80"/>
      <c r="BC444" s="80"/>
      <c r="BD444" s="80"/>
      <c r="BE444" s="80"/>
      <c r="BF444" s="80"/>
      <c r="BG444" s="80"/>
      <c r="BH444" s="80"/>
      <c r="BI444" s="80"/>
      <c r="BJ444" s="80"/>
    </row>
    <row r="445" spans="3:62" s="1" customFormat="1" ht="9.75" customHeight="1" x14ac:dyDescent="0.2">
      <c r="F445" s="592"/>
      <c r="J445" s="586"/>
      <c r="M445" s="593"/>
      <c r="P445" s="80"/>
      <c r="Q445" s="80"/>
      <c r="R445" s="80"/>
      <c r="S445" s="80"/>
      <c r="T445" s="80"/>
      <c r="U445" s="80"/>
      <c r="V445" s="144"/>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80"/>
      <c r="BB445" s="80"/>
      <c r="BC445" s="80"/>
      <c r="BD445" s="80"/>
      <c r="BE445" s="80"/>
      <c r="BF445" s="80"/>
      <c r="BG445" s="80"/>
      <c r="BH445" s="80"/>
      <c r="BI445" s="80"/>
      <c r="BJ445" s="80"/>
    </row>
    <row r="446" spans="3:62" s="1" customFormat="1" ht="9.75" customHeight="1" x14ac:dyDescent="0.2">
      <c r="C446" s="355"/>
      <c r="D446" s="355"/>
      <c r="E446" s="355"/>
      <c r="F446" s="355"/>
      <c r="G446" s="355"/>
      <c r="H446" s="355"/>
      <c r="I446" s="355"/>
      <c r="J446" s="355"/>
      <c r="K446" s="355"/>
      <c r="L446" s="355"/>
      <c r="M446" s="355"/>
      <c r="P446" s="80"/>
      <c r="Q446" s="80"/>
      <c r="R446" s="80"/>
      <c r="S446" s="80"/>
      <c r="T446" s="80"/>
      <c r="U446" s="80"/>
      <c r="V446" s="144"/>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c r="AW446" s="80"/>
      <c r="AX446" s="80"/>
      <c r="AY446" s="80"/>
      <c r="AZ446" s="80"/>
      <c r="BA446" s="80"/>
      <c r="BB446" s="80"/>
      <c r="BC446" s="80"/>
      <c r="BD446" s="80"/>
      <c r="BE446" s="80"/>
      <c r="BF446" s="80"/>
      <c r="BG446" s="80"/>
      <c r="BH446" s="80"/>
      <c r="BI446" s="80"/>
      <c r="BJ446" s="80"/>
    </row>
    <row r="447" spans="3:62" s="1" customFormat="1" ht="44.25" customHeight="1" x14ac:dyDescent="0.2">
      <c r="C447" s="1539"/>
      <c r="D447" s="1539"/>
      <c r="E447" s="1539"/>
      <c r="F447" s="1539"/>
      <c r="G447" s="595">
        <f>IF(AND(G444-N444&lt;0.001,G444-N444&gt;-0.001),0,G444-N444)</f>
        <v>0</v>
      </c>
      <c r="H447" s="1540" t="str">
        <f>IF($Q$2=2,IF(G447=0,$T$7,$T$5),IF(G447=0,$T$8,$T$6))</f>
        <v>Books and Statements balance.</v>
      </c>
      <c r="I447" s="1540"/>
      <c r="J447" s="1540"/>
      <c r="K447" s="1540"/>
      <c r="L447" s="1540"/>
      <c r="M447" s="1540"/>
      <c r="N447" s="1540"/>
      <c r="P447" s="80"/>
      <c r="Q447" s="80"/>
      <c r="R447" s="80"/>
      <c r="S447" s="80"/>
      <c r="T447" s="80"/>
      <c r="U447" s="80"/>
      <c r="V447" s="144"/>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c r="AW447" s="80"/>
      <c r="AX447" s="80"/>
      <c r="AY447" s="80"/>
      <c r="AZ447" s="80"/>
      <c r="BA447" s="80"/>
      <c r="BB447" s="80"/>
      <c r="BC447" s="80"/>
      <c r="BD447" s="80"/>
      <c r="BE447" s="80"/>
      <c r="BF447" s="80"/>
      <c r="BG447" s="80"/>
      <c r="BH447" s="80"/>
      <c r="BI447" s="80"/>
      <c r="BJ447" s="80"/>
    </row>
    <row r="448" spans="3:62" s="1" customFormat="1" ht="33" customHeight="1" x14ac:dyDescent="0.2">
      <c r="C448" s="594"/>
      <c r="D448" s="594"/>
      <c r="E448" s="594"/>
      <c r="F448" s="594"/>
      <c r="G448" s="596"/>
      <c r="H448" s="597"/>
      <c r="I448" s="597"/>
      <c r="J448" s="597"/>
      <c r="K448" s="597"/>
      <c r="L448" s="597"/>
      <c r="M448" s="597"/>
      <c r="N448" s="597"/>
      <c r="P448" s="80"/>
      <c r="Q448" s="80"/>
      <c r="R448" s="80"/>
      <c r="S448" s="80"/>
      <c r="T448" s="80"/>
      <c r="U448" s="80"/>
      <c r="V448" s="144"/>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c r="AW448" s="80"/>
      <c r="AX448" s="80"/>
      <c r="AY448" s="80"/>
      <c r="AZ448" s="80"/>
      <c r="BA448" s="80"/>
      <c r="BB448" s="80"/>
      <c r="BC448" s="80"/>
      <c r="BD448" s="80"/>
      <c r="BE448" s="80"/>
      <c r="BF448" s="80"/>
      <c r="BG448" s="80"/>
      <c r="BH448" s="80"/>
      <c r="BI448" s="80"/>
      <c r="BJ448" s="80"/>
    </row>
    <row r="449" spans="3:70" ht="18.75" customHeight="1" x14ac:dyDescent="0.2">
      <c r="C449" s="1541"/>
      <c r="D449" s="1541"/>
      <c r="E449" s="1541"/>
      <c r="F449" s="1541"/>
      <c r="G449" s="1541"/>
      <c r="H449" s="1541"/>
      <c r="I449" s="1541"/>
      <c r="J449" s="1541"/>
      <c r="K449" s="1541"/>
      <c r="L449" s="1541"/>
      <c r="M449" s="1541"/>
      <c r="N449" s="1541"/>
      <c r="BK449" s="568"/>
      <c r="BL449" s="568"/>
      <c r="BM449" s="568"/>
    </row>
    <row r="450" spans="3:70" s="1" customFormat="1" ht="40.5" customHeight="1" x14ac:dyDescent="0.2">
      <c r="D450" s="1528" t="str">
        <f>IF($Q$2,"Réconciliation détaillée du compte "&amp;F452&amp;" - "&amp;C452,"Detailed Reconciliation of the Account "&amp;F452&amp;" - "&amp;C452)</f>
        <v>Réconciliation détaillée du compte 2040 - Available (Rename)</v>
      </c>
      <c r="E450" s="1528"/>
      <c r="F450" s="1528"/>
      <c r="G450" s="1528"/>
      <c r="H450" s="1528"/>
      <c r="I450" s="1528"/>
      <c r="J450" s="1528"/>
      <c r="K450" s="1528"/>
      <c r="L450" s="1528"/>
      <c r="M450" s="1528"/>
      <c r="N450" s="577"/>
      <c r="P450" s="80"/>
      <c r="Q450" s="80"/>
      <c r="R450" s="80"/>
      <c r="S450" s="80"/>
      <c r="T450" s="80"/>
      <c r="U450" s="80"/>
      <c r="V450" s="144"/>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c r="AW450" s="80"/>
      <c r="AX450" s="80"/>
      <c r="AY450" s="80"/>
      <c r="AZ450" s="80"/>
      <c r="BA450" s="80"/>
      <c r="BB450" s="80"/>
      <c r="BC450" s="80"/>
      <c r="BD450" s="80"/>
      <c r="BE450" s="80"/>
      <c r="BF450" s="80"/>
      <c r="BG450" s="80"/>
      <c r="BH450" s="80"/>
      <c r="BI450" s="80"/>
      <c r="BJ450" s="80"/>
    </row>
    <row r="451" spans="3:70" s="1" customFormat="1" ht="29.25" customHeight="1" x14ac:dyDescent="0.2">
      <c r="C451" s="1529" t="str">
        <f>IF($Q$2=2,"Réconciliation selon les livres comptables","Reconciliation as per BookKeeping")</f>
        <v>Reconciliation as per BookKeeping</v>
      </c>
      <c r="D451" s="1529"/>
      <c r="E451" s="1529"/>
      <c r="F451" s="1529"/>
      <c r="G451" s="1529"/>
      <c r="I451" s="1529" t="str">
        <f>IF($Q$2=2,"Réconciliation selon l'état de compte","Reconciliation as per Account Statement")</f>
        <v>Reconciliation as per Account Statement</v>
      </c>
      <c r="J451" s="1529"/>
      <c r="K451" s="1529"/>
      <c r="L451" s="1529"/>
      <c r="M451" s="1529"/>
      <c r="N451" s="578" t="str">
        <f>F452</f>
        <v>2040</v>
      </c>
      <c r="P451" s="579"/>
      <c r="Q451" s="579"/>
      <c r="R451" s="579"/>
      <c r="S451" s="579"/>
      <c r="T451" s="579"/>
      <c r="U451" s="579"/>
      <c r="V451" s="47"/>
      <c r="W451" s="579"/>
      <c r="X451" s="579"/>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c r="AW451" s="80"/>
      <c r="AX451" s="80"/>
      <c r="AY451" s="80"/>
      <c r="AZ451" s="80"/>
      <c r="BA451" s="80"/>
      <c r="BB451" s="80"/>
      <c r="BC451" s="80"/>
      <c r="BD451" s="80"/>
      <c r="BE451" s="80"/>
      <c r="BF451" s="80"/>
      <c r="BG451" s="80"/>
      <c r="BH451" s="80"/>
      <c r="BI451" s="80"/>
      <c r="BJ451" s="80"/>
    </row>
    <row r="452" spans="3:70" s="1" customFormat="1" ht="25.5" customHeight="1" x14ac:dyDescent="0.2">
      <c r="C452" s="1542" t="str">
        <f>'Data Set up'!I33</f>
        <v>Available (Rename)</v>
      </c>
      <c r="D452" s="1542"/>
      <c r="E452" s="1542"/>
      <c r="F452" s="580" t="str">
        <f>LEFT('Data Set up'!H33,4)</f>
        <v>2040</v>
      </c>
      <c r="G452" s="355"/>
      <c r="I452" s="1556"/>
      <c r="J452" s="1556"/>
      <c r="K452" s="1556"/>
      <c r="L452" s="1556"/>
      <c r="M452" s="1556"/>
      <c r="N452" s="1556"/>
      <c r="P452" s="80"/>
      <c r="Q452" s="80"/>
      <c r="R452" s="80"/>
      <c r="S452" s="80"/>
      <c r="T452" s="80"/>
      <c r="U452" s="80"/>
      <c r="V452" s="144"/>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c r="AW452" s="80"/>
      <c r="AX452" s="80"/>
      <c r="AY452" s="80"/>
      <c r="AZ452" s="80"/>
      <c r="BA452" s="80"/>
      <c r="BB452" s="80"/>
      <c r="BC452" s="80"/>
      <c r="BD452" s="80"/>
      <c r="BE452" s="80"/>
      <c r="BF452" s="80"/>
      <c r="BG452" s="80"/>
      <c r="BH452" s="80"/>
      <c r="BI452" s="80"/>
      <c r="BJ452" s="80"/>
      <c r="BN452" s="648"/>
      <c r="BO452" s="648"/>
      <c r="BP452" s="648"/>
      <c r="BQ452" s="648"/>
      <c r="BR452" s="648"/>
    </row>
    <row r="453" spans="3:70" s="1" customFormat="1" ht="25.5" customHeight="1" x14ac:dyDescent="0.2">
      <c r="C453" s="1532" t="str">
        <f>IF($Q$2=2,"Solde du compte au ","Account Balance on ")</f>
        <v xml:space="preserve">Account Balance on </v>
      </c>
      <c r="D453" s="1532"/>
      <c r="E453" s="1532"/>
      <c r="F453" s="581" t="str">
        <f>'Data Set up'!$F$40&amp;" "&amp;'Data Set up'!$G$40&amp;" "&amp;'Data Set up'!$F$39</f>
        <v>31 August 2023</v>
      </c>
      <c r="G453" s="582">
        <f>'Data Set up'!F33</f>
        <v>0</v>
      </c>
      <c r="I453" s="1533" t="str">
        <f>IF($Q$2=2,"Solde au compte en fin d'exercice","End of Year Account Balance")</f>
        <v>End of Year Account Balance</v>
      </c>
      <c r="J453" s="1533"/>
      <c r="K453" s="1533"/>
      <c r="L453" s="1533"/>
      <c r="M453" s="1533"/>
      <c r="N453" s="583">
        <v>0</v>
      </c>
      <c r="P453" s="80"/>
      <c r="Q453" s="1534" t="str">
        <f>IF($Q$2=2,"Inscrivez le solde à payer ici","Insert the Balance payable here")</f>
        <v>Insert the Balance payable here</v>
      </c>
      <c r="R453" s="1534"/>
      <c r="S453" s="1534"/>
      <c r="T453" s="80"/>
      <c r="U453" s="585">
        <f>N453*1</f>
        <v>0</v>
      </c>
      <c r="V453" s="144"/>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c r="AW453" s="80"/>
      <c r="AX453" s="80"/>
      <c r="AY453" s="80"/>
      <c r="AZ453" s="80"/>
      <c r="BA453" s="80"/>
      <c r="BB453" s="80"/>
      <c r="BC453" s="80"/>
      <c r="BD453" s="80"/>
      <c r="BE453" s="80"/>
      <c r="BF453" s="80"/>
      <c r="BG453" s="80"/>
      <c r="BH453" s="80"/>
      <c r="BI453" s="80"/>
      <c r="BJ453" s="80"/>
      <c r="BN453" s="648"/>
      <c r="BO453" s="648"/>
      <c r="BP453" s="648"/>
      <c r="BQ453" s="648"/>
      <c r="BR453" s="648"/>
    </row>
    <row r="454" spans="3:70" s="1" customFormat="1" ht="25.5" customHeight="1" x14ac:dyDescent="0.2">
      <c r="C454" s="1535" t="str">
        <f>IF($Q$2=2,"Plus: Remboursements (Jrnl des revenus)","Plus: Reimbursements (Revenue Jrnl)")</f>
        <v>Plus: Reimbursements (Revenue Jrnl)</v>
      </c>
      <c r="D454" s="1535"/>
      <c r="E454" s="1535"/>
      <c r="F454" s="1535"/>
      <c r="G454" s="582">
        <f>'Revenue Jrnl'!G537</f>
        <v>0</v>
      </c>
      <c r="H454" s="586"/>
      <c r="I454" s="1556"/>
      <c r="J454" s="1556"/>
      <c r="K454" s="1556"/>
      <c r="L454" s="1556"/>
      <c r="M454" s="1556"/>
      <c r="N454" s="1556"/>
      <c r="P454" s="80"/>
      <c r="Q454" s="80"/>
      <c r="R454" s="80"/>
      <c r="S454" s="80"/>
      <c r="T454" s="80"/>
      <c r="U454" s="80"/>
      <c r="V454" s="144"/>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c r="AW454" s="80"/>
      <c r="AX454" s="80"/>
      <c r="AY454" s="80"/>
      <c r="AZ454" s="80"/>
      <c r="BA454" s="80"/>
      <c r="BB454" s="80"/>
      <c r="BC454" s="80"/>
      <c r="BD454" s="80"/>
      <c r="BE454" s="80"/>
      <c r="BF454" s="80"/>
      <c r="BG454" s="80"/>
      <c r="BH454" s="80"/>
      <c r="BI454" s="80"/>
      <c r="BJ454" s="80"/>
      <c r="BN454" s="648"/>
      <c r="BO454" s="648"/>
      <c r="BP454" s="648"/>
      <c r="BQ454" s="648"/>
      <c r="BR454" s="648"/>
    </row>
    <row r="455" spans="3:70" s="1" customFormat="1" ht="25.5" customHeight="1" x14ac:dyDescent="0.2">
      <c r="C455" s="1535" t="str">
        <f>IF($Q$2=2," Moins: Dépenses (Jrnl des dépenses)","Less: Expenses (Expense Jrnl)")</f>
        <v>Less: Expenses (Expense Jrnl)</v>
      </c>
      <c r="D455" s="1535"/>
      <c r="E455" s="1535"/>
      <c r="F455" s="1535"/>
      <c r="G455" s="582">
        <f>'Expense Jrnl'!G537</f>
        <v>0</v>
      </c>
      <c r="I455" s="1545" t="str">
        <f>IF($Q$2=2,"Plus: Remb. faits mais pas réconciliés","Plus: Reimb. made but not reconciled")</f>
        <v>Plus: Reimb. made but not reconciled</v>
      </c>
      <c r="J455" s="1545"/>
      <c r="K455" s="1545"/>
      <c r="L455" s="1545"/>
      <c r="M455" s="1545"/>
      <c r="N455" s="600">
        <f>'Revenue Jrnl'!H537</f>
        <v>0</v>
      </c>
      <c r="P455" s="80"/>
      <c r="Q455" s="80"/>
      <c r="R455" s="80"/>
      <c r="S455" s="80"/>
      <c r="T455" s="80"/>
      <c r="U455" s="80"/>
      <c r="V455" s="144"/>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c r="AW455" s="80"/>
      <c r="AX455" s="80"/>
      <c r="AY455" s="80"/>
      <c r="AZ455" s="80"/>
      <c r="BA455" s="80"/>
      <c r="BB455" s="80"/>
      <c r="BC455" s="80"/>
      <c r="BD455" s="80"/>
      <c r="BE455" s="80"/>
      <c r="BF455" s="80"/>
      <c r="BG455" s="80"/>
      <c r="BH455" s="80"/>
      <c r="BI455" s="80"/>
      <c r="BJ455" s="80"/>
    </row>
    <row r="456" spans="3:70" s="1" customFormat="1" ht="25.5" customHeight="1" x14ac:dyDescent="0.2">
      <c r="C456" s="1536"/>
      <c r="D456" s="1536"/>
      <c r="E456" s="1536"/>
      <c r="F456" s="1536"/>
      <c r="H456" s="586"/>
      <c r="I456" s="1556"/>
      <c r="J456" s="1556"/>
      <c r="K456" s="1556"/>
      <c r="L456" s="1556"/>
      <c r="M456" s="1556"/>
      <c r="N456" s="1556"/>
      <c r="P456" s="80"/>
      <c r="Q456" s="80"/>
      <c r="R456" s="80"/>
      <c r="S456" s="80"/>
      <c r="T456" s="80"/>
      <c r="U456" s="80"/>
      <c r="V456" s="144"/>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c r="AW456" s="80"/>
      <c r="AX456" s="80"/>
      <c r="AY456" s="80"/>
      <c r="AZ456" s="80"/>
      <c r="BA456" s="80"/>
      <c r="BB456" s="80"/>
      <c r="BC456" s="80"/>
      <c r="BD456" s="80"/>
      <c r="BE456" s="80"/>
      <c r="BF456" s="80"/>
      <c r="BG456" s="80"/>
      <c r="BH456" s="80"/>
      <c r="BI456" s="80"/>
      <c r="BJ456" s="80"/>
    </row>
    <row r="457" spans="3:70" s="1" customFormat="1" ht="25.5" customHeight="1" x14ac:dyDescent="0.2">
      <c r="C457" s="1546" t="str">
        <f>IF($Q$2=2,"Remboursements de l'année précédente (non traités dans l'année précédente)","Previous Year's Reimbursements (not processed in prev year)")</f>
        <v>Previous Year's Reimbursements (not processed in prev year)</v>
      </c>
      <c r="D457" s="1546"/>
      <c r="E457" s="1546"/>
      <c r="F457" s="1546"/>
      <c r="G457" s="1546"/>
      <c r="I457" s="1547" t="str">
        <f>IF($Q$2=2,"Moins: Dépenses effectuées mais non encore enr.","Less: Expenses made but not processed")</f>
        <v>Less: Expenses made but not processed</v>
      </c>
      <c r="J457" s="1547"/>
      <c r="K457" s="1547"/>
      <c r="L457" s="1547"/>
      <c r="M457" s="1547"/>
      <c r="N457" s="600">
        <f>'Expense Jrnl'!H537</f>
        <v>0</v>
      </c>
      <c r="P457" s="80"/>
      <c r="Q457" s="80"/>
      <c r="R457" s="80"/>
      <c r="S457" s="80"/>
      <c r="T457" s="80"/>
      <c r="U457" s="80"/>
      <c r="V457" s="144"/>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c r="AW457" s="80"/>
      <c r="AX457" s="80"/>
      <c r="AY457" s="80"/>
      <c r="AZ457" s="80"/>
      <c r="BA457" s="80"/>
      <c r="BB457" s="80"/>
      <c r="BC457" s="80"/>
      <c r="BD457" s="80"/>
      <c r="BE457" s="80"/>
      <c r="BF457" s="80"/>
      <c r="BG457" s="80"/>
      <c r="BH457" s="80"/>
      <c r="BI457" s="80"/>
      <c r="BJ457" s="80"/>
    </row>
    <row r="458" spans="3:70" s="1" customFormat="1" ht="25.5" customHeight="1" x14ac:dyDescent="0.2">
      <c r="C458" s="601" t="str">
        <f>IF($Q$2=2,"Chèque #","Cheque #")</f>
        <v>Cheque #</v>
      </c>
      <c r="D458" s="1548" t="str">
        <f>IF($Q$2=2,"Détails","Details")</f>
        <v>Details</v>
      </c>
      <c r="E458" s="1548"/>
      <c r="F458" s="1548"/>
      <c r="G458" s="601" t="str">
        <f>IF($Q$2=2,"Montant","Amount")</f>
        <v>Amount</v>
      </c>
      <c r="I458" s="1556"/>
      <c r="J458" s="1556"/>
      <c r="K458" s="1556"/>
      <c r="L458" s="1556"/>
      <c r="M458" s="1556"/>
      <c r="N458" s="1556"/>
      <c r="P458" s="80"/>
      <c r="Q458" s="80"/>
      <c r="R458" s="80"/>
      <c r="S458" s="80"/>
      <c r="T458" s="80"/>
      <c r="U458" s="80"/>
      <c r="V458" s="144"/>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c r="AW458" s="80"/>
      <c r="AX458" s="80"/>
      <c r="AY458" s="80"/>
      <c r="AZ458" s="80"/>
      <c r="BA458" s="80"/>
      <c r="BB458" s="80"/>
      <c r="BC458" s="80"/>
      <c r="BD458" s="80"/>
      <c r="BE458" s="80"/>
      <c r="BF458" s="80"/>
      <c r="BG458" s="80"/>
      <c r="BH458" s="80"/>
      <c r="BI458" s="80"/>
      <c r="BJ458" s="80"/>
    </row>
    <row r="459" spans="3:70" s="1" customFormat="1" ht="25.5" customHeight="1" x14ac:dyDescent="0.2">
      <c r="C459" s="602" t="str">
        <f>IF('Data Set up'!$J59=$F$452,'Data Set up'!$C59,"")</f>
        <v/>
      </c>
      <c r="D459" s="1565" t="str">
        <f>IF('Data Set up'!$J59=$F$452,'Data Set up'!$D59,"")</f>
        <v/>
      </c>
      <c r="E459" s="1565"/>
      <c r="F459" s="1565"/>
      <c r="G459" s="634" t="str">
        <f>IF('Data Set up'!$J59=$F$452,'Data Set up'!$F59,"")</f>
        <v/>
      </c>
      <c r="I459" s="1547" t="str">
        <f>IF($Q$2=2,"Solde engagé actuel du compte (reconcilié)","Actual Credit balance committed (reconciled)")</f>
        <v>Actual Credit balance committed (reconciled)</v>
      </c>
      <c r="J459" s="1547"/>
      <c r="K459" s="1547"/>
      <c r="L459" s="1547"/>
      <c r="M459" s="1547"/>
      <c r="N459" s="590">
        <f>N453-N455+N457</f>
        <v>0</v>
      </c>
      <c r="P459" s="80"/>
      <c r="Q459" s="80"/>
      <c r="R459" s="80"/>
      <c r="S459" s="80"/>
      <c r="T459" s="80"/>
      <c r="U459" s="80"/>
      <c r="V459" s="144"/>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c r="AW459" s="80"/>
      <c r="AX459" s="80"/>
      <c r="AY459" s="80"/>
      <c r="AZ459" s="80"/>
      <c r="BA459" s="80"/>
      <c r="BB459" s="80"/>
      <c r="BC459" s="80"/>
      <c r="BD459" s="80"/>
      <c r="BE459" s="80"/>
      <c r="BF459" s="80"/>
      <c r="BG459" s="80"/>
      <c r="BH459" s="80"/>
      <c r="BI459" s="80"/>
      <c r="BJ459" s="80"/>
    </row>
    <row r="460" spans="3:70" s="1" customFormat="1" ht="25.5" customHeight="1" x14ac:dyDescent="0.2">
      <c r="C460" s="602" t="str">
        <f>IF('Data Set up'!$J60=$F$452,'Data Set up'!$C60,"")</f>
        <v/>
      </c>
      <c r="D460" s="1565" t="str">
        <f>IF('Data Set up'!$J60=$F$452,'Data Set up'!$D60,"")</f>
        <v/>
      </c>
      <c r="E460" s="1565"/>
      <c r="F460" s="1565"/>
      <c r="G460" s="634" t="str">
        <f>IF('Data Set up'!$J60=$F$452,'Data Set up'!$F60,"")</f>
        <v/>
      </c>
      <c r="P460" s="80"/>
      <c r="Q460" s="80"/>
      <c r="R460" s="80"/>
      <c r="S460" s="80"/>
      <c r="T460" s="80"/>
      <c r="U460" s="80"/>
      <c r="V460" s="144"/>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c r="AW460" s="80"/>
      <c r="AX460" s="80"/>
      <c r="AY460" s="80"/>
      <c r="AZ460" s="80"/>
      <c r="BA460" s="80"/>
      <c r="BB460" s="80"/>
      <c r="BC460" s="80"/>
      <c r="BD460" s="80"/>
      <c r="BE460" s="80"/>
      <c r="BF460" s="80"/>
      <c r="BG460" s="80"/>
      <c r="BH460" s="80"/>
      <c r="BI460" s="80"/>
      <c r="BJ460" s="80"/>
    </row>
    <row r="461" spans="3:70" s="1" customFormat="1" ht="25.5" customHeight="1" x14ac:dyDescent="0.2">
      <c r="C461" s="602" t="str">
        <f>IF('Data Set up'!$J61=$F$452,'Data Set up'!$C61,"")</f>
        <v/>
      </c>
      <c r="D461" s="1565" t="str">
        <f>IF('Data Set up'!$J61=$F$452,'Data Set up'!$D61,"")</f>
        <v/>
      </c>
      <c r="E461" s="1565"/>
      <c r="F461" s="1565"/>
      <c r="G461" s="634" t="str">
        <f>IF('Data Set up'!$J61=$F$452,'Data Set up'!$F61,"")</f>
        <v/>
      </c>
      <c r="I461" s="144"/>
      <c r="J461" s="80"/>
      <c r="K461" s="80"/>
      <c r="L461" s="80"/>
      <c r="M461" s="80"/>
      <c r="N461" s="144"/>
      <c r="P461" s="80"/>
      <c r="Q461" s="80"/>
      <c r="R461" s="80"/>
      <c r="S461" s="80"/>
      <c r="T461" s="80"/>
      <c r="U461" s="80"/>
      <c r="V461" s="144"/>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c r="AW461" s="80"/>
      <c r="AX461" s="80"/>
      <c r="AY461" s="80"/>
      <c r="AZ461" s="80"/>
      <c r="BA461" s="80"/>
      <c r="BB461" s="80"/>
      <c r="BC461" s="80"/>
      <c r="BD461" s="80"/>
      <c r="BE461" s="80"/>
      <c r="BF461" s="80"/>
      <c r="BG461" s="80"/>
      <c r="BH461" s="80"/>
      <c r="BI461" s="80"/>
      <c r="BJ461" s="80"/>
    </row>
    <row r="462" spans="3:70" s="1" customFormat="1" ht="25.5" customHeight="1" x14ac:dyDescent="0.2">
      <c r="C462" s="602" t="str">
        <f>IF('Data Set up'!$J62=$F$452,'Data Set up'!$C62,"")</f>
        <v/>
      </c>
      <c r="D462" s="1565" t="str">
        <f>IF('Data Set up'!$J62=$F$452,'Data Set up'!$D62,"")</f>
        <v/>
      </c>
      <c r="E462" s="1565"/>
      <c r="F462" s="1565"/>
      <c r="G462" s="634" t="str">
        <f>IF('Data Set up'!$J62=$F$452,'Data Set up'!$F62,"")</f>
        <v/>
      </c>
      <c r="I462" s="144"/>
      <c r="J462" s="80"/>
      <c r="K462" s="80"/>
      <c r="L462" s="80"/>
      <c r="M462" s="80"/>
      <c r="N462" s="144"/>
      <c r="P462" s="80"/>
      <c r="Q462" s="80"/>
      <c r="R462" s="80"/>
      <c r="S462" s="80"/>
      <c r="T462" s="80"/>
      <c r="U462" s="80"/>
      <c r="V462" s="144"/>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c r="AW462" s="80"/>
      <c r="AX462" s="80"/>
      <c r="AY462" s="80"/>
      <c r="AZ462" s="80"/>
      <c r="BA462" s="80"/>
      <c r="BB462" s="80"/>
      <c r="BC462" s="80"/>
      <c r="BD462" s="80"/>
      <c r="BE462" s="80"/>
      <c r="BF462" s="80"/>
      <c r="BG462" s="80"/>
      <c r="BH462" s="80"/>
      <c r="BI462" s="80"/>
      <c r="BJ462" s="80"/>
    </row>
    <row r="463" spans="3:70" s="1" customFormat="1" ht="25.5" customHeight="1" x14ac:dyDescent="0.2">
      <c r="C463" s="602" t="str">
        <f>IF('Data Set up'!$J63=$F$452,'Data Set up'!$C63,"")</f>
        <v/>
      </c>
      <c r="D463" s="1565" t="str">
        <f>IF('Data Set up'!$J63=$F$452,'Data Set up'!$D63,"")</f>
        <v/>
      </c>
      <c r="E463" s="1565"/>
      <c r="F463" s="1565"/>
      <c r="G463" s="634" t="str">
        <f>IF('Data Set up'!$J63=$F$452,'Data Set up'!$F63,"")</f>
        <v/>
      </c>
      <c r="I463" s="144"/>
      <c r="J463" s="80"/>
      <c r="K463" s="80"/>
      <c r="L463" s="80"/>
      <c r="M463" s="80"/>
      <c r="N463" s="144"/>
      <c r="P463" s="80"/>
      <c r="Q463" s="80"/>
      <c r="R463" s="80"/>
      <c r="S463" s="80"/>
      <c r="T463" s="80"/>
      <c r="U463" s="80"/>
      <c r="V463" s="144"/>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c r="AW463" s="80"/>
      <c r="AX463" s="80"/>
      <c r="AY463" s="80"/>
      <c r="AZ463" s="80"/>
      <c r="BA463" s="80"/>
      <c r="BB463" s="80"/>
      <c r="BC463" s="80"/>
      <c r="BD463" s="80"/>
      <c r="BE463" s="80"/>
      <c r="BF463" s="80"/>
      <c r="BG463" s="80"/>
      <c r="BH463" s="80"/>
      <c r="BI463" s="80"/>
      <c r="BJ463" s="80"/>
    </row>
    <row r="464" spans="3:70" s="1" customFormat="1" ht="25.5" customHeight="1" x14ac:dyDescent="0.2">
      <c r="C464" s="602" t="str">
        <f>IF('Data Set up'!$J64=$F$452,'Data Set up'!$C64,"")</f>
        <v/>
      </c>
      <c r="D464" s="1565" t="str">
        <f>IF('Data Set up'!$J64=$F$452,'Data Set up'!$D64,"")</f>
        <v/>
      </c>
      <c r="E464" s="1565"/>
      <c r="F464" s="1565"/>
      <c r="G464" s="634" t="str">
        <f>IF('Data Set up'!$J64=$F$452,'Data Set up'!$F64,"")</f>
        <v/>
      </c>
      <c r="I464" s="144"/>
      <c r="J464" s="80"/>
      <c r="K464" s="80"/>
      <c r="L464" s="80"/>
      <c r="M464" s="80"/>
      <c r="N464" s="144"/>
      <c r="P464" s="80"/>
      <c r="Q464" s="80"/>
      <c r="R464" s="80"/>
      <c r="S464" s="80"/>
      <c r="T464" s="80"/>
      <c r="U464" s="80"/>
      <c r="V464" s="144"/>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c r="AW464" s="80"/>
      <c r="AX464" s="80"/>
      <c r="AY464" s="80"/>
      <c r="AZ464" s="80"/>
      <c r="BA464" s="80"/>
      <c r="BB464" s="80"/>
      <c r="BC464" s="80"/>
      <c r="BD464" s="80"/>
      <c r="BE464" s="80"/>
      <c r="BF464" s="80"/>
      <c r="BG464" s="80"/>
      <c r="BH464" s="80"/>
      <c r="BI464" s="80"/>
      <c r="BJ464" s="80"/>
    </row>
    <row r="465" spans="3:62" s="1" customFormat="1" ht="25.5" customHeight="1" x14ac:dyDescent="0.2">
      <c r="C465" s="602" t="str">
        <f>IF('Data Set up'!$J65=$F$452,'Data Set up'!$C65,"")</f>
        <v/>
      </c>
      <c r="D465" s="1565" t="str">
        <f>IF('Data Set up'!$J65=$F$452,'Data Set up'!$D65,"")</f>
        <v/>
      </c>
      <c r="E465" s="1565"/>
      <c r="F465" s="1565"/>
      <c r="G465" s="634" t="str">
        <f>IF('Data Set up'!$J65=$F$452,'Data Set up'!$F65,"")</f>
        <v/>
      </c>
      <c r="I465" s="144"/>
      <c r="J465" s="80"/>
      <c r="K465" s="80"/>
      <c r="L465" s="80"/>
      <c r="M465" s="80"/>
      <c r="N465" s="144"/>
      <c r="P465" s="80"/>
      <c r="Q465" s="80"/>
      <c r="R465" s="80"/>
      <c r="S465" s="80"/>
      <c r="T465" s="80"/>
      <c r="U465" s="80"/>
      <c r="V465" s="144"/>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c r="AW465" s="80"/>
      <c r="AX465" s="80"/>
      <c r="AY465" s="80"/>
      <c r="AZ465" s="80"/>
      <c r="BA465" s="80"/>
      <c r="BB465" s="80"/>
      <c r="BC465" s="80"/>
      <c r="BD465" s="80"/>
      <c r="BE465" s="80"/>
      <c r="BF465" s="80"/>
      <c r="BG465" s="80"/>
      <c r="BH465" s="80"/>
      <c r="BI465" s="80"/>
      <c r="BJ465" s="80"/>
    </row>
    <row r="466" spans="3:62" s="1" customFormat="1" ht="25.5" customHeight="1" x14ac:dyDescent="0.2">
      <c r="C466" s="602" t="str">
        <f>IF('Data Set up'!$J66=$F$452,'Data Set up'!$C66,"")</f>
        <v/>
      </c>
      <c r="D466" s="1565" t="str">
        <f>IF('Data Set up'!$J66=$F$452,'Data Set up'!$D66,"")</f>
        <v/>
      </c>
      <c r="E466" s="1565"/>
      <c r="F466" s="1565"/>
      <c r="G466" s="634" t="str">
        <f>IF('Data Set up'!$J66=$F$452,'Data Set up'!$F66,"")</f>
        <v/>
      </c>
      <c r="I466" s="144"/>
      <c r="J466" s="80"/>
      <c r="K466" s="80"/>
      <c r="L466" s="80"/>
      <c r="M466" s="80"/>
      <c r="N466" s="144"/>
      <c r="P466" s="80"/>
      <c r="Q466" s="80"/>
      <c r="R466" s="80"/>
      <c r="S466" s="80"/>
      <c r="T466" s="80"/>
      <c r="U466" s="80"/>
      <c r="V466" s="144"/>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c r="AW466" s="80"/>
      <c r="AX466" s="80"/>
      <c r="AY466" s="80"/>
      <c r="AZ466" s="80"/>
      <c r="BA466" s="80"/>
      <c r="BB466" s="80"/>
      <c r="BC466" s="80"/>
      <c r="BD466" s="80"/>
      <c r="BE466" s="80"/>
      <c r="BF466" s="80"/>
      <c r="BG466" s="80"/>
      <c r="BH466" s="80"/>
      <c r="BI466" s="80"/>
      <c r="BJ466" s="80"/>
    </row>
    <row r="467" spans="3:62" s="1" customFormat="1" ht="25.5" customHeight="1" x14ac:dyDescent="0.2">
      <c r="C467" s="602" t="str">
        <f>IF('Data Set up'!$J67=$F$452,'Data Set up'!$C67,"")</f>
        <v/>
      </c>
      <c r="D467" s="1565" t="str">
        <f>IF('Data Set up'!$J67=$F$452,'Data Set up'!$D67,"")</f>
        <v/>
      </c>
      <c r="E467" s="1565"/>
      <c r="F467" s="1565"/>
      <c r="G467" s="634" t="str">
        <f>IF('Data Set up'!$J67=$F$452,'Data Set up'!$F67,"")</f>
        <v/>
      </c>
      <c r="I467" s="144"/>
      <c r="J467" s="80"/>
      <c r="K467" s="80"/>
      <c r="L467" s="80"/>
      <c r="M467" s="80"/>
      <c r="N467" s="144"/>
      <c r="P467" s="80"/>
      <c r="Q467" s="80"/>
      <c r="R467" s="80"/>
      <c r="S467" s="80"/>
      <c r="T467" s="80"/>
      <c r="U467" s="80"/>
      <c r="V467" s="144"/>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c r="AW467" s="80"/>
      <c r="AX467" s="80"/>
      <c r="AY467" s="80"/>
      <c r="AZ467" s="80"/>
      <c r="BA467" s="80"/>
      <c r="BB467" s="80"/>
      <c r="BC467" s="80"/>
      <c r="BD467" s="80"/>
      <c r="BE467" s="80"/>
      <c r="BF467" s="80"/>
      <c r="BG467" s="80"/>
      <c r="BH467" s="80"/>
      <c r="BI467" s="80"/>
      <c r="BJ467" s="80"/>
    </row>
    <row r="468" spans="3:62" s="1" customFormat="1" ht="25.5" customHeight="1" x14ac:dyDescent="0.2">
      <c r="C468" s="602" t="str">
        <f>IF('Data Set up'!$J68=$F$452,'Data Set up'!$C68,"")</f>
        <v/>
      </c>
      <c r="D468" s="1565" t="str">
        <f>IF('Data Set up'!$J68=$F$452,'Data Set up'!$D68,"")</f>
        <v/>
      </c>
      <c r="E468" s="1565"/>
      <c r="F468" s="1565"/>
      <c r="G468" s="634" t="str">
        <f>IF('Data Set up'!$J68=$F$452,'Data Set up'!$F68,"")</f>
        <v/>
      </c>
      <c r="I468" s="144"/>
      <c r="J468" s="80"/>
      <c r="K468" s="80"/>
      <c r="L468" s="80"/>
      <c r="M468" s="80"/>
      <c r="N468" s="144"/>
      <c r="P468" s="80"/>
      <c r="Q468" s="80"/>
      <c r="R468" s="80"/>
      <c r="S468" s="80"/>
      <c r="T468" s="80"/>
      <c r="U468" s="80"/>
      <c r="V468" s="144"/>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c r="AW468" s="80"/>
      <c r="AX468" s="80"/>
      <c r="AY468" s="80"/>
      <c r="AZ468" s="80"/>
      <c r="BA468" s="80"/>
      <c r="BB468" s="80"/>
      <c r="BC468" s="80"/>
      <c r="BD468" s="80"/>
      <c r="BE468" s="80"/>
      <c r="BF468" s="80"/>
      <c r="BG468" s="80"/>
      <c r="BH468" s="80"/>
      <c r="BI468" s="80"/>
      <c r="BJ468" s="80"/>
    </row>
    <row r="469" spans="3:62" s="1" customFormat="1" ht="25.5" customHeight="1" x14ac:dyDescent="0.2">
      <c r="C469" s="602" t="str">
        <f>IF('Data Set up'!$J69=$F$452,'Data Set up'!$C69,"")</f>
        <v/>
      </c>
      <c r="D469" s="1565" t="str">
        <f>IF('Data Set up'!$J69=$F$452,'Data Set up'!$D69,"")</f>
        <v/>
      </c>
      <c r="E469" s="1565"/>
      <c r="F469" s="1565"/>
      <c r="G469" s="634" t="str">
        <f>IF('Data Set up'!$J69=$F$452,'Data Set up'!$F69,"")</f>
        <v/>
      </c>
      <c r="I469" s="144"/>
      <c r="J469" s="80"/>
      <c r="K469" s="80"/>
      <c r="L469" s="80"/>
      <c r="M469" s="80"/>
      <c r="N469" s="144"/>
      <c r="P469" s="80"/>
      <c r="Q469" s="80"/>
      <c r="R469" s="80"/>
      <c r="S469" s="80"/>
      <c r="T469" s="80"/>
      <c r="U469" s="80"/>
      <c r="V469" s="144"/>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80"/>
      <c r="BB469" s="80"/>
      <c r="BC469" s="80"/>
      <c r="BD469" s="80"/>
      <c r="BE469" s="80"/>
      <c r="BF469" s="80"/>
      <c r="BG469" s="80"/>
      <c r="BH469" s="80"/>
      <c r="BI469" s="80"/>
      <c r="BJ469" s="80"/>
    </row>
    <row r="470" spans="3:62" s="1" customFormat="1" ht="25.5" customHeight="1" x14ac:dyDescent="0.2">
      <c r="C470" s="602" t="str">
        <f>IF('Data Set up'!$J70=$F$452,'Data Set up'!$C70,"")</f>
        <v/>
      </c>
      <c r="D470" s="1565" t="str">
        <f>IF('Data Set up'!$J70=$F$452,'Data Set up'!$D70,"")</f>
        <v/>
      </c>
      <c r="E470" s="1565"/>
      <c r="F470" s="1565"/>
      <c r="G470" s="634" t="str">
        <f>IF('Data Set up'!$J70=$F$452,'Data Set up'!$F70,"")</f>
        <v/>
      </c>
      <c r="I470" s="144"/>
      <c r="J470" s="80"/>
      <c r="K470" s="80"/>
      <c r="L470" s="80"/>
      <c r="M470" s="80"/>
      <c r="N470" s="144"/>
      <c r="P470" s="80"/>
      <c r="Q470" s="80"/>
      <c r="R470" s="80"/>
      <c r="S470" s="80"/>
      <c r="T470" s="80"/>
      <c r="U470" s="80"/>
      <c r="V470" s="144"/>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c r="AW470" s="80"/>
      <c r="AX470" s="80"/>
      <c r="AY470" s="80"/>
      <c r="AZ470" s="80"/>
      <c r="BA470" s="80"/>
      <c r="BB470" s="80"/>
      <c r="BC470" s="80"/>
      <c r="BD470" s="80"/>
      <c r="BE470" s="80"/>
      <c r="BF470" s="80"/>
      <c r="BG470" s="80"/>
      <c r="BH470" s="80"/>
      <c r="BI470" s="80"/>
      <c r="BJ470" s="80"/>
    </row>
    <row r="471" spans="3:62" s="1" customFormat="1" ht="25.5" customHeight="1" x14ac:dyDescent="0.2">
      <c r="C471" s="602" t="str">
        <f>IF('Data Set up'!$J71=$F$452,'Data Set up'!$C71,"")</f>
        <v/>
      </c>
      <c r="D471" s="1565" t="str">
        <f>IF('Data Set up'!$J71=$F$452,'Data Set up'!$D71,"")</f>
        <v/>
      </c>
      <c r="E471" s="1565"/>
      <c r="F471" s="1565"/>
      <c r="G471" s="634" t="str">
        <f>IF('Data Set up'!$J71=$F$452,'Data Set up'!$F71,"")</f>
        <v/>
      </c>
      <c r="I471" s="143"/>
      <c r="J471" s="80"/>
      <c r="K471" s="80"/>
      <c r="L471" s="80"/>
      <c r="M471" s="80"/>
      <c r="N471" s="208"/>
      <c r="P471" s="80"/>
      <c r="Q471" s="80"/>
      <c r="R471" s="80"/>
      <c r="S471" s="80"/>
      <c r="T471" s="80"/>
      <c r="U471" s="80"/>
      <c r="V471" s="144"/>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c r="AW471" s="80"/>
      <c r="AX471" s="80"/>
      <c r="AY471" s="80"/>
      <c r="AZ471" s="80"/>
      <c r="BA471" s="80"/>
      <c r="BB471" s="80"/>
      <c r="BC471" s="80"/>
      <c r="BD471" s="80"/>
      <c r="BE471" s="80"/>
      <c r="BF471" s="80"/>
      <c r="BG471" s="80"/>
      <c r="BH471" s="80"/>
      <c r="BI471" s="80"/>
      <c r="BJ471" s="80"/>
    </row>
    <row r="472" spans="3:62" s="1" customFormat="1" ht="25.5" customHeight="1" x14ac:dyDescent="0.2">
      <c r="C472" s="1546" t="str">
        <f>IF($Q$2=2,"Dépenses de l'année précédente (non traités dans l'année précédente)","Previous Year's Expenses (not processed in prev year)")</f>
        <v>Previous Year's Expenses (not processed in prev year)</v>
      </c>
      <c r="D472" s="1546"/>
      <c r="E472" s="1546"/>
      <c r="F472" s="1546"/>
      <c r="G472" s="1546"/>
      <c r="I472" s="604"/>
      <c r="J472" s="605"/>
      <c r="K472" s="605"/>
      <c r="L472" s="605"/>
      <c r="M472" s="605"/>
      <c r="N472" s="208"/>
      <c r="P472" s="80"/>
      <c r="Q472" s="80"/>
      <c r="R472" s="80"/>
      <c r="S472" s="80"/>
      <c r="T472" s="80"/>
      <c r="U472" s="80"/>
      <c r="V472" s="144"/>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c r="AW472" s="80"/>
      <c r="AX472" s="80"/>
      <c r="AY472" s="80"/>
      <c r="AZ472" s="80"/>
      <c r="BA472" s="80"/>
      <c r="BB472" s="80"/>
      <c r="BC472" s="80"/>
      <c r="BD472" s="80"/>
      <c r="BE472" s="80"/>
      <c r="BF472" s="80"/>
      <c r="BG472" s="80"/>
      <c r="BH472" s="80"/>
      <c r="BI472" s="80"/>
      <c r="BJ472" s="80"/>
    </row>
    <row r="473" spans="3:62" s="1" customFormat="1" ht="25.5" customHeight="1" x14ac:dyDescent="0.2">
      <c r="C473" s="606" t="str">
        <f>IF($Q$2=2,"Transactions #","Transactions #")</f>
        <v>Transactions #</v>
      </c>
      <c r="D473" s="1548" t="str">
        <f>IF($Q$2=2,"À l'ordre de","Payable to")</f>
        <v>Payable to</v>
      </c>
      <c r="E473" s="1548"/>
      <c r="F473" s="1548"/>
      <c r="G473" s="607" t="str">
        <f>IF($Q$2=2,"Montant","Amount")</f>
        <v>Amount</v>
      </c>
      <c r="H473" s="586"/>
      <c r="I473" s="608"/>
      <c r="J473" s="605"/>
      <c r="K473" s="605"/>
      <c r="L473" s="605"/>
      <c r="M473" s="605"/>
      <c r="N473" s="208"/>
      <c r="P473" s="80"/>
      <c r="Q473" s="80"/>
      <c r="R473" s="80"/>
      <c r="S473" s="80"/>
      <c r="T473" s="80"/>
      <c r="U473" s="80"/>
      <c r="V473" s="144"/>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c r="AW473" s="80"/>
      <c r="AX473" s="80"/>
      <c r="AY473" s="80"/>
      <c r="AZ473" s="80"/>
      <c r="BA473" s="80"/>
      <c r="BB473" s="80"/>
      <c r="BC473" s="80"/>
      <c r="BD473" s="80"/>
      <c r="BE473" s="80"/>
      <c r="BF473" s="80"/>
      <c r="BG473" s="80"/>
      <c r="BH473" s="80"/>
      <c r="BI473" s="80"/>
      <c r="BJ473" s="80"/>
    </row>
    <row r="474" spans="3:62" s="1" customFormat="1" ht="25.5" customHeight="1" x14ac:dyDescent="0.2">
      <c r="C474" s="602" t="str">
        <f>IF('Data Set up'!$J76=$F$452,'Data Set up'!$C76,"")</f>
        <v/>
      </c>
      <c r="D474" s="1565" t="str">
        <f>IF('Data Set up'!$J76=$F$452,'Data Set up'!$D76,"")</f>
        <v/>
      </c>
      <c r="E474" s="1565"/>
      <c r="F474" s="1565"/>
      <c r="G474" s="634" t="str">
        <f>IF('Data Set up'!$J76=$F$452,'Data Set up'!$F76,"")</f>
        <v/>
      </c>
      <c r="H474" s="586"/>
      <c r="I474" s="205"/>
      <c r="N474" s="208"/>
      <c r="P474" s="80"/>
      <c r="Q474" s="80"/>
      <c r="R474" s="80"/>
      <c r="S474" s="80"/>
      <c r="T474" s="80"/>
      <c r="U474" s="80"/>
      <c r="V474" s="144"/>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c r="AW474" s="80"/>
      <c r="AX474" s="80"/>
      <c r="AY474" s="80"/>
      <c r="AZ474" s="80"/>
      <c r="BA474" s="80"/>
      <c r="BB474" s="80"/>
      <c r="BC474" s="80"/>
      <c r="BD474" s="80"/>
      <c r="BE474" s="80"/>
      <c r="BF474" s="80"/>
      <c r="BG474" s="80"/>
      <c r="BH474" s="80"/>
      <c r="BI474" s="80"/>
      <c r="BJ474" s="80"/>
    </row>
    <row r="475" spans="3:62" s="1" customFormat="1" ht="25.5" customHeight="1" x14ac:dyDescent="0.2">
      <c r="C475" s="602" t="str">
        <f>IF('Data Set up'!$J77=$F$452,'Data Set up'!$C77,"")</f>
        <v/>
      </c>
      <c r="D475" s="1565" t="str">
        <f>IF('Data Set up'!$J77=$F$452,'Data Set up'!$D77,"")</f>
        <v/>
      </c>
      <c r="E475" s="1565"/>
      <c r="F475" s="1565"/>
      <c r="G475" s="634" t="str">
        <f>IF('Data Set up'!$J77=$F$452,'Data Set up'!$F77,"")</f>
        <v/>
      </c>
      <c r="I475" s="355"/>
      <c r="J475" s="355"/>
      <c r="K475" s="355"/>
      <c r="L475" s="355"/>
      <c r="M475" s="355"/>
      <c r="N475" s="355"/>
      <c r="P475" s="80"/>
      <c r="Q475" s="80"/>
      <c r="R475" s="80"/>
      <c r="S475" s="80"/>
      <c r="T475" s="80"/>
      <c r="U475" s="80"/>
      <c r="V475" s="144"/>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c r="AW475" s="80"/>
      <c r="AX475" s="80"/>
      <c r="AY475" s="80"/>
      <c r="AZ475" s="80"/>
      <c r="BA475" s="80"/>
      <c r="BB475" s="80"/>
      <c r="BC475" s="80"/>
      <c r="BD475" s="80"/>
      <c r="BE475" s="80"/>
      <c r="BF475" s="80"/>
      <c r="BG475" s="80"/>
      <c r="BH475" s="80"/>
      <c r="BI475" s="80"/>
      <c r="BJ475" s="80"/>
    </row>
    <row r="476" spans="3:62" s="1" customFormat="1" ht="25.5" customHeight="1" x14ac:dyDescent="0.2">
      <c r="C476" s="602" t="str">
        <f>IF('Data Set up'!$J78=$F$452,'Data Set up'!$C78,"")</f>
        <v/>
      </c>
      <c r="D476" s="1565" t="str">
        <f>IF('Data Set up'!$J78=$F$452,'Data Set up'!$D78,"")</f>
        <v/>
      </c>
      <c r="E476" s="1565"/>
      <c r="F476" s="1565"/>
      <c r="G476" s="634" t="str">
        <f>IF('Data Set up'!$J78=$F$452,'Data Set up'!$F78,"")</f>
        <v/>
      </c>
      <c r="I476" s="609"/>
      <c r="J476" s="80"/>
      <c r="K476" s="80"/>
      <c r="L476" s="80"/>
      <c r="M476" s="80"/>
      <c r="N476" s="144"/>
      <c r="P476" s="80"/>
      <c r="Q476" s="80"/>
      <c r="R476" s="80"/>
      <c r="S476" s="80"/>
      <c r="T476" s="80"/>
      <c r="U476" s="80"/>
      <c r="V476" s="144"/>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c r="AW476" s="80"/>
      <c r="AX476" s="80"/>
      <c r="AY476" s="80"/>
      <c r="AZ476" s="80"/>
      <c r="BA476" s="80"/>
      <c r="BB476" s="80"/>
      <c r="BC476" s="80"/>
      <c r="BD476" s="80"/>
      <c r="BE476" s="80"/>
      <c r="BF476" s="80"/>
      <c r="BG476" s="80"/>
      <c r="BH476" s="80"/>
      <c r="BI476" s="80"/>
      <c r="BJ476" s="80"/>
    </row>
    <row r="477" spans="3:62" s="1" customFormat="1" ht="25.5" customHeight="1" x14ac:dyDescent="0.2">
      <c r="C477" s="602" t="str">
        <f>IF('Data Set up'!$J79=$F$452,'Data Set up'!$C79,"")</f>
        <v/>
      </c>
      <c r="D477" s="1565" t="str">
        <f>IF('Data Set up'!$J79=$F$452,'Data Set up'!$D79,"")</f>
        <v/>
      </c>
      <c r="E477" s="1565"/>
      <c r="F477" s="1565"/>
      <c r="G477" s="634" t="str">
        <f>IF('Data Set up'!$J79=$F$452,'Data Set up'!$F79,"")</f>
        <v/>
      </c>
      <c r="I477" s="610"/>
      <c r="J477" s="80"/>
      <c r="K477" s="80"/>
      <c r="L477" s="80"/>
      <c r="M477" s="80"/>
      <c r="N477" s="589"/>
      <c r="P477" s="80"/>
      <c r="Q477" s="80"/>
      <c r="R477" s="80"/>
      <c r="S477" s="80"/>
      <c r="T477" s="80"/>
      <c r="U477" s="80"/>
      <c r="V477" s="144"/>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c r="AW477" s="80"/>
      <c r="AX477" s="80"/>
      <c r="AY477" s="80"/>
      <c r="AZ477" s="80"/>
      <c r="BA477" s="80"/>
      <c r="BB477" s="80"/>
      <c r="BC477" s="80"/>
      <c r="BD477" s="80"/>
      <c r="BE477" s="80"/>
      <c r="BF477" s="80"/>
      <c r="BG477" s="80"/>
      <c r="BH477" s="80"/>
      <c r="BI477" s="80"/>
      <c r="BJ477" s="80"/>
    </row>
    <row r="478" spans="3:62" s="1" customFormat="1" ht="25.5" customHeight="1" x14ac:dyDescent="0.2">
      <c r="C478" s="602" t="str">
        <f>IF('Data Set up'!$J80=$F$452,'Data Set up'!$C80,"")</f>
        <v/>
      </c>
      <c r="D478" s="1565" t="str">
        <f>IF('Data Set up'!$J80=$F$452,'Data Set up'!$D80,"")</f>
        <v/>
      </c>
      <c r="E478" s="1565"/>
      <c r="F478" s="1565"/>
      <c r="G478" s="634" t="str">
        <f>IF('Data Set up'!$J80=$F$452,'Data Set up'!$F80,"")</f>
        <v/>
      </c>
      <c r="I478" s="610"/>
      <c r="J478" s="80"/>
      <c r="K478" s="80"/>
      <c r="L478" s="80"/>
      <c r="M478" s="80"/>
      <c r="N478" s="589"/>
      <c r="P478" s="80"/>
      <c r="Q478" s="80"/>
      <c r="R478" s="80"/>
      <c r="S478" s="80"/>
      <c r="T478" s="80"/>
      <c r="U478" s="80"/>
      <c r="V478" s="144"/>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c r="AW478" s="80"/>
      <c r="AX478" s="80"/>
      <c r="AY478" s="80"/>
      <c r="AZ478" s="80"/>
      <c r="BA478" s="80"/>
      <c r="BB478" s="80"/>
      <c r="BC478" s="80"/>
      <c r="BD478" s="80"/>
      <c r="BE478" s="80"/>
      <c r="BF478" s="80"/>
      <c r="BG478" s="80"/>
      <c r="BH478" s="80"/>
      <c r="BI478" s="80"/>
      <c r="BJ478" s="80"/>
    </row>
    <row r="479" spans="3:62" s="1" customFormat="1" ht="25.5" customHeight="1" x14ac:dyDescent="0.2">
      <c r="C479" s="602" t="str">
        <f>IF('Data Set up'!$J81=$F$452,'Data Set up'!$C81,"")</f>
        <v/>
      </c>
      <c r="D479" s="1565" t="str">
        <f>IF('Data Set up'!$J81=$F$452,'Data Set up'!$D81,"")</f>
        <v/>
      </c>
      <c r="E479" s="1565"/>
      <c r="F479" s="1565"/>
      <c r="G479" s="634" t="str">
        <f>IF('Data Set up'!$J81=$F$452,'Data Set up'!$F81,"")</f>
        <v/>
      </c>
      <c r="I479" s="610"/>
      <c r="J479" s="80"/>
      <c r="K479" s="80"/>
      <c r="L479" s="80"/>
      <c r="M479" s="80"/>
      <c r="N479" s="589"/>
      <c r="P479" s="80"/>
      <c r="Q479" s="80"/>
      <c r="R479" s="80"/>
      <c r="S479" s="80"/>
      <c r="T479" s="80"/>
      <c r="U479" s="80"/>
      <c r="V479" s="144"/>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c r="AW479" s="80"/>
      <c r="AX479" s="80"/>
      <c r="AY479" s="80"/>
      <c r="AZ479" s="80"/>
      <c r="BA479" s="80"/>
      <c r="BB479" s="80"/>
      <c r="BC479" s="80"/>
      <c r="BD479" s="80"/>
      <c r="BE479" s="80"/>
      <c r="BF479" s="80"/>
      <c r="BG479" s="80"/>
      <c r="BH479" s="80"/>
      <c r="BI479" s="80"/>
      <c r="BJ479" s="80"/>
    </row>
    <row r="480" spans="3:62" s="1" customFormat="1" ht="25.5" customHeight="1" x14ac:dyDescent="0.2">
      <c r="C480" s="602" t="str">
        <f>IF('Data Set up'!$J82=$F$452,'Data Set up'!$C82,"")</f>
        <v/>
      </c>
      <c r="D480" s="1565" t="str">
        <f>IF('Data Set up'!$J82=$F$452,'Data Set up'!$D82,"")</f>
        <v/>
      </c>
      <c r="E480" s="1565"/>
      <c r="F480" s="1565"/>
      <c r="G480" s="634" t="str">
        <f>IF('Data Set up'!$J82=$F$452,'Data Set up'!$F82,"")</f>
        <v/>
      </c>
      <c r="I480" s="610"/>
      <c r="J480" s="80"/>
      <c r="K480" s="80"/>
      <c r="L480" s="80"/>
      <c r="M480" s="80"/>
      <c r="N480" s="589"/>
      <c r="P480" s="80"/>
      <c r="Q480" s="80"/>
      <c r="R480" s="80"/>
      <c r="S480" s="80"/>
      <c r="T480" s="80"/>
      <c r="U480" s="80"/>
      <c r="V480" s="144"/>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c r="AW480" s="80"/>
      <c r="AX480" s="80"/>
      <c r="AY480" s="80"/>
      <c r="AZ480" s="80"/>
      <c r="BA480" s="80"/>
      <c r="BB480" s="80"/>
      <c r="BC480" s="80"/>
      <c r="BD480" s="80"/>
      <c r="BE480" s="80"/>
      <c r="BF480" s="80"/>
      <c r="BG480" s="80"/>
      <c r="BH480" s="80"/>
      <c r="BI480" s="80"/>
      <c r="BJ480" s="80"/>
    </row>
    <row r="481" spans="3:65" s="1" customFormat="1" ht="25.5" customHeight="1" x14ac:dyDescent="0.2">
      <c r="C481" s="602" t="str">
        <f>IF('Data Set up'!$J83=$F$452,'Data Set up'!$C83,"")</f>
        <v/>
      </c>
      <c r="D481" s="1565" t="str">
        <f>IF('Data Set up'!$J83=$F$452,'Data Set up'!$D83,"")</f>
        <v/>
      </c>
      <c r="E481" s="1565"/>
      <c r="F481" s="1565"/>
      <c r="G481" s="634" t="str">
        <f>IF('Data Set up'!$J83=$F$452,'Data Set up'!$F83,"")</f>
        <v/>
      </c>
      <c r="I481" s="611"/>
      <c r="J481" s="649"/>
      <c r="K481" s="649"/>
      <c r="L481" s="649"/>
      <c r="M481" s="649"/>
      <c r="N481" s="589"/>
      <c r="P481" s="80"/>
      <c r="Q481" s="80"/>
      <c r="R481" s="80"/>
      <c r="S481" s="80"/>
      <c r="T481" s="80"/>
      <c r="U481" s="80"/>
      <c r="V481" s="144"/>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c r="AW481" s="80"/>
      <c r="AX481" s="80"/>
      <c r="AY481" s="80"/>
      <c r="AZ481" s="80"/>
      <c r="BA481" s="80"/>
      <c r="BB481" s="80"/>
      <c r="BC481" s="80"/>
      <c r="BD481" s="80"/>
      <c r="BE481" s="80"/>
      <c r="BF481" s="80"/>
      <c r="BG481" s="80"/>
      <c r="BH481" s="80"/>
      <c r="BI481" s="80"/>
      <c r="BJ481" s="80"/>
    </row>
    <row r="482" spans="3:65" s="1" customFormat="1" ht="25.5" customHeight="1" x14ac:dyDescent="0.2">
      <c r="C482" s="602" t="str">
        <f>IF('Data Set up'!$J84=$F$452,'Data Set up'!$C84,"")</f>
        <v/>
      </c>
      <c r="D482" s="1565" t="str">
        <f>IF('Data Set up'!$J84=$F$452,'Data Set up'!$D84,"")</f>
        <v/>
      </c>
      <c r="E482" s="1565"/>
      <c r="F482" s="1565"/>
      <c r="G482" s="634" t="str">
        <f>IF('Data Set up'!$J84=$F$452,'Data Set up'!$F84,"")</f>
        <v/>
      </c>
      <c r="I482" s="612"/>
      <c r="J482" s="649"/>
      <c r="K482" s="649"/>
      <c r="L482" s="649"/>
      <c r="M482" s="649"/>
      <c r="N482" s="589"/>
      <c r="P482" s="80"/>
      <c r="Q482" s="80"/>
      <c r="R482" s="80"/>
      <c r="S482" s="80"/>
      <c r="T482" s="80"/>
      <c r="U482" s="80"/>
      <c r="V482" s="144"/>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c r="AW482" s="80"/>
      <c r="AX482" s="80"/>
      <c r="AY482" s="80"/>
      <c r="AZ482" s="80"/>
      <c r="BA482" s="80"/>
      <c r="BB482" s="80"/>
      <c r="BC482" s="80"/>
      <c r="BD482" s="80"/>
      <c r="BE482" s="80"/>
      <c r="BF482" s="80"/>
      <c r="BG482" s="80"/>
      <c r="BH482" s="80"/>
      <c r="BI482" s="80"/>
      <c r="BJ482" s="80"/>
    </row>
    <row r="483" spans="3:65" s="1" customFormat="1" ht="25.5" customHeight="1" x14ac:dyDescent="0.2">
      <c r="C483" s="602" t="str">
        <f>IF('Data Set up'!$J85=$F$452,'Data Set up'!$C85,"")</f>
        <v/>
      </c>
      <c r="D483" s="1565" t="str">
        <f>IF('Data Set up'!$J85=$F$452,'Data Set up'!$D85,"")</f>
        <v/>
      </c>
      <c r="E483" s="1565"/>
      <c r="F483" s="1565"/>
      <c r="G483" s="634" t="str">
        <f>IF('Data Set up'!$J85=$F$452,'Data Set up'!$F85,"")</f>
        <v/>
      </c>
      <c r="I483" s="611"/>
      <c r="J483" s="649"/>
      <c r="K483" s="649"/>
      <c r="L483" s="649"/>
      <c r="M483" s="649"/>
      <c r="N483" s="589"/>
      <c r="P483" s="80"/>
      <c r="Q483" s="80"/>
      <c r="R483" s="80"/>
      <c r="S483" s="80"/>
      <c r="T483" s="80"/>
      <c r="U483" s="80"/>
      <c r="V483" s="144"/>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c r="BE483" s="80"/>
      <c r="BF483" s="80"/>
      <c r="BG483" s="80"/>
      <c r="BH483" s="80"/>
      <c r="BI483" s="80"/>
      <c r="BJ483" s="80"/>
    </row>
    <row r="484" spans="3:65" s="1" customFormat="1" ht="25.5" customHeight="1" x14ac:dyDescent="0.2">
      <c r="C484" s="602" t="str">
        <f>IF('Data Set up'!$J86=$F$452,'Data Set up'!$C86,"")</f>
        <v/>
      </c>
      <c r="D484" s="1565" t="str">
        <f>IF('Data Set up'!$J86=$F$452,'Data Set up'!$D86,"")</f>
        <v/>
      </c>
      <c r="E484" s="1565"/>
      <c r="F484" s="1565"/>
      <c r="G484" s="634" t="str">
        <f>IF('Data Set up'!$J86=$F$452,'Data Set up'!$F86,"")</f>
        <v/>
      </c>
      <c r="I484" s="611"/>
      <c r="J484" s="650"/>
      <c r="K484" s="650"/>
      <c r="L484" s="650"/>
      <c r="M484" s="650"/>
      <c r="N484" s="589"/>
      <c r="P484" s="80"/>
      <c r="Q484" s="80"/>
      <c r="R484" s="80"/>
      <c r="S484" s="80"/>
      <c r="T484" s="80"/>
      <c r="U484" s="80"/>
      <c r="V484" s="144"/>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c r="AW484" s="80"/>
      <c r="AX484" s="80"/>
      <c r="AY484" s="80"/>
      <c r="AZ484" s="80"/>
      <c r="BA484" s="80"/>
      <c r="BB484" s="80"/>
      <c r="BC484" s="80"/>
      <c r="BD484" s="80"/>
      <c r="BE484" s="80"/>
      <c r="BF484" s="80"/>
      <c r="BG484" s="80"/>
      <c r="BH484" s="80"/>
      <c r="BI484" s="80"/>
      <c r="BJ484" s="80"/>
    </row>
    <row r="485" spans="3:65" s="1" customFormat="1" ht="25.5" customHeight="1" x14ac:dyDescent="0.2">
      <c r="C485" s="602" t="str">
        <f>IF('Data Set up'!$J87=$F$452,'Data Set up'!$C87,"")</f>
        <v/>
      </c>
      <c r="D485" s="1565" t="str">
        <f>IF('Data Set up'!$J87=$F$452,'Data Set up'!$D87,"")</f>
        <v/>
      </c>
      <c r="E485" s="1565"/>
      <c r="F485" s="1565"/>
      <c r="G485" s="634" t="str">
        <f>IF('Data Set up'!$J87=$F$452,'Data Set up'!$F87,"")</f>
        <v/>
      </c>
      <c r="I485" s="143"/>
      <c r="J485" s="80"/>
      <c r="K485" s="80"/>
      <c r="L485" s="80"/>
      <c r="M485" s="80"/>
      <c r="N485" s="589"/>
      <c r="P485" s="80"/>
      <c r="Q485" s="80"/>
      <c r="R485" s="80"/>
      <c r="S485" s="80"/>
      <c r="T485" s="80"/>
      <c r="U485" s="80"/>
      <c r="V485" s="144"/>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0"/>
      <c r="BH485" s="80"/>
      <c r="BI485" s="80"/>
      <c r="BJ485" s="80"/>
    </row>
    <row r="486" spans="3:65" s="1" customFormat="1" ht="25.5" customHeight="1" x14ac:dyDescent="0.2">
      <c r="C486" s="602" t="str">
        <f>IF('Data Set up'!$J88=$F$452,'Data Set up'!$C88,"")</f>
        <v/>
      </c>
      <c r="D486" s="1565" t="str">
        <f>IF('Data Set up'!$J88=$F$452,'Data Set up'!$D88,"")</f>
        <v/>
      </c>
      <c r="E486" s="1565"/>
      <c r="F486" s="1565"/>
      <c r="G486" s="634" t="str">
        <f>IF('Data Set up'!$J88=$F$452,'Data Set up'!$F88,"")</f>
        <v/>
      </c>
      <c r="I486" s="143"/>
      <c r="J486" s="80"/>
      <c r="K486" s="80"/>
      <c r="L486" s="80"/>
      <c r="M486" s="80"/>
      <c r="N486" s="589"/>
      <c r="P486" s="80"/>
      <c r="Q486" s="80"/>
      <c r="R486" s="80"/>
      <c r="S486" s="80"/>
      <c r="T486" s="80"/>
      <c r="U486" s="80"/>
      <c r="V486" s="144"/>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0"/>
      <c r="BH486" s="80"/>
      <c r="BI486" s="80"/>
      <c r="BJ486" s="80"/>
    </row>
    <row r="487" spans="3:65" s="1" customFormat="1" ht="25.5" customHeight="1" x14ac:dyDescent="0.2">
      <c r="C487" s="1554" t="str">
        <f>IF($Q$2=2,"Montant non-comptabilisé de l'année précédente","Previous Year's non-accounted Amount")</f>
        <v>Previous Year's non-accounted Amount</v>
      </c>
      <c r="D487" s="1554"/>
      <c r="E487" s="1554"/>
      <c r="F487" s="1554"/>
      <c r="G487" s="582">
        <f>SUM(G459:G471)-SUM(G474:G486)</f>
        <v>0</v>
      </c>
      <c r="I487" s="330"/>
      <c r="J487" s="80"/>
      <c r="K487" s="80"/>
      <c r="L487" s="80"/>
      <c r="M487" s="80"/>
      <c r="N487" s="589"/>
      <c r="P487" s="80"/>
      <c r="Q487" s="80"/>
      <c r="R487" s="80"/>
      <c r="S487" s="80"/>
      <c r="T487" s="80"/>
      <c r="U487" s="80"/>
      <c r="V487" s="144"/>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c r="AW487" s="80"/>
      <c r="AX487" s="80"/>
      <c r="AY487" s="80"/>
      <c r="AZ487" s="80"/>
      <c r="BA487" s="80"/>
      <c r="BB487" s="80"/>
      <c r="BC487" s="80"/>
      <c r="BD487" s="80"/>
      <c r="BE487" s="80"/>
      <c r="BF487" s="80"/>
      <c r="BG487" s="80"/>
      <c r="BH487" s="80"/>
      <c r="BI487" s="80"/>
      <c r="BJ487" s="80"/>
    </row>
    <row r="488" spans="3:65" s="1" customFormat="1" ht="25.5" customHeight="1" x14ac:dyDescent="0.2">
      <c r="C488" s="1537" t="str">
        <f>IF($Q$2=2,F452&amp;" Fonds disponible du compte",F452&amp;" Account Available Funds")</f>
        <v>2040 Account Available Funds</v>
      </c>
      <c r="D488" s="1537"/>
      <c r="E488" s="1537"/>
      <c r="F488" s="1537"/>
      <c r="G488" s="588"/>
      <c r="I488" s="143"/>
      <c r="J488" s="80"/>
      <c r="K488" s="80"/>
      <c r="L488" s="80"/>
      <c r="M488" s="80"/>
      <c r="N488" s="589"/>
      <c r="P488" s="80"/>
      <c r="Q488" s="80"/>
      <c r="R488" s="80"/>
      <c r="S488" s="80"/>
      <c r="T488" s="80"/>
      <c r="U488" s="80"/>
      <c r="V488" s="144"/>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c r="AW488" s="80"/>
      <c r="AX488" s="80"/>
      <c r="AY488" s="80"/>
      <c r="AZ488" s="80"/>
      <c r="BA488" s="80"/>
      <c r="BB488" s="80"/>
      <c r="BC488" s="80"/>
      <c r="BD488" s="80"/>
      <c r="BE488" s="80"/>
      <c r="BF488" s="80"/>
      <c r="BG488" s="80"/>
      <c r="BH488" s="80"/>
      <c r="BI488" s="80"/>
      <c r="BJ488" s="80"/>
    </row>
    <row r="489" spans="3:65" s="1" customFormat="1" ht="25.5" customHeight="1" x14ac:dyDescent="0.2">
      <c r="C489" s="1558" t="str">
        <f>IF($Q$2=2,"Solde reporté à la ligne "&amp;F452&amp;" du Bilan - page 6","This balance fwrd'd to line "&amp;F452&amp;" of Balance Sheet -  page 6")</f>
        <v>This balance fwrd'd to line 2040 of Balance Sheet -  page 6</v>
      </c>
      <c r="D489" s="1558"/>
      <c r="E489" s="1558"/>
      <c r="F489" s="1558"/>
      <c r="G489" s="590">
        <f>IF(AND(SUM(G453-G454+G455-G487)&lt;0.001,SUM(G453-G454+G455-G487)&gt;-0.001),0,SUM(G453-G454+G455-G487))</f>
        <v>0</v>
      </c>
      <c r="H489" s="398"/>
      <c r="J489" s="355"/>
      <c r="K489" s="355"/>
      <c r="L489" s="355"/>
      <c r="M489" s="591"/>
      <c r="N489" s="590">
        <f>N459</f>
        <v>0</v>
      </c>
      <c r="P489" s="80"/>
      <c r="Q489" s="80"/>
      <c r="R489" s="80"/>
      <c r="S489" s="80"/>
      <c r="T489" s="80"/>
      <c r="U489" s="80"/>
      <c r="V489" s="144"/>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c r="AW489" s="80"/>
      <c r="AX489" s="80"/>
      <c r="AY489" s="80"/>
      <c r="AZ489" s="80"/>
      <c r="BA489" s="80"/>
      <c r="BB489" s="80"/>
      <c r="BC489" s="80"/>
      <c r="BD489" s="80"/>
      <c r="BE489" s="80"/>
      <c r="BF489" s="80"/>
      <c r="BG489" s="80"/>
      <c r="BH489" s="80"/>
      <c r="BI489" s="80"/>
      <c r="BJ489" s="80"/>
    </row>
    <row r="490" spans="3:65" s="1" customFormat="1" ht="9.75" customHeight="1" x14ac:dyDescent="0.2">
      <c r="F490" s="592"/>
      <c r="J490" s="586"/>
      <c r="M490" s="593"/>
      <c r="P490" s="80"/>
      <c r="Q490" s="80"/>
      <c r="R490" s="80"/>
      <c r="S490" s="80"/>
      <c r="T490" s="80"/>
      <c r="U490" s="80"/>
      <c r="V490" s="144"/>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c r="AW490" s="80"/>
      <c r="AX490" s="80"/>
      <c r="AY490" s="80"/>
      <c r="AZ490" s="80"/>
      <c r="BA490" s="80"/>
      <c r="BB490" s="80"/>
      <c r="BC490" s="80"/>
      <c r="BD490" s="80"/>
      <c r="BE490" s="80"/>
      <c r="BF490" s="80"/>
      <c r="BG490" s="80"/>
      <c r="BH490" s="80"/>
      <c r="BI490" s="80"/>
      <c r="BJ490" s="80"/>
    </row>
    <row r="491" spans="3:65" s="1" customFormat="1" ht="9.75" customHeight="1" x14ac:dyDescent="0.2">
      <c r="C491" s="355"/>
      <c r="D491" s="355"/>
      <c r="E491" s="355"/>
      <c r="F491" s="355"/>
      <c r="G491" s="355"/>
      <c r="H491" s="355"/>
      <c r="I491" s="355"/>
      <c r="J491" s="355"/>
      <c r="K491" s="355"/>
      <c r="L491" s="355"/>
      <c r="M491" s="355"/>
      <c r="P491" s="80"/>
      <c r="Q491" s="80"/>
      <c r="R491" s="80"/>
      <c r="S491" s="80"/>
      <c r="T491" s="80"/>
      <c r="U491" s="80"/>
      <c r="V491" s="144"/>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c r="AW491" s="80"/>
      <c r="AX491" s="80"/>
      <c r="AY491" s="80"/>
      <c r="AZ491" s="80"/>
      <c r="BA491" s="80"/>
      <c r="BB491" s="80"/>
      <c r="BC491" s="80"/>
      <c r="BD491" s="80"/>
      <c r="BE491" s="80"/>
      <c r="BF491" s="80"/>
      <c r="BG491" s="80"/>
      <c r="BH491" s="80"/>
      <c r="BI491" s="80"/>
      <c r="BJ491" s="80"/>
    </row>
    <row r="492" spans="3:65" s="1" customFormat="1" ht="44.25" customHeight="1" x14ac:dyDescent="0.2">
      <c r="C492" s="1539"/>
      <c r="D492" s="1539"/>
      <c r="E492" s="1539"/>
      <c r="F492" s="1539"/>
      <c r="G492" s="595">
        <f>IF(AND(G489-N489&lt;0.001,G489-N489&gt;-0.001),0,G489-N489)</f>
        <v>0</v>
      </c>
      <c r="H492" s="1540" t="str">
        <f>IF($Q$2=2,IF(G492=0,$T$7,$T$5),IF(G492=0,$T$8,$T$6))</f>
        <v>Books and Statements balance.</v>
      </c>
      <c r="I492" s="1540"/>
      <c r="J492" s="1540"/>
      <c r="K492" s="1540"/>
      <c r="L492" s="1540"/>
      <c r="M492" s="1540"/>
      <c r="N492" s="1540"/>
      <c r="P492" s="80"/>
      <c r="Q492" s="80"/>
      <c r="R492" s="80"/>
      <c r="S492" s="80"/>
      <c r="T492" s="80"/>
      <c r="U492" s="80"/>
      <c r="V492" s="144"/>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c r="AW492" s="80"/>
      <c r="AX492" s="80"/>
      <c r="AY492" s="80"/>
      <c r="AZ492" s="80"/>
      <c r="BA492" s="80"/>
      <c r="BB492" s="80"/>
      <c r="BC492" s="80"/>
      <c r="BD492" s="80"/>
      <c r="BE492" s="80"/>
      <c r="BF492" s="80"/>
      <c r="BG492" s="80"/>
      <c r="BH492" s="80"/>
      <c r="BI492" s="80"/>
      <c r="BJ492" s="80"/>
    </row>
    <row r="493" spans="3:65" s="1" customFormat="1" ht="33" customHeight="1" x14ac:dyDescent="0.2">
      <c r="C493" s="594"/>
      <c r="D493" s="594"/>
      <c r="E493" s="594"/>
      <c r="F493" s="594"/>
      <c r="G493" s="596"/>
      <c r="H493" s="597"/>
      <c r="I493" s="597"/>
      <c r="J493" s="597"/>
      <c r="K493" s="597"/>
      <c r="L493" s="597"/>
      <c r="M493" s="597"/>
      <c r="N493" s="597"/>
      <c r="P493" s="80"/>
      <c r="Q493" s="80"/>
      <c r="R493" s="80"/>
      <c r="S493" s="80"/>
      <c r="T493" s="80"/>
      <c r="U493" s="80"/>
      <c r="V493" s="144"/>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c r="AW493" s="80"/>
      <c r="AX493" s="80"/>
      <c r="AY493" s="80"/>
      <c r="AZ493" s="80"/>
      <c r="BA493" s="80"/>
      <c r="BB493" s="80"/>
      <c r="BC493" s="80"/>
      <c r="BD493" s="80"/>
      <c r="BE493" s="80"/>
      <c r="BF493" s="80"/>
      <c r="BG493" s="80"/>
      <c r="BH493" s="80"/>
      <c r="BI493" s="80"/>
      <c r="BJ493" s="80"/>
    </row>
    <row r="494" spans="3:65" ht="18.75" customHeight="1" x14ac:dyDescent="0.2">
      <c r="C494" s="1541"/>
      <c r="D494" s="1541"/>
      <c r="E494" s="1541"/>
      <c r="F494" s="1541"/>
      <c r="G494" s="1541"/>
      <c r="H494" s="1541"/>
      <c r="I494" s="1541"/>
      <c r="J494" s="1541"/>
      <c r="K494" s="1541"/>
      <c r="L494" s="1541"/>
      <c r="M494" s="1541"/>
      <c r="N494" s="1541"/>
      <c r="BK494" s="568"/>
      <c r="BL494" s="568"/>
      <c r="BM494" s="568"/>
    </row>
    <row r="495" spans="3:65" s="1" customFormat="1" ht="40.5" customHeight="1" x14ac:dyDescent="0.2">
      <c r="D495" s="1528" t="str">
        <f>IF($Q$2,"Réconciliation détaillée du compte "&amp;F497&amp;" - "&amp;C497,"Detailed Reconciliation of the Account "&amp;F497&amp;" - "&amp;C497)</f>
        <v>Réconciliation détaillée du compte 2210 - Available (Rename)</v>
      </c>
      <c r="E495" s="1528"/>
      <c r="F495" s="1528"/>
      <c r="G495" s="1528"/>
      <c r="H495" s="1528"/>
      <c r="I495" s="1528"/>
      <c r="J495" s="1528"/>
      <c r="K495" s="1528"/>
      <c r="L495" s="1528"/>
      <c r="M495" s="1528"/>
      <c r="N495" s="577"/>
      <c r="P495" s="80"/>
      <c r="Q495" s="80"/>
      <c r="R495" s="80"/>
      <c r="S495" s="80"/>
      <c r="T495" s="80"/>
      <c r="U495" s="80"/>
      <c r="V495" s="144"/>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c r="AW495" s="80"/>
      <c r="AX495" s="80"/>
      <c r="AY495" s="80"/>
      <c r="AZ495" s="80"/>
      <c r="BA495" s="80"/>
      <c r="BB495" s="80"/>
      <c r="BC495" s="80"/>
      <c r="BD495" s="80"/>
      <c r="BE495" s="80"/>
      <c r="BF495" s="80"/>
      <c r="BG495" s="80"/>
      <c r="BH495" s="80"/>
      <c r="BI495" s="80"/>
      <c r="BJ495" s="80"/>
    </row>
    <row r="496" spans="3:65" s="1" customFormat="1" ht="29.25" customHeight="1" x14ac:dyDescent="0.2">
      <c r="C496" s="1529" t="str">
        <f>IF($Q$2=2,"Réconciliation selon les livres comptables","Reconciliation as per BookKeeping")</f>
        <v>Reconciliation as per BookKeeping</v>
      </c>
      <c r="D496" s="1529"/>
      <c r="E496" s="1529"/>
      <c r="F496" s="1529"/>
      <c r="G496" s="1529"/>
      <c r="I496" s="1529" t="str">
        <f>IF($Q$2=2,"Réconciliation selon l'état de compte","Reconciliation as per Account Statement")</f>
        <v>Reconciliation as per Account Statement</v>
      </c>
      <c r="J496" s="1529"/>
      <c r="K496" s="1529"/>
      <c r="L496" s="1529"/>
      <c r="M496" s="1529"/>
      <c r="N496" s="578" t="str">
        <f>F497</f>
        <v>2210</v>
      </c>
      <c r="P496" s="579"/>
      <c r="Q496" s="579"/>
      <c r="R496" s="579"/>
      <c r="S496" s="579"/>
      <c r="T496" s="579"/>
      <c r="U496" s="579"/>
      <c r="V496" s="47"/>
      <c r="W496" s="579"/>
      <c r="X496" s="579"/>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c r="AW496" s="80"/>
      <c r="AX496" s="80"/>
      <c r="AY496" s="80"/>
      <c r="AZ496" s="80"/>
      <c r="BA496" s="80"/>
      <c r="BB496" s="80"/>
      <c r="BC496" s="80"/>
      <c r="BD496" s="80"/>
      <c r="BE496" s="80"/>
      <c r="BF496" s="80"/>
      <c r="BG496" s="80"/>
      <c r="BH496" s="80"/>
      <c r="BI496" s="80"/>
      <c r="BJ496" s="80"/>
    </row>
    <row r="497" spans="3:70" s="1" customFormat="1" ht="25.5" customHeight="1" x14ac:dyDescent="0.2">
      <c r="C497" s="1542" t="str">
        <f>'Data Set up'!I34</f>
        <v>Available (Rename)</v>
      </c>
      <c r="D497" s="1542"/>
      <c r="E497" s="1542"/>
      <c r="F497" s="580" t="str">
        <f>LEFT('Data Set up'!H34,4)</f>
        <v>2210</v>
      </c>
      <c r="G497" s="355"/>
      <c r="I497" s="1556"/>
      <c r="J497" s="1556"/>
      <c r="K497" s="1556"/>
      <c r="L497" s="1556"/>
      <c r="M497" s="1556"/>
      <c r="N497" s="1556"/>
      <c r="P497" s="80"/>
      <c r="Q497" s="80"/>
      <c r="R497" s="80"/>
      <c r="S497" s="80"/>
      <c r="T497" s="80"/>
      <c r="U497" s="80"/>
      <c r="V497" s="144"/>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c r="AW497" s="80"/>
      <c r="AX497" s="80"/>
      <c r="AY497" s="80"/>
      <c r="AZ497" s="80"/>
      <c r="BA497" s="80"/>
      <c r="BB497" s="80"/>
      <c r="BC497" s="80"/>
      <c r="BD497" s="80"/>
      <c r="BE497" s="80"/>
      <c r="BF497" s="80"/>
      <c r="BG497" s="80"/>
      <c r="BH497" s="80"/>
      <c r="BI497" s="80"/>
      <c r="BJ497" s="80"/>
      <c r="BN497" s="648"/>
      <c r="BO497" s="648"/>
      <c r="BP497" s="648"/>
      <c r="BQ497" s="648"/>
      <c r="BR497" s="648"/>
    </row>
    <row r="498" spans="3:70" s="1" customFormat="1" ht="25.5" customHeight="1" x14ac:dyDescent="0.2">
      <c r="C498" s="1532" t="str">
        <f>IF($Q$2=2,"Solde du compte au ","Account Balance on ")</f>
        <v xml:space="preserve">Account Balance on </v>
      </c>
      <c r="D498" s="1532"/>
      <c r="E498" s="1532"/>
      <c r="F498" s="581" t="str">
        <f>'Data Set up'!$F$40&amp;" "&amp;'Data Set up'!$G$40&amp;" "&amp;'Data Set up'!$F$39</f>
        <v>31 August 2023</v>
      </c>
      <c r="G498" s="582">
        <f>'Data Set up'!F34</f>
        <v>0</v>
      </c>
      <c r="I498" s="1533" t="str">
        <f>IF($Q$2=2,"Solde au compte en fin d'exercice","End of Year Account Balance")</f>
        <v>End of Year Account Balance</v>
      </c>
      <c r="J498" s="1533"/>
      <c r="K498" s="1533"/>
      <c r="L498" s="1533"/>
      <c r="M498" s="1533"/>
      <c r="N498" s="583">
        <v>0</v>
      </c>
      <c r="P498" s="80"/>
      <c r="Q498" s="1534" t="str">
        <f>IF($Q$2=2,"Inscrivez le solde à payer ici","Insert the Balance payable here")</f>
        <v>Insert the Balance payable here</v>
      </c>
      <c r="R498" s="1534"/>
      <c r="S498" s="1534"/>
      <c r="T498" s="80"/>
      <c r="U498" s="585">
        <f>N498*1</f>
        <v>0</v>
      </c>
      <c r="V498" s="144"/>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c r="AW498" s="80"/>
      <c r="AX498" s="80"/>
      <c r="AY498" s="80"/>
      <c r="AZ498" s="80"/>
      <c r="BA498" s="80"/>
      <c r="BB498" s="80"/>
      <c r="BC498" s="80"/>
      <c r="BD498" s="80"/>
      <c r="BE498" s="80"/>
      <c r="BF498" s="80"/>
      <c r="BG498" s="80"/>
      <c r="BH498" s="80"/>
      <c r="BI498" s="80"/>
      <c r="BJ498" s="80"/>
      <c r="BN498" s="648"/>
      <c r="BO498" s="648"/>
      <c r="BP498" s="648"/>
      <c r="BQ498" s="648"/>
      <c r="BR498" s="648"/>
    </row>
    <row r="499" spans="3:70" s="1" customFormat="1" ht="25.5" customHeight="1" x14ac:dyDescent="0.2">
      <c r="C499" s="1535" t="str">
        <f>IF($Q$2=2,"Plus: Remboursements (Jrnl des revenus)","Plus: Reimbursements (Revenue Jrnl)")</f>
        <v>Plus: Reimbursements (Revenue Jrnl)</v>
      </c>
      <c r="D499" s="1535"/>
      <c r="E499" s="1535"/>
      <c r="F499" s="1535"/>
      <c r="G499" s="582">
        <f>'Revenue Jrnl'!G538</f>
        <v>0</v>
      </c>
      <c r="H499" s="586"/>
      <c r="I499" s="1556"/>
      <c r="J499" s="1556"/>
      <c r="K499" s="1556"/>
      <c r="L499" s="1556"/>
      <c r="M499" s="1556"/>
      <c r="N499" s="1556"/>
      <c r="P499" s="80"/>
      <c r="Q499" s="80"/>
      <c r="R499" s="80"/>
      <c r="S499" s="80"/>
      <c r="T499" s="80"/>
      <c r="U499" s="80"/>
      <c r="V499" s="144"/>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80"/>
      <c r="BB499" s="80"/>
      <c r="BC499" s="80"/>
      <c r="BD499" s="80"/>
      <c r="BE499" s="80"/>
      <c r="BF499" s="80"/>
      <c r="BG499" s="80"/>
      <c r="BH499" s="80"/>
      <c r="BI499" s="80"/>
      <c r="BJ499" s="80"/>
      <c r="BN499" s="648"/>
      <c r="BO499" s="648"/>
      <c r="BP499" s="648"/>
      <c r="BQ499" s="648"/>
      <c r="BR499" s="648"/>
    </row>
    <row r="500" spans="3:70" s="1" customFormat="1" ht="25.5" customHeight="1" x14ac:dyDescent="0.2">
      <c r="C500" s="1535" t="str">
        <f>IF($Q$2=2," Moins: Dépenses (Jrnl des dépenses)","Less: Expenses (Expense Jrnl)")</f>
        <v>Less: Expenses (Expense Jrnl)</v>
      </c>
      <c r="D500" s="1535"/>
      <c r="E500" s="1535"/>
      <c r="F500" s="1535"/>
      <c r="G500" s="582">
        <f>'Expense Jrnl'!G538</f>
        <v>0</v>
      </c>
      <c r="I500" s="1545" t="str">
        <f>IF($Q$2=2,"Plus: Remb. faits mais pas réconciliés","Plus: Reimb. made but not reconciled")</f>
        <v>Plus: Reimb. made but not reconciled</v>
      </c>
      <c r="J500" s="1545"/>
      <c r="K500" s="1545"/>
      <c r="L500" s="1545"/>
      <c r="M500" s="1545"/>
      <c r="N500" s="600">
        <f>'Revenue Jrnl'!H538</f>
        <v>0</v>
      </c>
      <c r="P500" s="80"/>
      <c r="Q500" s="80"/>
      <c r="R500" s="80"/>
      <c r="S500" s="80"/>
      <c r="T500" s="80"/>
      <c r="U500" s="80"/>
      <c r="V500" s="144"/>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c r="AW500" s="80"/>
      <c r="AX500" s="80"/>
      <c r="AY500" s="80"/>
      <c r="AZ500" s="80"/>
      <c r="BA500" s="80"/>
      <c r="BB500" s="80"/>
      <c r="BC500" s="80"/>
      <c r="BD500" s="80"/>
      <c r="BE500" s="80"/>
      <c r="BF500" s="80"/>
      <c r="BG500" s="80"/>
      <c r="BH500" s="80"/>
      <c r="BI500" s="80"/>
      <c r="BJ500" s="80"/>
    </row>
    <row r="501" spans="3:70" s="1" customFormat="1" ht="25.5" customHeight="1" x14ac:dyDescent="0.2">
      <c r="C501" s="1536"/>
      <c r="D501" s="1536"/>
      <c r="E501" s="1536"/>
      <c r="F501" s="1536"/>
      <c r="H501" s="586"/>
      <c r="I501" s="1556"/>
      <c r="J501" s="1556"/>
      <c r="K501" s="1556"/>
      <c r="L501" s="1556"/>
      <c r="M501" s="1556"/>
      <c r="N501" s="1556"/>
      <c r="P501" s="80"/>
      <c r="Q501" s="80"/>
      <c r="R501" s="80"/>
      <c r="S501" s="80"/>
      <c r="T501" s="80"/>
      <c r="U501" s="80"/>
      <c r="V501" s="144"/>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c r="AW501" s="80"/>
      <c r="AX501" s="80"/>
      <c r="AY501" s="80"/>
      <c r="AZ501" s="80"/>
      <c r="BA501" s="80"/>
      <c r="BB501" s="80"/>
      <c r="BC501" s="80"/>
      <c r="BD501" s="80"/>
      <c r="BE501" s="80"/>
      <c r="BF501" s="80"/>
      <c r="BG501" s="80"/>
      <c r="BH501" s="80"/>
      <c r="BI501" s="80"/>
      <c r="BJ501" s="80"/>
    </row>
    <row r="502" spans="3:70" s="1" customFormat="1" ht="25.5" customHeight="1" x14ac:dyDescent="0.2">
      <c r="C502" s="1546" t="str">
        <f>IF($Q$2=2,"Remboursements de l'année précédente (non traités dans l'année précédente)","Previous Year's Reimbursements (not processed in prev year)")</f>
        <v>Previous Year's Reimbursements (not processed in prev year)</v>
      </c>
      <c r="D502" s="1546"/>
      <c r="E502" s="1546"/>
      <c r="F502" s="1546"/>
      <c r="G502" s="1546"/>
      <c r="I502" s="1547" t="str">
        <f>IF($Q$2=2,"Moins: Dépenses effectuées mais non encore enr.","Less: Expenses made but not processed")</f>
        <v>Less: Expenses made but not processed</v>
      </c>
      <c r="J502" s="1547"/>
      <c r="K502" s="1547"/>
      <c r="L502" s="1547"/>
      <c r="M502" s="1547"/>
      <c r="N502" s="600">
        <f>'Expense Jrnl'!H538</f>
        <v>0</v>
      </c>
      <c r="P502" s="80"/>
      <c r="Q502" s="80"/>
      <c r="R502" s="80"/>
      <c r="S502" s="80"/>
      <c r="T502" s="80"/>
      <c r="U502" s="80"/>
      <c r="V502" s="144"/>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c r="AW502" s="80"/>
      <c r="AX502" s="80"/>
      <c r="AY502" s="80"/>
      <c r="AZ502" s="80"/>
      <c r="BA502" s="80"/>
      <c r="BB502" s="80"/>
      <c r="BC502" s="80"/>
      <c r="BD502" s="80"/>
      <c r="BE502" s="80"/>
      <c r="BF502" s="80"/>
      <c r="BG502" s="80"/>
      <c r="BH502" s="80"/>
      <c r="BI502" s="80"/>
      <c r="BJ502" s="80"/>
    </row>
    <row r="503" spans="3:70" s="1" customFormat="1" ht="25.5" customHeight="1" x14ac:dyDescent="0.2">
      <c r="C503" s="601" t="str">
        <f>IF($Q$2=2,"Chèque #","Cheque #")</f>
        <v>Cheque #</v>
      </c>
      <c r="D503" s="1548" t="str">
        <f>IF($Q$2=2,"Détails","Details")</f>
        <v>Details</v>
      </c>
      <c r="E503" s="1548"/>
      <c r="F503" s="1548"/>
      <c r="G503" s="601" t="str">
        <f>IF($Q$2=2,"Montant","Amount")</f>
        <v>Amount</v>
      </c>
      <c r="I503" s="1556"/>
      <c r="J503" s="1556"/>
      <c r="K503" s="1556"/>
      <c r="L503" s="1556"/>
      <c r="M503" s="1556"/>
      <c r="N503" s="1556"/>
      <c r="P503" s="80"/>
      <c r="Q503" s="80"/>
      <c r="R503" s="80"/>
      <c r="S503" s="80"/>
      <c r="T503" s="80"/>
      <c r="U503" s="80"/>
      <c r="V503" s="144"/>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c r="AW503" s="80"/>
      <c r="AX503" s="80"/>
      <c r="AY503" s="80"/>
      <c r="AZ503" s="80"/>
      <c r="BA503" s="80"/>
      <c r="BB503" s="80"/>
      <c r="BC503" s="80"/>
      <c r="BD503" s="80"/>
      <c r="BE503" s="80"/>
      <c r="BF503" s="80"/>
      <c r="BG503" s="80"/>
      <c r="BH503" s="80"/>
      <c r="BI503" s="80"/>
      <c r="BJ503" s="80"/>
    </row>
    <row r="504" spans="3:70" s="1" customFormat="1" ht="25.5" customHeight="1" x14ac:dyDescent="0.2">
      <c r="C504" s="602" t="str">
        <f>IF('Data Set up'!$J59=$F$497,'Data Set up'!$C59,"")</f>
        <v/>
      </c>
      <c r="D504" s="1565" t="str">
        <f>IF('Data Set up'!$J59=$F$497,'Data Set up'!$D59,"")</f>
        <v/>
      </c>
      <c r="E504" s="1565"/>
      <c r="F504" s="1565"/>
      <c r="G504" s="634" t="str">
        <f>IF('Data Set up'!$J59=$F$497,'Data Set up'!$F59,"")</f>
        <v/>
      </c>
      <c r="I504" s="1547" t="str">
        <f>IF($Q$2=2,"Solde engagé actuel du compte (reconcilié)","Actual Credit balance committed (reconciled)")</f>
        <v>Actual Credit balance committed (reconciled)</v>
      </c>
      <c r="J504" s="1547"/>
      <c r="K504" s="1547"/>
      <c r="L504" s="1547"/>
      <c r="M504" s="1547"/>
      <c r="N504" s="590">
        <f>N498-N500+N502</f>
        <v>0</v>
      </c>
      <c r="P504" s="80"/>
      <c r="Q504" s="80"/>
      <c r="R504" s="80"/>
      <c r="S504" s="80"/>
      <c r="T504" s="80"/>
      <c r="U504" s="80"/>
      <c r="V504" s="144"/>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c r="AW504" s="80"/>
      <c r="AX504" s="80"/>
      <c r="AY504" s="80"/>
      <c r="AZ504" s="80"/>
      <c r="BA504" s="80"/>
      <c r="BB504" s="80"/>
      <c r="BC504" s="80"/>
      <c r="BD504" s="80"/>
      <c r="BE504" s="80"/>
      <c r="BF504" s="80"/>
      <c r="BG504" s="80"/>
      <c r="BH504" s="80"/>
      <c r="BI504" s="80"/>
      <c r="BJ504" s="80"/>
    </row>
    <row r="505" spans="3:70" s="1" customFormat="1" ht="25.5" customHeight="1" x14ac:dyDescent="0.2">
      <c r="C505" s="602" t="str">
        <f>IF('Data Set up'!$J60=$F$497,'Data Set up'!$C60,"")</f>
        <v/>
      </c>
      <c r="D505" s="1565" t="str">
        <f>IF('Data Set up'!$J60=$F$497,'Data Set up'!$D60,"")</f>
        <v/>
      </c>
      <c r="E505" s="1565"/>
      <c r="F505" s="1565"/>
      <c r="G505" s="634" t="str">
        <f>IF('Data Set up'!$J60=$F$497,'Data Set up'!$F60,"")</f>
        <v/>
      </c>
      <c r="P505" s="80"/>
      <c r="Q505" s="80"/>
      <c r="R505" s="80"/>
      <c r="S505" s="80"/>
      <c r="T505" s="80"/>
      <c r="U505" s="80"/>
      <c r="V505" s="144"/>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c r="AW505" s="80"/>
      <c r="AX505" s="80"/>
      <c r="AY505" s="80"/>
      <c r="AZ505" s="80"/>
      <c r="BA505" s="80"/>
      <c r="BB505" s="80"/>
      <c r="BC505" s="80"/>
      <c r="BD505" s="80"/>
      <c r="BE505" s="80"/>
      <c r="BF505" s="80"/>
      <c r="BG505" s="80"/>
      <c r="BH505" s="80"/>
      <c r="BI505" s="80"/>
      <c r="BJ505" s="80"/>
    </row>
    <row r="506" spans="3:70" s="1" customFormat="1" ht="25.5" customHeight="1" x14ac:dyDescent="0.2">
      <c r="C506" s="602" t="str">
        <f>IF('Data Set up'!$J61=$F$497,'Data Set up'!$C61,"")</f>
        <v/>
      </c>
      <c r="D506" s="1565" t="str">
        <f>IF('Data Set up'!$J61=$F$497,'Data Set up'!$D61,"")</f>
        <v/>
      </c>
      <c r="E506" s="1565"/>
      <c r="F506" s="1565"/>
      <c r="G506" s="634" t="str">
        <f>IF('Data Set up'!$J61=$F$497,'Data Set up'!$F61,"")</f>
        <v/>
      </c>
      <c r="I506" s="144"/>
      <c r="J506" s="80"/>
      <c r="K506" s="80"/>
      <c r="L506" s="80"/>
      <c r="M506" s="80"/>
      <c r="N506" s="144"/>
      <c r="P506" s="80"/>
      <c r="Q506" s="80"/>
      <c r="R506" s="80"/>
      <c r="S506" s="80"/>
      <c r="T506" s="80"/>
      <c r="U506" s="80"/>
      <c r="V506" s="144"/>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c r="AW506" s="80"/>
      <c r="AX506" s="80"/>
      <c r="AY506" s="80"/>
      <c r="AZ506" s="80"/>
      <c r="BA506" s="80"/>
      <c r="BB506" s="80"/>
      <c r="BC506" s="80"/>
      <c r="BD506" s="80"/>
      <c r="BE506" s="80"/>
      <c r="BF506" s="80"/>
      <c r="BG506" s="80"/>
      <c r="BH506" s="80"/>
      <c r="BI506" s="80"/>
      <c r="BJ506" s="80"/>
    </row>
    <row r="507" spans="3:70" s="1" customFormat="1" ht="25.5" customHeight="1" x14ac:dyDescent="0.2">
      <c r="C507" s="602" t="str">
        <f>IF('Data Set up'!$J62=$F$497,'Data Set up'!$C62,"")</f>
        <v/>
      </c>
      <c r="D507" s="1565" t="str">
        <f>IF('Data Set up'!$J62=$F$497,'Data Set up'!$D62,"")</f>
        <v/>
      </c>
      <c r="E507" s="1565"/>
      <c r="F507" s="1565"/>
      <c r="G507" s="634" t="str">
        <f>IF('Data Set up'!$J62=$F$497,'Data Set up'!$F62,"")</f>
        <v/>
      </c>
      <c r="I507" s="144"/>
      <c r="J507" s="80"/>
      <c r="K507" s="80"/>
      <c r="L507" s="80"/>
      <c r="M507" s="80"/>
      <c r="N507" s="144"/>
      <c r="P507" s="80"/>
      <c r="Q507" s="80"/>
      <c r="R507" s="80"/>
      <c r="S507" s="80"/>
      <c r="T507" s="80"/>
      <c r="U507" s="80"/>
      <c r="V507" s="144"/>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c r="AW507" s="80"/>
      <c r="AX507" s="80"/>
      <c r="AY507" s="80"/>
      <c r="AZ507" s="80"/>
      <c r="BA507" s="80"/>
      <c r="BB507" s="80"/>
      <c r="BC507" s="80"/>
      <c r="BD507" s="80"/>
      <c r="BE507" s="80"/>
      <c r="BF507" s="80"/>
      <c r="BG507" s="80"/>
      <c r="BH507" s="80"/>
      <c r="BI507" s="80"/>
      <c r="BJ507" s="80"/>
    </row>
    <row r="508" spans="3:70" s="1" customFormat="1" ht="25.5" customHeight="1" x14ac:dyDescent="0.2">
      <c r="C508" s="602" t="str">
        <f>IF('Data Set up'!$J63=$F$497,'Data Set up'!$C63,"")</f>
        <v/>
      </c>
      <c r="D508" s="1565" t="str">
        <f>IF('Data Set up'!$J63=$F$497,'Data Set up'!$D63,"")</f>
        <v/>
      </c>
      <c r="E508" s="1565"/>
      <c r="F508" s="1565"/>
      <c r="G508" s="634" t="str">
        <f>IF('Data Set up'!$J63=$F$497,'Data Set up'!$F63,"")</f>
        <v/>
      </c>
      <c r="I508" s="144"/>
      <c r="J508" s="80"/>
      <c r="K508" s="80"/>
      <c r="L508" s="80"/>
      <c r="M508" s="80"/>
      <c r="N508" s="144"/>
      <c r="P508" s="80"/>
      <c r="Q508" s="80"/>
      <c r="R508" s="80"/>
      <c r="S508" s="80"/>
      <c r="T508" s="80"/>
      <c r="U508" s="80"/>
      <c r="V508" s="144"/>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c r="AW508" s="80"/>
      <c r="AX508" s="80"/>
      <c r="AY508" s="80"/>
      <c r="AZ508" s="80"/>
      <c r="BA508" s="80"/>
      <c r="BB508" s="80"/>
      <c r="BC508" s="80"/>
      <c r="BD508" s="80"/>
      <c r="BE508" s="80"/>
      <c r="BF508" s="80"/>
      <c r="BG508" s="80"/>
      <c r="BH508" s="80"/>
      <c r="BI508" s="80"/>
      <c r="BJ508" s="80"/>
    </row>
    <row r="509" spans="3:70" s="1" customFormat="1" ht="25.5" customHeight="1" x14ac:dyDescent="0.2">
      <c r="C509" s="602" t="str">
        <f>IF('Data Set up'!$J64=$F$497,'Data Set up'!$C64,"")</f>
        <v/>
      </c>
      <c r="D509" s="1565" t="str">
        <f>IF('Data Set up'!$J64=$F$497,'Data Set up'!$D64,"")</f>
        <v/>
      </c>
      <c r="E509" s="1565"/>
      <c r="F509" s="1565"/>
      <c r="G509" s="634" t="str">
        <f>IF('Data Set up'!$J64=$F$497,'Data Set up'!$F64,"")</f>
        <v/>
      </c>
      <c r="I509" s="144"/>
      <c r="J509" s="80"/>
      <c r="K509" s="80"/>
      <c r="L509" s="80"/>
      <c r="M509" s="80"/>
      <c r="N509" s="144"/>
      <c r="P509" s="80"/>
      <c r="Q509" s="80"/>
      <c r="R509" s="80"/>
      <c r="S509" s="80"/>
      <c r="T509" s="80"/>
      <c r="U509" s="80"/>
      <c r="V509" s="144"/>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c r="AW509" s="80"/>
      <c r="AX509" s="80"/>
      <c r="AY509" s="80"/>
      <c r="AZ509" s="80"/>
      <c r="BA509" s="80"/>
      <c r="BB509" s="80"/>
      <c r="BC509" s="80"/>
      <c r="BD509" s="80"/>
      <c r="BE509" s="80"/>
      <c r="BF509" s="80"/>
      <c r="BG509" s="80"/>
      <c r="BH509" s="80"/>
      <c r="BI509" s="80"/>
      <c r="BJ509" s="80"/>
    </row>
    <row r="510" spans="3:70" s="1" customFormat="1" ht="25.5" customHeight="1" x14ac:dyDescent="0.2">
      <c r="C510" s="602" t="str">
        <f>IF('Data Set up'!$J65=$F$497,'Data Set up'!$C65,"")</f>
        <v/>
      </c>
      <c r="D510" s="1565" t="str">
        <f>IF('Data Set up'!$J65=$F$497,'Data Set up'!$D65,"")</f>
        <v/>
      </c>
      <c r="E510" s="1565"/>
      <c r="F510" s="1565"/>
      <c r="G510" s="634" t="str">
        <f>IF('Data Set up'!$J65=$F$497,'Data Set up'!$F65,"")</f>
        <v/>
      </c>
      <c r="I510" s="144"/>
      <c r="J510" s="80"/>
      <c r="K510" s="80"/>
      <c r="L510" s="80"/>
      <c r="M510" s="80"/>
      <c r="N510" s="144"/>
      <c r="P510" s="80"/>
      <c r="Q510" s="80"/>
      <c r="R510" s="80"/>
      <c r="S510" s="80"/>
      <c r="T510" s="80"/>
      <c r="U510" s="80"/>
      <c r="V510" s="144"/>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c r="AW510" s="80"/>
      <c r="AX510" s="80"/>
      <c r="AY510" s="80"/>
      <c r="AZ510" s="80"/>
      <c r="BA510" s="80"/>
      <c r="BB510" s="80"/>
      <c r="BC510" s="80"/>
      <c r="BD510" s="80"/>
      <c r="BE510" s="80"/>
      <c r="BF510" s="80"/>
      <c r="BG510" s="80"/>
      <c r="BH510" s="80"/>
      <c r="BI510" s="80"/>
      <c r="BJ510" s="80"/>
    </row>
    <row r="511" spans="3:70" s="1" customFormat="1" ht="25.5" customHeight="1" x14ac:dyDescent="0.2">
      <c r="C511" s="602" t="str">
        <f>IF('Data Set up'!$J66=$F$497,'Data Set up'!$C66,"")</f>
        <v/>
      </c>
      <c r="D511" s="1565" t="str">
        <f>IF('Data Set up'!$J66=$F$497,'Data Set up'!$D66,"")</f>
        <v/>
      </c>
      <c r="E511" s="1565"/>
      <c r="F511" s="1565"/>
      <c r="G511" s="634" t="str">
        <f>IF('Data Set up'!$J66=$F$497,'Data Set up'!$F66,"")</f>
        <v/>
      </c>
      <c r="I511" s="144"/>
      <c r="J511" s="80"/>
      <c r="K511" s="80"/>
      <c r="L511" s="80"/>
      <c r="M511" s="80"/>
      <c r="N511" s="144"/>
      <c r="P511" s="80"/>
      <c r="Q511" s="80"/>
      <c r="R511" s="80"/>
      <c r="S511" s="80"/>
      <c r="T511" s="80"/>
      <c r="U511" s="80"/>
      <c r="V511" s="144"/>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c r="AW511" s="80"/>
      <c r="AX511" s="80"/>
      <c r="AY511" s="80"/>
      <c r="AZ511" s="80"/>
      <c r="BA511" s="80"/>
      <c r="BB511" s="80"/>
      <c r="BC511" s="80"/>
      <c r="BD511" s="80"/>
      <c r="BE511" s="80"/>
      <c r="BF511" s="80"/>
      <c r="BG511" s="80"/>
      <c r="BH511" s="80"/>
      <c r="BI511" s="80"/>
      <c r="BJ511" s="80"/>
    </row>
    <row r="512" spans="3:70" s="1" customFormat="1" ht="25.5" customHeight="1" x14ac:dyDescent="0.2">
      <c r="C512" s="602" t="str">
        <f>IF('Data Set up'!$J67=$F$497,'Data Set up'!$C67,"")</f>
        <v/>
      </c>
      <c r="D512" s="1565" t="str">
        <f>IF('Data Set up'!$J67=$F$497,'Data Set up'!$D67,"")</f>
        <v/>
      </c>
      <c r="E512" s="1565"/>
      <c r="F512" s="1565"/>
      <c r="G512" s="634" t="str">
        <f>IF('Data Set up'!$J67=$F$497,'Data Set up'!$F67,"")</f>
        <v/>
      </c>
      <c r="I512" s="144"/>
      <c r="J512" s="80"/>
      <c r="K512" s="80"/>
      <c r="L512" s="80"/>
      <c r="M512" s="80"/>
      <c r="N512" s="144"/>
      <c r="P512" s="80"/>
      <c r="Q512" s="80"/>
      <c r="R512" s="80"/>
      <c r="S512" s="80"/>
      <c r="T512" s="80"/>
      <c r="U512" s="80"/>
      <c r="V512" s="144"/>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c r="AW512" s="80"/>
      <c r="AX512" s="80"/>
      <c r="AY512" s="80"/>
      <c r="AZ512" s="80"/>
      <c r="BA512" s="80"/>
      <c r="BB512" s="80"/>
      <c r="BC512" s="80"/>
      <c r="BD512" s="80"/>
      <c r="BE512" s="80"/>
      <c r="BF512" s="80"/>
      <c r="BG512" s="80"/>
      <c r="BH512" s="80"/>
      <c r="BI512" s="80"/>
      <c r="BJ512" s="80"/>
    </row>
    <row r="513" spans="3:62" s="1" customFormat="1" ht="25.5" customHeight="1" x14ac:dyDescent="0.2">
      <c r="C513" s="602" t="str">
        <f>IF('Data Set up'!$J68=$F$497,'Data Set up'!$C68,"")</f>
        <v/>
      </c>
      <c r="D513" s="1565" t="str">
        <f>IF('Data Set up'!$J68=$F$497,'Data Set up'!$D68,"")</f>
        <v/>
      </c>
      <c r="E513" s="1565"/>
      <c r="F513" s="1565"/>
      <c r="G513" s="634" t="str">
        <f>IF('Data Set up'!$J68=$F$497,'Data Set up'!$F68,"")</f>
        <v/>
      </c>
      <c r="I513" s="144"/>
      <c r="J513" s="80"/>
      <c r="K513" s="80"/>
      <c r="L513" s="80"/>
      <c r="M513" s="80"/>
      <c r="N513" s="144"/>
      <c r="P513" s="80"/>
      <c r="Q513" s="80"/>
      <c r="R513" s="80"/>
      <c r="S513" s="80"/>
      <c r="T513" s="80"/>
      <c r="U513" s="80"/>
      <c r="V513" s="144"/>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c r="AW513" s="80"/>
      <c r="AX513" s="80"/>
      <c r="AY513" s="80"/>
      <c r="AZ513" s="80"/>
      <c r="BA513" s="80"/>
      <c r="BB513" s="80"/>
      <c r="BC513" s="80"/>
      <c r="BD513" s="80"/>
      <c r="BE513" s="80"/>
      <c r="BF513" s="80"/>
      <c r="BG513" s="80"/>
      <c r="BH513" s="80"/>
      <c r="BI513" s="80"/>
      <c r="BJ513" s="80"/>
    </row>
    <row r="514" spans="3:62" s="1" customFormat="1" ht="25.5" customHeight="1" x14ac:dyDescent="0.2">
      <c r="C514" s="602" t="str">
        <f>IF('Data Set up'!$J69=$F$497,'Data Set up'!$C69,"")</f>
        <v/>
      </c>
      <c r="D514" s="1565" t="str">
        <f>IF('Data Set up'!$J69=$F$497,'Data Set up'!$D69,"")</f>
        <v/>
      </c>
      <c r="E514" s="1565"/>
      <c r="F514" s="1565"/>
      <c r="G514" s="634" t="str">
        <f>IF('Data Set up'!$J69=$F$497,'Data Set up'!$F69,"")</f>
        <v/>
      </c>
      <c r="I514" s="144"/>
      <c r="J514" s="80"/>
      <c r="K514" s="80"/>
      <c r="L514" s="80"/>
      <c r="M514" s="80"/>
      <c r="N514" s="144"/>
      <c r="P514" s="80"/>
      <c r="Q514" s="80"/>
      <c r="R514" s="80"/>
      <c r="S514" s="80"/>
      <c r="T514" s="80"/>
      <c r="U514" s="80"/>
      <c r="V514" s="144"/>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c r="AW514" s="80"/>
      <c r="AX514" s="80"/>
      <c r="AY514" s="80"/>
      <c r="AZ514" s="80"/>
      <c r="BA514" s="80"/>
      <c r="BB514" s="80"/>
      <c r="BC514" s="80"/>
      <c r="BD514" s="80"/>
      <c r="BE514" s="80"/>
      <c r="BF514" s="80"/>
      <c r="BG514" s="80"/>
      <c r="BH514" s="80"/>
      <c r="BI514" s="80"/>
      <c r="BJ514" s="80"/>
    </row>
    <row r="515" spans="3:62" s="1" customFormat="1" ht="25.5" customHeight="1" x14ac:dyDescent="0.2">
      <c r="C515" s="602" t="str">
        <f>IF('Data Set up'!$J70=$F$497,'Data Set up'!$C70,"")</f>
        <v/>
      </c>
      <c r="D515" s="1565" t="str">
        <f>IF('Data Set up'!$J70=$F$497,'Data Set up'!$D70,"")</f>
        <v/>
      </c>
      <c r="E515" s="1565"/>
      <c r="F515" s="1565"/>
      <c r="G515" s="634" t="str">
        <f>IF('Data Set up'!$J70=$F$497,'Data Set up'!$F70,"")</f>
        <v/>
      </c>
      <c r="I515" s="144"/>
      <c r="J515" s="80"/>
      <c r="K515" s="80"/>
      <c r="L515" s="80"/>
      <c r="M515" s="80"/>
      <c r="N515" s="144"/>
      <c r="P515" s="80"/>
      <c r="Q515" s="80"/>
      <c r="R515" s="80"/>
      <c r="S515" s="80"/>
      <c r="T515" s="80"/>
      <c r="U515" s="80"/>
      <c r="V515" s="144"/>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c r="AW515" s="80"/>
      <c r="AX515" s="80"/>
      <c r="AY515" s="80"/>
      <c r="AZ515" s="80"/>
      <c r="BA515" s="80"/>
      <c r="BB515" s="80"/>
      <c r="BC515" s="80"/>
      <c r="BD515" s="80"/>
      <c r="BE515" s="80"/>
      <c r="BF515" s="80"/>
      <c r="BG515" s="80"/>
      <c r="BH515" s="80"/>
      <c r="BI515" s="80"/>
      <c r="BJ515" s="80"/>
    </row>
    <row r="516" spans="3:62" s="1" customFormat="1" ht="25.5" customHeight="1" x14ac:dyDescent="0.2">
      <c r="C516" s="602" t="str">
        <f>IF('Data Set up'!$J71=$F$497,'Data Set up'!$C71,"")</f>
        <v/>
      </c>
      <c r="D516" s="1565" t="str">
        <f>IF('Data Set up'!$J71=$F$497,'Data Set up'!$D71,"")</f>
        <v/>
      </c>
      <c r="E516" s="1565"/>
      <c r="F516" s="1565"/>
      <c r="G516" s="634" t="str">
        <f>IF('Data Set up'!$J71=$F$497,'Data Set up'!$F71,"")</f>
        <v/>
      </c>
      <c r="I516" s="143"/>
      <c r="J516" s="80"/>
      <c r="K516" s="80"/>
      <c r="L516" s="80"/>
      <c r="M516" s="80"/>
      <c r="N516" s="208"/>
      <c r="P516" s="80"/>
      <c r="Q516" s="80"/>
      <c r="R516" s="80"/>
      <c r="S516" s="80"/>
      <c r="T516" s="80"/>
      <c r="U516" s="80"/>
      <c r="V516" s="144"/>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c r="AW516" s="80"/>
      <c r="AX516" s="80"/>
      <c r="AY516" s="80"/>
      <c r="AZ516" s="80"/>
      <c r="BA516" s="80"/>
      <c r="BB516" s="80"/>
      <c r="BC516" s="80"/>
      <c r="BD516" s="80"/>
      <c r="BE516" s="80"/>
      <c r="BF516" s="80"/>
      <c r="BG516" s="80"/>
      <c r="BH516" s="80"/>
      <c r="BI516" s="80"/>
      <c r="BJ516" s="80"/>
    </row>
    <row r="517" spans="3:62" s="1" customFormat="1" ht="25.5" customHeight="1" x14ac:dyDescent="0.2">
      <c r="C517" s="1546" t="str">
        <f>IF($Q$2=2,"Dépenses de l'année précédente (non traités dans l'année précédente)","Previous Year's Expenses (not processed in prev year)")</f>
        <v>Previous Year's Expenses (not processed in prev year)</v>
      </c>
      <c r="D517" s="1546"/>
      <c r="E517" s="1546"/>
      <c r="F517" s="1546"/>
      <c r="G517" s="1546"/>
      <c r="I517" s="604"/>
      <c r="J517" s="605"/>
      <c r="K517" s="605"/>
      <c r="L517" s="605"/>
      <c r="M517" s="605"/>
      <c r="N517" s="208"/>
      <c r="P517" s="80"/>
      <c r="Q517" s="80"/>
      <c r="R517" s="80"/>
      <c r="S517" s="80"/>
      <c r="T517" s="80"/>
      <c r="U517" s="80"/>
      <c r="V517" s="144"/>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c r="AW517" s="80"/>
      <c r="AX517" s="80"/>
      <c r="AY517" s="80"/>
      <c r="AZ517" s="80"/>
      <c r="BA517" s="80"/>
      <c r="BB517" s="80"/>
      <c r="BC517" s="80"/>
      <c r="BD517" s="80"/>
      <c r="BE517" s="80"/>
      <c r="BF517" s="80"/>
      <c r="BG517" s="80"/>
      <c r="BH517" s="80"/>
      <c r="BI517" s="80"/>
      <c r="BJ517" s="80"/>
    </row>
    <row r="518" spans="3:62" s="1" customFormat="1" ht="25.5" customHeight="1" x14ac:dyDescent="0.2">
      <c r="C518" s="606" t="str">
        <f>IF($Q$2=2,"Transactions #","Transactions #")</f>
        <v>Transactions #</v>
      </c>
      <c r="D518" s="1548" t="str">
        <f>IF($Q$2=2,"À l'ordre de","Payable to")</f>
        <v>Payable to</v>
      </c>
      <c r="E518" s="1548"/>
      <c r="F518" s="1548"/>
      <c r="G518" s="607" t="str">
        <f>IF($Q$2=2,"Montant","Amount")</f>
        <v>Amount</v>
      </c>
      <c r="H518" s="586"/>
      <c r="I518" s="608"/>
      <c r="J518" s="605"/>
      <c r="K518" s="605"/>
      <c r="L518" s="605"/>
      <c r="M518" s="605"/>
      <c r="N518" s="208"/>
      <c r="P518" s="80"/>
      <c r="Q518" s="80"/>
      <c r="R518" s="80"/>
      <c r="S518" s="80"/>
      <c r="T518" s="80"/>
      <c r="U518" s="80"/>
      <c r="V518" s="144"/>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c r="AW518" s="80"/>
      <c r="AX518" s="80"/>
      <c r="AY518" s="80"/>
      <c r="AZ518" s="80"/>
      <c r="BA518" s="80"/>
      <c r="BB518" s="80"/>
      <c r="BC518" s="80"/>
      <c r="BD518" s="80"/>
      <c r="BE518" s="80"/>
      <c r="BF518" s="80"/>
      <c r="BG518" s="80"/>
      <c r="BH518" s="80"/>
      <c r="BI518" s="80"/>
      <c r="BJ518" s="80"/>
    </row>
    <row r="519" spans="3:62" s="1" customFormat="1" ht="25.5" customHeight="1" x14ac:dyDescent="0.2">
      <c r="C519" s="602" t="str">
        <f>IF('Data Set up'!$J76=$F$497,'Data Set up'!$C76,"")</f>
        <v/>
      </c>
      <c r="D519" s="1565" t="str">
        <f>IF('Data Set up'!$J76=$F$497,'Data Set up'!$D76,"")</f>
        <v/>
      </c>
      <c r="E519" s="1565"/>
      <c r="F519" s="1565"/>
      <c r="G519" s="634" t="str">
        <f>IF('Data Set up'!$J76=$F$497,'Data Set up'!$F76,"")</f>
        <v/>
      </c>
      <c r="H519" s="586"/>
      <c r="I519" s="205"/>
      <c r="N519" s="208"/>
      <c r="P519" s="80"/>
      <c r="Q519" s="80"/>
      <c r="R519" s="80"/>
      <c r="S519" s="80"/>
      <c r="T519" s="80"/>
      <c r="U519" s="80"/>
      <c r="V519" s="144"/>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c r="AW519" s="80"/>
      <c r="AX519" s="80"/>
      <c r="AY519" s="80"/>
      <c r="AZ519" s="80"/>
      <c r="BA519" s="80"/>
      <c r="BB519" s="80"/>
      <c r="BC519" s="80"/>
      <c r="BD519" s="80"/>
      <c r="BE519" s="80"/>
      <c r="BF519" s="80"/>
      <c r="BG519" s="80"/>
      <c r="BH519" s="80"/>
      <c r="BI519" s="80"/>
      <c r="BJ519" s="80"/>
    </row>
    <row r="520" spans="3:62" s="1" customFormat="1" ht="25.5" customHeight="1" x14ac:dyDescent="0.2">
      <c r="C520" s="602" t="str">
        <f>IF('Data Set up'!$J77=$F$497,'Data Set up'!$C77,"")</f>
        <v/>
      </c>
      <c r="D520" s="1565" t="str">
        <f>IF('Data Set up'!$J77=$F$497,'Data Set up'!$D77,"")</f>
        <v/>
      </c>
      <c r="E520" s="1565"/>
      <c r="F520" s="1565"/>
      <c r="G520" s="634" t="str">
        <f>IF('Data Set up'!$J77=$F$497,'Data Set up'!$F77,"")</f>
        <v/>
      </c>
      <c r="I520" s="355"/>
      <c r="J520" s="355"/>
      <c r="K520" s="355"/>
      <c r="L520" s="355"/>
      <c r="M520" s="355"/>
      <c r="N520" s="355"/>
      <c r="P520" s="80"/>
      <c r="Q520" s="80"/>
      <c r="R520" s="80"/>
      <c r="S520" s="80"/>
      <c r="T520" s="80"/>
      <c r="U520" s="80"/>
      <c r="V520" s="144"/>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c r="AW520" s="80"/>
      <c r="AX520" s="80"/>
      <c r="AY520" s="80"/>
      <c r="AZ520" s="80"/>
      <c r="BA520" s="80"/>
      <c r="BB520" s="80"/>
      <c r="BC520" s="80"/>
      <c r="BD520" s="80"/>
      <c r="BE520" s="80"/>
      <c r="BF520" s="80"/>
      <c r="BG520" s="80"/>
      <c r="BH520" s="80"/>
      <c r="BI520" s="80"/>
      <c r="BJ520" s="80"/>
    </row>
    <row r="521" spans="3:62" s="1" customFormat="1" ht="25.5" customHeight="1" x14ac:dyDescent="0.2">
      <c r="C521" s="602" t="str">
        <f>IF('Data Set up'!$J78=$F$497,'Data Set up'!$C78,"")</f>
        <v/>
      </c>
      <c r="D521" s="1565" t="str">
        <f>IF('Data Set up'!$J78=$F$497,'Data Set up'!$D78,"")</f>
        <v/>
      </c>
      <c r="E521" s="1565"/>
      <c r="F521" s="1565"/>
      <c r="G521" s="634" t="str">
        <f>IF('Data Set up'!$J78=$F$497,'Data Set up'!$F78,"")</f>
        <v/>
      </c>
      <c r="I521" s="609"/>
      <c r="J521" s="80"/>
      <c r="K521" s="80"/>
      <c r="L521" s="80"/>
      <c r="M521" s="80"/>
      <c r="N521" s="144"/>
      <c r="P521" s="80"/>
      <c r="Q521" s="80"/>
      <c r="R521" s="80"/>
      <c r="S521" s="80"/>
      <c r="T521" s="80"/>
      <c r="U521" s="80"/>
      <c r="V521" s="144"/>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c r="AW521" s="80"/>
      <c r="AX521" s="80"/>
      <c r="AY521" s="80"/>
      <c r="AZ521" s="80"/>
      <c r="BA521" s="80"/>
      <c r="BB521" s="80"/>
      <c r="BC521" s="80"/>
      <c r="BD521" s="80"/>
      <c r="BE521" s="80"/>
      <c r="BF521" s="80"/>
      <c r="BG521" s="80"/>
      <c r="BH521" s="80"/>
      <c r="BI521" s="80"/>
      <c r="BJ521" s="80"/>
    </row>
    <row r="522" spans="3:62" s="1" customFormat="1" ht="25.5" customHeight="1" x14ac:dyDescent="0.2">
      <c r="C522" s="602" t="str">
        <f>IF('Data Set up'!$J79=$F$497,'Data Set up'!$C79,"")</f>
        <v/>
      </c>
      <c r="D522" s="1565" t="str">
        <f>IF('Data Set up'!$J79=$F$497,'Data Set up'!$D79,"")</f>
        <v/>
      </c>
      <c r="E522" s="1565"/>
      <c r="F522" s="1565"/>
      <c r="G522" s="634" t="str">
        <f>IF('Data Set up'!$J79=$F$497,'Data Set up'!$F79,"")</f>
        <v/>
      </c>
      <c r="I522" s="610"/>
      <c r="J522" s="80"/>
      <c r="K522" s="80"/>
      <c r="L522" s="80"/>
      <c r="M522" s="80"/>
      <c r="N522" s="589"/>
      <c r="P522" s="80"/>
      <c r="Q522" s="80"/>
      <c r="R522" s="80"/>
      <c r="S522" s="80"/>
      <c r="T522" s="80"/>
      <c r="U522" s="80"/>
      <c r="V522" s="144"/>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c r="AW522" s="80"/>
      <c r="AX522" s="80"/>
      <c r="AY522" s="80"/>
      <c r="AZ522" s="80"/>
      <c r="BA522" s="80"/>
      <c r="BB522" s="80"/>
      <c r="BC522" s="80"/>
      <c r="BD522" s="80"/>
      <c r="BE522" s="80"/>
      <c r="BF522" s="80"/>
      <c r="BG522" s="80"/>
      <c r="BH522" s="80"/>
      <c r="BI522" s="80"/>
      <c r="BJ522" s="80"/>
    </row>
    <row r="523" spans="3:62" s="1" customFormat="1" ht="25.5" customHeight="1" x14ac:dyDescent="0.2">
      <c r="C523" s="602" t="str">
        <f>IF('Data Set up'!$J80=$F$497,'Data Set up'!$C80,"")</f>
        <v/>
      </c>
      <c r="D523" s="1565" t="str">
        <f>IF('Data Set up'!$J80=$F$497,'Data Set up'!$D80,"")</f>
        <v/>
      </c>
      <c r="E523" s="1565"/>
      <c r="F523" s="1565"/>
      <c r="G523" s="634" t="str">
        <f>IF('Data Set up'!$J80=$F$497,'Data Set up'!$F80,"")</f>
        <v/>
      </c>
      <c r="I523" s="610"/>
      <c r="J523" s="80"/>
      <c r="K523" s="80"/>
      <c r="L523" s="80"/>
      <c r="M523" s="80"/>
      <c r="N523" s="589"/>
      <c r="P523" s="80"/>
      <c r="Q523" s="80"/>
      <c r="R523" s="80"/>
      <c r="S523" s="80"/>
      <c r="T523" s="80"/>
      <c r="U523" s="80"/>
      <c r="V523" s="144"/>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c r="AW523" s="80"/>
      <c r="AX523" s="80"/>
      <c r="AY523" s="80"/>
      <c r="AZ523" s="80"/>
      <c r="BA523" s="80"/>
      <c r="BB523" s="80"/>
      <c r="BC523" s="80"/>
      <c r="BD523" s="80"/>
      <c r="BE523" s="80"/>
      <c r="BF523" s="80"/>
      <c r="BG523" s="80"/>
      <c r="BH523" s="80"/>
      <c r="BI523" s="80"/>
      <c r="BJ523" s="80"/>
    </row>
    <row r="524" spans="3:62" s="1" customFormat="1" ht="25.5" customHeight="1" x14ac:dyDescent="0.2">
      <c r="C524" s="602" t="str">
        <f>IF('Data Set up'!$J81=$F$497,'Data Set up'!$C81,"")</f>
        <v/>
      </c>
      <c r="D524" s="1565" t="str">
        <f>IF('Data Set up'!$J81=$F$497,'Data Set up'!$D81,"")</f>
        <v/>
      </c>
      <c r="E524" s="1565"/>
      <c r="F524" s="1565"/>
      <c r="G524" s="634" t="str">
        <f>IF('Data Set up'!$J81=$F$497,'Data Set up'!$F81,"")</f>
        <v/>
      </c>
      <c r="I524" s="610"/>
      <c r="J524" s="80"/>
      <c r="K524" s="80"/>
      <c r="L524" s="80"/>
      <c r="M524" s="80"/>
      <c r="N524" s="589"/>
      <c r="P524" s="80"/>
      <c r="Q524" s="80"/>
      <c r="R524" s="80"/>
      <c r="S524" s="80"/>
      <c r="T524" s="80"/>
      <c r="U524" s="80"/>
      <c r="V524" s="144"/>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c r="AW524" s="80"/>
      <c r="AX524" s="80"/>
      <c r="AY524" s="80"/>
      <c r="AZ524" s="80"/>
      <c r="BA524" s="80"/>
      <c r="BB524" s="80"/>
      <c r="BC524" s="80"/>
      <c r="BD524" s="80"/>
      <c r="BE524" s="80"/>
      <c r="BF524" s="80"/>
      <c r="BG524" s="80"/>
      <c r="BH524" s="80"/>
      <c r="BI524" s="80"/>
      <c r="BJ524" s="80"/>
    </row>
    <row r="525" spans="3:62" s="1" customFormat="1" ht="25.5" customHeight="1" x14ac:dyDescent="0.2">
      <c r="C525" s="602" t="str">
        <f>IF('Data Set up'!$J82=$F$497,'Data Set up'!$C82,"")</f>
        <v/>
      </c>
      <c r="D525" s="1565" t="str">
        <f>IF('Data Set up'!$J82=$F$497,'Data Set up'!$D82,"")</f>
        <v/>
      </c>
      <c r="E525" s="1565"/>
      <c r="F525" s="1565"/>
      <c r="G525" s="634" t="str">
        <f>IF('Data Set up'!$J82=$F$497,'Data Set up'!$F82,"")</f>
        <v/>
      </c>
      <c r="I525" s="610"/>
      <c r="J525" s="80"/>
      <c r="K525" s="80"/>
      <c r="L525" s="80"/>
      <c r="M525" s="80"/>
      <c r="N525" s="589"/>
      <c r="P525" s="80"/>
      <c r="Q525" s="80"/>
      <c r="R525" s="80"/>
      <c r="S525" s="80"/>
      <c r="T525" s="80"/>
      <c r="U525" s="80"/>
      <c r="V525" s="144"/>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c r="AW525" s="80"/>
      <c r="AX525" s="80"/>
      <c r="AY525" s="80"/>
      <c r="AZ525" s="80"/>
      <c r="BA525" s="80"/>
      <c r="BB525" s="80"/>
      <c r="BC525" s="80"/>
      <c r="BD525" s="80"/>
      <c r="BE525" s="80"/>
      <c r="BF525" s="80"/>
      <c r="BG525" s="80"/>
      <c r="BH525" s="80"/>
      <c r="BI525" s="80"/>
      <c r="BJ525" s="80"/>
    </row>
    <row r="526" spans="3:62" s="1" customFormat="1" ht="25.5" customHeight="1" x14ac:dyDescent="0.2">
      <c r="C526" s="602" t="str">
        <f>IF('Data Set up'!$J83=$F$497,'Data Set up'!$C83,"")</f>
        <v/>
      </c>
      <c r="D526" s="1565" t="str">
        <f>IF('Data Set up'!$J83=$F$497,'Data Set up'!$D83,"")</f>
        <v/>
      </c>
      <c r="E526" s="1565"/>
      <c r="F526" s="1565"/>
      <c r="G526" s="634" t="str">
        <f>IF('Data Set up'!$J83=$F$497,'Data Set up'!$F83,"")</f>
        <v/>
      </c>
      <c r="I526" s="611"/>
      <c r="J526" s="649"/>
      <c r="K526" s="649"/>
      <c r="L526" s="649"/>
      <c r="M526" s="649"/>
      <c r="N526" s="589"/>
      <c r="P526" s="80"/>
      <c r="Q526" s="80"/>
      <c r="R526" s="80"/>
      <c r="S526" s="80"/>
      <c r="T526" s="80"/>
      <c r="U526" s="80"/>
      <c r="V526" s="144"/>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c r="AW526" s="80"/>
      <c r="AX526" s="80"/>
      <c r="AY526" s="80"/>
      <c r="AZ526" s="80"/>
      <c r="BA526" s="80"/>
      <c r="BB526" s="80"/>
      <c r="BC526" s="80"/>
      <c r="BD526" s="80"/>
      <c r="BE526" s="80"/>
      <c r="BF526" s="80"/>
      <c r="BG526" s="80"/>
      <c r="BH526" s="80"/>
      <c r="BI526" s="80"/>
      <c r="BJ526" s="80"/>
    </row>
    <row r="527" spans="3:62" s="1" customFormat="1" ht="25.5" customHeight="1" x14ac:dyDescent="0.2">
      <c r="C527" s="602" t="str">
        <f>IF('Data Set up'!$J84=$F$497,'Data Set up'!$C84,"")</f>
        <v/>
      </c>
      <c r="D527" s="1565" t="str">
        <f>IF('Data Set up'!$J84=$F$497,'Data Set up'!$D84,"")</f>
        <v/>
      </c>
      <c r="E527" s="1565"/>
      <c r="F527" s="1565"/>
      <c r="G527" s="634" t="str">
        <f>IF('Data Set up'!$J84=$F$497,'Data Set up'!$F84,"")</f>
        <v/>
      </c>
      <c r="I527" s="612"/>
      <c r="J527" s="649"/>
      <c r="K527" s="649"/>
      <c r="L527" s="649"/>
      <c r="M527" s="649"/>
      <c r="N527" s="589"/>
      <c r="P527" s="80"/>
      <c r="Q527" s="80"/>
      <c r="R527" s="80"/>
      <c r="S527" s="80"/>
      <c r="T527" s="80"/>
      <c r="U527" s="80"/>
      <c r="V527" s="144"/>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c r="AW527" s="80"/>
      <c r="AX527" s="80"/>
      <c r="AY527" s="80"/>
      <c r="AZ527" s="80"/>
      <c r="BA527" s="80"/>
      <c r="BB527" s="80"/>
      <c r="BC527" s="80"/>
      <c r="BD527" s="80"/>
      <c r="BE527" s="80"/>
      <c r="BF527" s="80"/>
      <c r="BG527" s="80"/>
      <c r="BH527" s="80"/>
      <c r="BI527" s="80"/>
      <c r="BJ527" s="80"/>
    </row>
    <row r="528" spans="3:62" s="1" customFormat="1" ht="25.5" customHeight="1" x14ac:dyDescent="0.2">
      <c r="C528" s="602" t="str">
        <f>IF('Data Set up'!$J85=$F$497,'Data Set up'!$C85,"")</f>
        <v/>
      </c>
      <c r="D528" s="1565" t="str">
        <f>IF('Data Set up'!$J85=$F$497,'Data Set up'!$D85,"")</f>
        <v/>
      </c>
      <c r="E528" s="1565"/>
      <c r="F528" s="1565"/>
      <c r="G528" s="634" t="str">
        <f>IF('Data Set up'!$J85=$F$497,'Data Set up'!$F85,"")</f>
        <v/>
      </c>
      <c r="I528" s="611"/>
      <c r="J528" s="649"/>
      <c r="K528" s="649"/>
      <c r="L528" s="649"/>
      <c r="M528" s="649"/>
      <c r="N528" s="589"/>
      <c r="P528" s="80"/>
      <c r="Q528" s="80"/>
      <c r="R528" s="80"/>
      <c r="S528" s="80"/>
      <c r="T528" s="80"/>
      <c r="U528" s="80"/>
      <c r="V528" s="144"/>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c r="AW528" s="80"/>
      <c r="AX528" s="80"/>
      <c r="AY528" s="80"/>
      <c r="AZ528" s="80"/>
      <c r="BA528" s="80"/>
      <c r="BB528" s="80"/>
      <c r="BC528" s="80"/>
      <c r="BD528" s="80"/>
      <c r="BE528" s="80"/>
      <c r="BF528" s="80"/>
      <c r="BG528" s="80"/>
      <c r="BH528" s="80"/>
      <c r="BI528" s="80"/>
      <c r="BJ528" s="80"/>
    </row>
    <row r="529" spans="3:70" s="1" customFormat="1" ht="25.5" customHeight="1" x14ac:dyDescent="0.2">
      <c r="C529" s="602" t="str">
        <f>IF('Data Set up'!$J86=$F$497,'Data Set up'!$C86,"")</f>
        <v/>
      </c>
      <c r="D529" s="1565" t="str">
        <f>IF('Data Set up'!$J86=$F$497,'Data Set up'!$D86,"")</f>
        <v/>
      </c>
      <c r="E529" s="1565"/>
      <c r="F529" s="1565"/>
      <c r="G529" s="634" t="str">
        <f>IF('Data Set up'!$J86=$F$497,'Data Set up'!$F86,"")</f>
        <v/>
      </c>
      <c r="I529" s="611"/>
      <c r="J529" s="650"/>
      <c r="K529" s="650"/>
      <c r="L529" s="650"/>
      <c r="M529" s="650"/>
      <c r="N529" s="589"/>
      <c r="P529" s="80"/>
      <c r="Q529" s="80"/>
      <c r="R529" s="80"/>
      <c r="S529" s="80"/>
      <c r="T529" s="80"/>
      <c r="U529" s="80"/>
      <c r="V529" s="144"/>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c r="AW529" s="80"/>
      <c r="AX529" s="80"/>
      <c r="AY529" s="80"/>
      <c r="AZ529" s="80"/>
      <c r="BA529" s="80"/>
      <c r="BB529" s="80"/>
      <c r="BC529" s="80"/>
      <c r="BD529" s="80"/>
      <c r="BE529" s="80"/>
      <c r="BF529" s="80"/>
      <c r="BG529" s="80"/>
      <c r="BH529" s="80"/>
      <c r="BI529" s="80"/>
      <c r="BJ529" s="80"/>
    </row>
    <row r="530" spans="3:70" s="1" customFormat="1" ht="25.5" customHeight="1" x14ac:dyDescent="0.2">
      <c r="C530" s="602" t="str">
        <f>IF('Data Set up'!$J87=$F$497,'Data Set up'!$C87,"")</f>
        <v/>
      </c>
      <c r="D530" s="1565" t="str">
        <f>IF('Data Set up'!$J87=$F$497,'Data Set up'!$D87,"")</f>
        <v/>
      </c>
      <c r="E530" s="1565"/>
      <c r="F530" s="1565"/>
      <c r="G530" s="634" t="str">
        <f>IF('Data Set up'!$J87=$F$497,'Data Set up'!$F87,"")</f>
        <v/>
      </c>
      <c r="I530" s="143"/>
      <c r="J530" s="80"/>
      <c r="K530" s="80"/>
      <c r="L530" s="80"/>
      <c r="M530" s="80"/>
      <c r="N530" s="589"/>
      <c r="P530" s="80"/>
      <c r="Q530" s="80"/>
      <c r="R530" s="80"/>
      <c r="S530" s="80"/>
      <c r="T530" s="80"/>
      <c r="U530" s="80"/>
      <c r="V530" s="144"/>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c r="AW530" s="80"/>
      <c r="AX530" s="80"/>
      <c r="AY530" s="80"/>
      <c r="AZ530" s="80"/>
      <c r="BA530" s="80"/>
      <c r="BB530" s="80"/>
      <c r="BC530" s="80"/>
      <c r="BD530" s="80"/>
      <c r="BE530" s="80"/>
      <c r="BF530" s="80"/>
      <c r="BG530" s="80"/>
      <c r="BH530" s="80"/>
      <c r="BI530" s="80"/>
      <c r="BJ530" s="80"/>
    </row>
    <row r="531" spans="3:70" s="1" customFormat="1" ht="25.5" customHeight="1" x14ac:dyDescent="0.2">
      <c r="C531" s="602" t="str">
        <f>IF('Data Set up'!$J88=$F$497,'Data Set up'!$C88,"")</f>
        <v/>
      </c>
      <c r="D531" s="1565" t="str">
        <f>IF('Data Set up'!$J88=$F$497,'Data Set up'!$D88,"")</f>
        <v/>
      </c>
      <c r="E531" s="1565"/>
      <c r="F531" s="1565"/>
      <c r="G531" s="634" t="str">
        <f>IF('Data Set up'!$J88=$F$497,'Data Set up'!$F88,"")</f>
        <v/>
      </c>
      <c r="I531" s="143"/>
      <c r="J531" s="80"/>
      <c r="K531" s="80"/>
      <c r="L531" s="80"/>
      <c r="M531" s="80"/>
      <c r="N531" s="589"/>
      <c r="P531" s="80"/>
      <c r="Q531" s="80"/>
      <c r="R531" s="80"/>
      <c r="S531" s="80"/>
      <c r="T531" s="80"/>
      <c r="U531" s="80"/>
      <c r="V531" s="144"/>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c r="AW531" s="80"/>
      <c r="AX531" s="80"/>
      <c r="AY531" s="80"/>
      <c r="AZ531" s="80"/>
      <c r="BA531" s="80"/>
      <c r="BB531" s="80"/>
      <c r="BC531" s="80"/>
      <c r="BD531" s="80"/>
      <c r="BE531" s="80"/>
      <c r="BF531" s="80"/>
      <c r="BG531" s="80"/>
      <c r="BH531" s="80"/>
      <c r="BI531" s="80"/>
      <c r="BJ531" s="80"/>
    </row>
    <row r="532" spans="3:70" s="1" customFormat="1" ht="25.5" customHeight="1" x14ac:dyDescent="0.2">
      <c r="C532" s="1554" t="str">
        <f>IF($Q$2=2,"Montant non-comptabilisé de l'année précédente","Previous Year's non-accounted Amount")</f>
        <v>Previous Year's non-accounted Amount</v>
      </c>
      <c r="D532" s="1554"/>
      <c r="E532" s="1554"/>
      <c r="F532" s="1554"/>
      <c r="G532" s="582">
        <f>SUM(G504:G516)-SUM(G519:G531)</f>
        <v>0</v>
      </c>
      <c r="I532" s="330"/>
      <c r="J532" s="80"/>
      <c r="K532" s="80"/>
      <c r="L532" s="80"/>
      <c r="M532" s="80"/>
      <c r="N532" s="589"/>
      <c r="P532" s="80"/>
      <c r="Q532" s="80"/>
      <c r="R532" s="80"/>
      <c r="S532" s="80"/>
      <c r="T532" s="80"/>
      <c r="U532" s="80"/>
      <c r="V532" s="144"/>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c r="AW532" s="80"/>
      <c r="AX532" s="80"/>
      <c r="AY532" s="80"/>
      <c r="AZ532" s="80"/>
      <c r="BA532" s="80"/>
      <c r="BB532" s="80"/>
      <c r="BC532" s="80"/>
      <c r="BD532" s="80"/>
      <c r="BE532" s="80"/>
      <c r="BF532" s="80"/>
      <c r="BG532" s="80"/>
      <c r="BH532" s="80"/>
      <c r="BI532" s="80"/>
      <c r="BJ532" s="80"/>
    </row>
    <row r="533" spans="3:70" s="1" customFormat="1" ht="25.5" customHeight="1" x14ac:dyDescent="0.2">
      <c r="C533" s="1537" t="str">
        <f>IF($Q$2=2,F497&amp;" Fonds disponible du compte",F497&amp;" Account Available Funds")</f>
        <v>2210 Account Available Funds</v>
      </c>
      <c r="D533" s="1537"/>
      <c r="E533" s="1537"/>
      <c r="F533" s="1537"/>
      <c r="G533" s="588"/>
      <c r="I533" s="143"/>
      <c r="J533" s="80"/>
      <c r="K533" s="80"/>
      <c r="L533" s="80"/>
      <c r="M533" s="80"/>
      <c r="N533" s="589"/>
      <c r="P533" s="80"/>
      <c r="Q533" s="80"/>
      <c r="R533" s="80"/>
      <c r="S533" s="80"/>
      <c r="T533" s="80"/>
      <c r="U533" s="80"/>
      <c r="V533" s="144"/>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0"/>
    </row>
    <row r="534" spans="3:70" s="1" customFormat="1" ht="25.5" customHeight="1" x14ac:dyDescent="0.2">
      <c r="C534" s="1558" t="str">
        <f>IF($Q$2=2,"Solde reporté à la ligne "&amp;F497&amp;" du Bilan - page 6","This balance fwrd'd to line "&amp;F497&amp;" of Balance Sheet -  page 6")</f>
        <v>This balance fwrd'd to line 2210 of Balance Sheet -  page 6</v>
      </c>
      <c r="D534" s="1558"/>
      <c r="E534" s="1558"/>
      <c r="F534" s="1558"/>
      <c r="G534" s="590">
        <f>IF(AND(SUM(G498-G499+G500-G532)&lt;0.001,SUM(G498-G499+G500-G532)&gt;-0.001),0,SUM(G498-G499+G500-G532))</f>
        <v>0</v>
      </c>
      <c r="H534" s="398"/>
      <c r="J534" s="355"/>
      <c r="K534" s="355"/>
      <c r="L534" s="355"/>
      <c r="M534" s="591"/>
      <c r="N534" s="590">
        <f>N504</f>
        <v>0</v>
      </c>
      <c r="P534" s="80"/>
      <c r="Q534" s="80"/>
      <c r="R534" s="80"/>
      <c r="S534" s="80"/>
      <c r="T534" s="80"/>
      <c r="U534" s="80"/>
      <c r="V534" s="144"/>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c r="AW534" s="80"/>
      <c r="AX534" s="80"/>
      <c r="AY534" s="80"/>
      <c r="AZ534" s="80"/>
      <c r="BA534" s="80"/>
      <c r="BB534" s="80"/>
      <c r="BC534" s="80"/>
      <c r="BD534" s="80"/>
      <c r="BE534" s="80"/>
      <c r="BF534" s="80"/>
      <c r="BG534" s="80"/>
      <c r="BH534" s="80"/>
      <c r="BI534" s="80"/>
      <c r="BJ534" s="80"/>
    </row>
    <row r="535" spans="3:70" s="1" customFormat="1" ht="9.75" customHeight="1" x14ac:dyDescent="0.2">
      <c r="F535" s="592"/>
      <c r="J535" s="586"/>
      <c r="M535" s="593"/>
      <c r="P535" s="80"/>
      <c r="Q535" s="80"/>
      <c r="R535" s="80"/>
      <c r="S535" s="80"/>
      <c r="T535" s="80"/>
      <c r="U535" s="80"/>
      <c r="V535" s="144"/>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c r="AW535" s="80"/>
      <c r="AX535" s="80"/>
      <c r="AY535" s="80"/>
      <c r="AZ535" s="80"/>
      <c r="BA535" s="80"/>
      <c r="BB535" s="80"/>
      <c r="BC535" s="80"/>
      <c r="BD535" s="80"/>
      <c r="BE535" s="80"/>
      <c r="BF535" s="80"/>
      <c r="BG535" s="80"/>
      <c r="BH535" s="80"/>
      <c r="BI535" s="80"/>
      <c r="BJ535" s="80"/>
    </row>
    <row r="536" spans="3:70" s="1" customFormat="1" ht="9.75" customHeight="1" x14ac:dyDescent="0.2">
      <c r="C536" s="355"/>
      <c r="D536" s="355"/>
      <c r="E536" s="355"/>
      <c r="F536" s="355"/>
      <c r="G536" s="355"/>
      <c r="H536" s="355"/>
      <c r="I536" s="355"/>
      <c r="J536" s="355"/>
      <c r="K536" s="355"/>
      <c r="L536" s="355"/>
      <c r="M536" s="355"/>
      <c r="P536" s="80"/>
      <c r="Q536" s="80"/>
      <c r="R536" s="80"/>
      <c r="S536" s="80"/>
      <c r="T536" s="80"/>
      <c r="U536" s="80"/>
      <c r="V536" s="144"/>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0"/>
      <c r="BA536" s="80"/>
      <c r="BB536" s="80"/>
      <c r="BC536" s="80"/>
      <c r="BD536" s="80"/>
      <c r="BE536" s="80"/>
      <c r="BF536" s="80"/>
      <c r="BG536" s="80"/>
      <c r="BH536" s="80"/>
      <c r="BI536" s="80"/>
      <c r="BJ536" s="80"/>
    </row>
    <row r="537" spans="3:70" s="1" customFormat="1" ht="44.25" customHeight="1" x14ac:dyDescent="0.2">
      <c r="C537" s="1539"/>
      <c r="D537" s="1539"/>
      <c r="E537" s="1539"/>
      <c r="F537" s="1539"/>
      <c r="G537" s="595">
        <f>IF(AND(G534-N534&lt;0.001,G534-N534&gt;-0.001),0,G534-N534)</f>
        <v>0</v>
      </c>
      <c r="H537" s="1540" t="str">
        <f>IF($Q$2=2,IF(G537=0,$T$7,$T$5),IF(G537=0,$T$8,$T$6))</f>
        <v>Books and Statements balance.</v>
      </c>
      <c r="I537" s="1540"/>
      <c r="J537" s="1540"/>
      <c r="K537" s="1540"/>
      <c r="L537" s="1540"/>
      <c r="M537" s="1540"/>
      <c r="N537" s="1540"/>
      <c r="P537" s="80"/>
      <c r="Q537" s="80"/>
      <c r="R537" s="80"/>
      <c r="S537" s="80"/>
      <c r="T537" s="80"/>
      <c r="U537" s="80"/>
      <c r="V537" s="144"/>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c r="AW537" s="80"/>
      <c r="AX537" s="80"/>
      <c r="AY537" s="80"/>
      <c r="AZ537" s="80"/>
      <c r="BA537" s="80"/>
      <c r="BB537" s="80"/>
      <c r="BC537" s="80"/>
      <c r="BD537" s="80"/>
      <c r="BE537" s="80"/>
      <c r="BF537" s="80"/>
      <c r="BG537" s="80"/>
      <c r="BH537" s="80"/>
      <c r="BI537" s="80"/>
      <c r="BJ537" s="80"/>
    </row>
    <row r="538" spans="3:70" s="1" customFormat="1" ht="33" customHeight="1" x14ac:dyDescent="0.2">
      <c r="C538" s="594"/>
      <c r="D538" s="594"/>
      <c r="E538" s="594"/>
      <c r="F538" s="594"/>
      <c r="G538" s="596"/>
      <c r="H538" s="597"/>
      <c r="I538" s="597"/>
      <c r="J538" s="597"/>
      <c r="K538" s="597"/>
      <c r="L538" s="597"/>
      <c r="M538" s="597"/>
      <c r="N538" s="597"/>
      <c r="P538" s="80"/>
      <c r="Q538" s="80"/>
      <c r="R538" s="80"/>
      <c r="S538" s="80"/>
      <c r="T538" s="80"/>
      <c r="U538" s="80"/>
      <c r="V538" s="144"/>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c r="AW538" s="80"/>
      <c r="AX538" s="80"/>
      <c r="AY538" s="80"/>
      <c r="AZ538" s="80"/>
      <c r="BA538" s="80"/>
      <c r="BB538" s="80"/>
      <c r="BC538" s="80"/>
      <c r="BD538" s="80"/>
      <c r="BE538" s="80"/>
      <c r="BF538" s="80"/>
      <c r="BG538" s="80"/>
      <c r="BH538" s="80"/>
      <c r="BI538" s="80"/>
      <c r="BJ538" s="80"/>
    </row>
    <row r="539" spans="3:70" ht="18.75" customHeight="1" x14ac:dyDescent="0.2">
      <c r="C539" s="1541"/>
      <c r="D539" s="1541"/>
      <c r="E539" s="1541"/>
      <c r="F539" s="1541"/>
      <c r="G539" s="1541"/>
      <c r="H539" s="1541"/>
      <c r="I539" s="1541"/>
      <c r="J539" s="1541"/>
      <c r="K539" s="1541"/>
      <c r="L539" s="1541"/>
      <c r="M539" s="1541"/>
      <c r="N539" s="1541"/>
      <c r="BK539" s="568"/>
      <c r="BL539" s="568"/>
      <c r="BM539" s="568"/>
    </row>
    <row r="540" spans="3:70" s="1" customFormat="1" ht="40.5" customHeight="1" x14ac:dyDescent="0.2">
      <c r="D540" s="1528" t="str">
        <f>IF($Q$2=2,"Réconciliation détaillée du compte "&amp;F542&amp;" - "&amp;C542,"Detailed Reconciliation of the Account "&amp;F542&amp;" - "&amp;C542)</f>
        <v>Detailed Reconciliation of the Account 2220 - Mortgage</v>
      </c>
      <c r="E540" s="1528"/>
      <c r="F540" s="1528"/>
      <c r="G540" s="1528"/>
      <c r="H540" s="1528"/>
      <c r="I540" s="1528"/>
      <c r="J540" s="1528"/>
      <c r="K540" s="1528"/>
      <c r="L540" s="1528"/>
      <c r="M540" s="1528"/>
      <c r="N540" s="577"/>
      <c r="P540" s="80"/>
      <c r="Q540" s="80"/>
      <c r="R540" s="80"/>
      <c r="S540" s="80"/>
      <c r="T540" s="80"/>
      <c r="U540" s="80"/>
      <c r="V540" s="144"/>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c r="AW540" s="80"/>
      <c r="AX540" s="80"/>
      <c r="AY540" s="80"/>
      <c r="AZ540" s="80"/>
      <c r="BA540" s="80"/>
      <c r="BB540" s="80"/>
      <c r="BC540" s="80"/>
      <c r="BD540" s="80"/>
      <c r="BE540" s="80"/>
      <c r="BF540" s="80"/>
      <c r="BG540" s="80"/>
      <c r="BH540" s="80"/>
      <c r="BI540" s="80"/>
      <c r="BJ540" s="80"/>
    </row>
    <row r="541" spans="3:70" s="1" customFormat="1" ht="29.25" customHeight="1" x14ac:dyDescent="0.2">
      <c r="C541" s="1529" t="str">
        <f>IF($Q$2=2,"Réconciliation selon les livres comptables","Reconciliation as per BookKeeping")</f>
        <v>Reconciliation as per BookKeeping</v>
      </c>
      <c r="D541" s="1529"/>
      <c r="E541" s="1529"/>
      <c r="F541" s="1529"/>
      <c r="G541" s="1529"/>
      <c r="I541" s="1529" t="str">
        <f>IF($Q$2=2,"Réconciliation selon l'état de compte","Reconciliation as per Account Statement")</f>
        <v>Reconciliation as per Account Statement</v>
      </c>
      <c r="J541" s="1529"/>
      <c r="K541" s="1529"/>
      <c r="L541" s="1529"/>
      <c r="M541" s="1529"/>
      <c r="N541" s="578" t="str">
        <f>F542</f>
        <v>2220</v>
      </c>
      <c r="P541" s="579"/>
      <c r="Q541" s="579"/>
      <c r="R541" s="579"/>
      <c r="S541" s="579"/>
      <c r="T541" s="579"/>
      <c r="U541" s="579"/>
      <c r="V541" s="47"/>
      <c r="W541" s="579"/>
      <c r="X541" s="579"/>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c r="AW541" s="80"/>
      <c r="AX541" s="80"/>
      <c r="AY541" s="80"/>
      <c r="AZ541" s="80"/>
      <c r="BA541" s="80"/>
      <c r="BB541" s="80"/>
      <c r="BC541" s="80"/>
      <c r="BD541" s="80"/>
      <c r="BE541" s="80"/>
      <c r="BF541" s="80"/>
      <c r="BG541" s="80"/>
      <c r="BH541" s="80"/>
      <c r="BI541" s="80"/>
      <c r="BJ541" s="80"/>
    </row>
    <row r="542" spans="3:70" s="1" customFormat="1" ht="25.5" customHeight="1" x14ac:dyDescent="0.2">
      <c r="C542" s="1542" t="str">
        <f>'Data Set up'!I35</f>
        <v>Mortgage</v>
      </c>
      <c r="D542" s="1542"/>
      <c r="E542" s="1542"/>
      <c r="F542" s="580" t="str">
        <f>LEFT('Data Set up'!H35,4)</f>
        <v>2220</v>
      </c>
      <c r="G542" s="355"/>
      <c r="I542" s="1531"/>
      <c r="J542" s="1531"/>
      <c r="K542" s="1531"/>
      <c r="L542" s="1531"/>
      <c r="M542" s="1531"/>
      <c r="N542" s="1531"/>
      <c r="P542" s="80"/>
      <c r="Q542" s="80"/>
      <c r="R542" s="80"/>
      <c r="S542" s="80"/>
      <c r="T542" s="80"/>
      <c r="U542" s="80"/>
      <c r="V542" s="144"/>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c r="AW542" s="80"/>
      <c r="AX542" s="80"/>
      <c r="AY542" s="80"/>
      <c r="AZ542" s="80"/>
      <c r="BA542" s="80"/>
      <c r="BB542" s="80"/>
      <c r="BC542" s="80"/>
      <c r="BD542" s="80"/>
      <c r="BE542" s="80"/>
      <c r="BF542" s="80"/>
      <c r="BG542" s="80"/>
      <c r="BH542" s="80"/>
      <c r="BI542" s="80"/>
      <c r="BJ542" s="80"/>
      <c r="BN542" s="648"/>
      <c r="BO542" s="648"/>
      <c r="BP542" s="648"/>
      <c r="BQ542" s="648"/>
      <c r="BR542" s="648"/>
    </row>
    <row r="543" spans="3:70" s="1" customFormat="1" ht="25.5" customHeight="1" x14ac:dyDescent="0.2">
      <c r="C543" s="1532" t="str">
        <f>IF($Q$2=2,"Solde du compte au ","Account Balance on ")</f>
        <v xml:space="preserve">Account Balance on </v>
      </c>
      <c r="D543" s="1532"/>
      <c r="E543" s="1532"/>
      <c r="F543" s="581" t="str">
        <f>'Data Set up'!$F$40&amp;" "&amp;'Data Set up'!$G$40&amp;" "&amp;'Data Set up'!$F$39</f>
        <v>31 August 2023</v>
      </c>
      <c r="G543" s="582">
        <f>'Data Set up'!F35</f>
        <v>0</v>
      </c>
      <c r="I543" s="1533" t="str">
        <f>IF($Q$2=2,"Solde au compte en fin d'exercice","End of Year Account Balance")</f>
        <v>End of Year Account Balance</v>
      </c>
      <c r="J543" s="1533"/>
      <c r="K543" s="1533"/>
      <c r="L543" s="1533"/>
      <c r="M543" s="1533"/>
      <c r="N543" s="583">
        <v>0</v>
      </c>
      <c r="P543" s="80"/>
      <c r="Q543" s="1534" t="str">
        <f>IF($Q$2=2,"Inscrivez le solde à payer ici","Insert the Balance payable here")</f>
        <v>Insert the Balance payable here</v>
      </c>
      <c r="R543" s="1534"/>
      <c r="S543" s="1534"/>
      <c r="T543" s="80"/>
      <c r="U543" s="585">
        <f>N543*1</f>
        <v>0</v>
      </c>
      <c r="V543" s="144"/>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c r="AW543" s="80"/>
      <c r="AX543" s="80"/>
      <c r="AY543" s="80"/>
      <c r="AZ543" s="80"/>
      <c r="BA543" s="80"/>
      <c r="BB543" s="80"/>
      <c r="BC543" s="80"/>
      <c r="BD543" s="80"/>
      <c r="BE543" s="80"/>
      <c r="BF543" s="80"/>
      <c r="BG543" s="80"/>
      <c r="BH543" s="80"/>
      <c r="BI543" s="80"/>
      <c r="BJ543" s="80"/>
      <c r="BN543" s="648"/>
      <c r="BO543" s="648"/>
      <c r="BP543" s="648"/>
      <c r="BQ543" s="648"/>
      <c r="BR543" s="648"/>
    </row>
    <row r="544" spans="3:70" s="1" customFormat="1" ht="25.5" customHeight="1" x14ac:dyDescent="0.2">
      <c r="C544" s="1535" t="str">
        <f>IF($Q$2=2,"Plus: Remboursements (Jrnl des revenus)","Plus: Reimbursements (Revenue Jrnl)")</f>
        <v>Plus: Reimbursements (Revenue Jrnl)</v>
      </c>
      <c r="D544" s="1535"/>
      <c r="E544" s="1535"/>
      <c r="F544" s="1535"/>
      <c r="G544" s="582">
        <f>'Revenue Jrnl'!G539</f>
        <v>0</v>
      </c>
      <c r="H544" s="586"/>
      <c r="I544" s="1544"/>
      <c r="J544" s="1544"/>
      <c r="K544" s="1544"/>
      <c r="L544" s="1544"/>
      <c r="M544" s="1544"/>
      <c r="N544" s="1544"/>
      <c r="P544" s="80"/>
      <c r="Q544" s="80"/>
      <c r="R544" s="80"/>
      <c r="S544" s="80"/>
      <c r="T544" s="80"/>
      <c r="U544" s="80"/>
      <c r="V544" s="144"/>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c r="AW544" s="80"/>
      <c r="AX544" s="80"/>
      <c r="AY544" s="80"/>
      <c r="AZ544" s="80"/>
      <c r="BA544" s="80"/>
      <c r="BB544" s="80"/>
      <c r="BC544" s="80"/>
      <c r="BD544" s="80"/>
      <c r="BE544" s="80"/>
      <c r="BF544" s="80"/>
      <c r="BG544" s="80"/>
      <c r="BH544" s="80"/>
      <c r="BI544" s="80"/>
      <c r="BJ544" s="80"/>
      <c r="BN544" s="648"/>
      <c r="BO544" s="648"/>
      <c r="BP544" s="648"/>
      <c r="BQ544" s="648"/>
      <c r="BR544" s="648"/>
    </row>
    <row r="545" spans="3:62" s="1" customFormat="1" ht="25.5" customHeight="1" x14ac:dyDescent="0.2">
      <c r="C545" s="1535" t="str">
        <f>IF($Q$2=2," Moins: Dépenses (Jrnl des dépenses)","Less: Expenses (Expense Jrnl)")</f>
        <v>Less: Expenses (Expense Jrnl)</v>
      </c>
      <c r="D545" s="1535"/>
      <c r="E545" s="1535"/>
      <c r="F545" s="1535"/>
      <c r="G545" s="582">
        <f>'Expense Jrnl'!G539</f>
        <v>0</v>
      </c>
      <c r="I545" s="1545" t="str">
        <f>IF($Q$2=2,"Plus: Remb. faits mais pas réconciliés","Plus: Reimb. made but not reconciled")</f>
        <v>Plus: Reimb. made but not reconciled</v>
      </c>
      <c r="J545" s="1545"/>
      <c r="K545" s="1545"/>
      <c r="L545" s="1545"/>
      <c r="M545" s="1545"/>
      <c r="N545" s="600">
        <f>'Revenue Jrnl'!H539</f>
        <v>0</v>
      </c>
      <c r="P545" s="80"/>
      <c r="Q545" s="80"/>
      <c r="R545" s="80"/>
      <c r="S545" s="80"/>
      <c r="T545" s="80"/>
      <c r="U545" s="80"/>
      <c r="V545" s="144"/>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c r="AW545" s="80"/>
      <c r="AX545" s="80"/>
      <c r="AY545" s="80"/>
      <c r="AZ545" s="80"/>
      <c r="BA545" s="80"/>
      <c r="BB545" s="80"/>
      <c r="BC545" s="80"/>
      <c r="BD545" s="80"/>
      <c r="BE545" s="80"/>
      <c r="BF545" s="80"/>
      <c r="BG545" s="80"/>
      <c r="BH545" s="80"/>
      <c r="BI545" s="80"/>
      <c r="BJ545" s="80"/>
    </row>
    <row r="546" spans="3:62" s="1" customFormat="1" ht="25.5" customHeight="1" x14ac:dyDescent="0.2">
      <c r="C546" s="1536"/>
      <c r="D546" s="1536"/>
      <c r="E546" s="1536"/>
      <c r="F546" s="1536"/>
      <c r="H546" s="586"/>
      <c r="I546" s="1544"/>
      <c r="J546" s="1544"/>
      <c r="K546" s="1544"/>
      <c r="L546" s="1544"/>
      <c r="M546" s="1544"/>
      <c r="N546" s="1544"/>
      <c r="P546" s="80"/>
      <c r="Q546" s="80"/>
      <c r="R546" s="80"/>
      <c r="S546" s="80"/>
      <c r="T546" s="80"/>
      <c r="U546" s="80"/>
      <c r="V546" s="144"/>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0"/>
      <c r="BH546" s="80"/>
      <c r="BI546" s="80"/>
      <c r="BJ546" s="80"/>
    </row>
    <row r="547" spans="3:62" s="1" customFormat="1" ht="25.5" customHeight="1" x14ac:dyDescent="0.2">
      <c r="C547" s="1546" t="str">
        <f>IF($Q$2=2,"Remboursements de l'année précédente (non traités dans l'année précédente)","Previous Year's Reimbursements (not processed in prev year)")</f>
        <v>Previous Year's Reimbursements (not processed in prev year)</v>
      </c>
      <c r="D547" s="1546"/>
      <c r="E547" s="1546"/>
      <c r="F547" s="1546"/>
      <c r="G547" s="1546"/>
      <c r="I547" s="1547" t="str">
        <f>IF($Q$2=2,"Moins: Dépenses effectuées mais non encore enr.","Less: Expenses made but not processed")</f>
        <v>Less: Expenses made but not processed</v>
      </c>
      <c r="J547" s="1547"/>
      <c r="K547" s="1547"/>
      <c r="L547" s="1547"/>
      <c r="M547" s="1547"/>
      <c r="N547" s="600">
        <f>'Expense Jrnl'!H539</f>
        <v>0</v>
      </c>
      <c r="P547" s="80"/>
      <c r="Q547" s="80"/>
      <c r="R547" s="80"/>
      <c r="S547" s="80"/>
      <c r="T547" s="80"/>
      <c r="U547" s="80"/>
      <c r="V547" s="144"/>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c r="AW547" s="80"/>
      <c r="AX547" s="80"/>
      <c r="AY547" s="80"/>
      <c r="AZ547" s="80"/>
      <c r="BA547" s="80"/>
      <c r="BB547" s="80"/>
      <c r="BC547" s="80"/>
      <c r="BD547" s="80"/>
      <c r="BE547" s="80"/>
      <c r="BF547" s="80"/>
      <c r="BG547" s="80"/>
      <c r="BH547" s="80"/>
      <c r="BI547" s="80"/>
      <c r="BJ547" s="80"/>
    </row>
    <row r="548" spans="3:62" s="1" customFormat="1" ht="25.5" customHeight="1" x14ac:dyDescent="0.2">
      <c r="C548" s="601" t="str">
        <f>IF($Q$2=2,"Chèque #","Cheque #")</f>
        <v>Cheque #</v>
      </c>
      <c r="D548" s="1548" t="str">
        <f>IF($Q$2=2,"Détails","Details")</f>
        <v>Details</v>
      </c>
      <c r="E548" s="1548"/>
      <c r="F548" s="1548"/>
      <c r="G548" s="601" t="str">
        <f>IF($Q$2=2,"Montant","Amount")</f>
        <v>Amount</v>
      </c>
      <c r="I548" s="1544"/>
      <c r="J548" s="1544"/>
      <c r="K548" s="1544"/>
      <c r="L548" s="1544"/>
      <c r="M548" s="1544"/>
      <c r="N548" s="1544"/>
      <c r="P548" s="80"/>
      <c r="Q548" s="80"/>
      <c r="R548" s="80"/>
      <c r="S548" s="80"/>
      <c r="T548" s="80"/>
      <c r="U548" s="80"/>
      <c r="V548" s="144"/>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c r="AW548" s="80"/>
      <c r="AX548" s="80"/>
      <c r="AY548" s="80"/>
      <c r="AZ548" s="80"/>
      <c r="BA548" s="80"/>
      <c r="BB548" s="80"/>
      <c r="BC548" s="80"/>
      <c r="BD548" s="80"/>
      <c r="BE548" s="80"/>
      <c r="BF548" s="80"/>
      <c r="BG548" s="80"/>
      <c r="BH548" s="80"/>
      <c r="BI548" s="80"/>
      <c r="BJ548" s="80"/>
    </row>
    <row r="549" spans="3:62" s="1" customFormat="1" ht="25.5" customHeight="1" x14ac:dyDescent="0.2">
      <c r="C549" s="602" t="str">
        <f>IF('Data Set up'!$J59=$F$542,'Data Set up'!$C59,"")</f>
        <v/>
      </c>
      <c r="D549" s="1565" t="str">
        <f>IF('Data Set up'!$J59=$F$542,'Data Set up'!$D59,"")</f>
        <v/>
      </c>
      <c r="E549" s="1565"/>
      <c r="F549" s="1565"/>
      <c r="G549" s="634" t="str">
        <f>IF('Data Set up'!$J59=$F$542,'Data Set up'!$F59,"")</f>
        <v/>
      </c>
      <c r="I549" s="1547" t="str">
        <f>IF($Q$2=2,"Solde engagé actuel du compte (reconcilié)","Actual Credit balance committed (reconciled)")</f>
        <v>Actual Credit balance committed (reconciled)</v>
      </c>
      <c r="J549" s="1547"/>
      <c r="K549" s="1547"/>
      <c r="L549" s="1547"/>
      <c r="M549" s="1547"/>
      <c r="N549" s="590">
        <f>N543-N545+N547</f>
        <v>0</v>
      </c>
      <c r="P549" s="80"/>
      <c r="Q549" s="80"/>
      <c r="R549" s="80"/>
      <c r="S549" s="80"/>
      <c r="T549" s="80"/>
      <c r="U549" s="80"/>
      <c r="V549" s="144"/>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c r="AW549" s="80"/>
      <c r="AX549" s="80"/>
      <c r="AY549" s="80"/>
      <c r="AZ549" s="80"/>
      <c r="BA549" s="80"/>
      <c r="BB549" s="80"/>
      <c r="BC549" s="80"/>
      <c r="BD549" s="80"/>
      <c r="BE549" s="80"/>
      <c r="BF549" s="80"/>
      <c r="BG549" s="80"/>
      <c r="BH549" s="80"/>
      <c r="BI549" s="80"/>
      <c r="BJ549" s="80"/>
    </row>
    <row r="550" spans="3:62" s="1" customFormat="1" ht="25.5" customHeight="1" x14ac:dyDescent="0.2">
      <c r="C550" s="602" t="str">
        <f>IF('Data Set up'!$J60=$F$542,'Data Set up'!$C60,"")</f>
        <v/>
      </c>
      <c r="D550" s="1565" t="str">
        <f>IF('Data Set up'!$J60=$F$542,'Data Set up'!$D60,"")</f>
        <v/>
      </c>
      <c r="E550" s="1565"/>
      <c r="F550" s="1565"/>
      <c r="G550" s="634" t="str">
        <f>IF('Data Set up'!$J60=$F$542,'Data Set up'!$F60,"")</f>
        <v/>
      </c>
      <c r="P550" s="80"/>
      <c r="Q550" s="80"/>
      <c r="R550" s="80"/>
      <c r="S550" s="80"/>
      <c r="T550" s="80"/>
      <c r="U550" s="80"/>
      <c r="V550" s="144"/>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0"/>
      <c r="BH550" s="80"/>
      <c r="BI550" s="80"/>
      <c r="BJ550" s="80"/>
    </row>
    <row r="551" spans="3:62" s="1" customFormat="1" ht="25.5" customHeight="1" x14ac:dyDescent="0.2">
      <c r="C551" s="602" t="str">
        <f>IF('Data Set up'!$J61=$F$542,'Data Set up'!$C61,"")</f>
        <v/>
      </c>
      <c r="D551" s="1565" t="str">
        <f>IF('Data Set up'!$J61=$F$542,'Data Set up'!$D61,"")</f>
        <v/>
      </c>
      <c r="E551" s="1565"/>
      <c r="F551" s="1565"/>
      <c r="G551" s="634" t="str">
        <f>IF('Data Set up'!$J61=$F$542,'Data Set up'!$F61,"")</f>
        <v/>
      </c>
      <c r="I551" s="144"/>
      <c r="J551" s="80"/>
      <c r="K551" s="80"/>
      <c r="L551" s="80"/>
      <c r="M551" s="80"/>
      <c r="N551" s="144"/>
      <c r="P551" s="80"/>
      <c r="Q551" s="80"/>
      <c r="R551" s="80"/>
      <c r="S551" s="80"/>
      <c r="T551" s="80"/>
      <c r="U551" s="80"/>
      <c r="V551" s="144"/>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c r="AW551" s="80"/>
      <c r="AX551" s="80"/>
      <c r="AY551" s="80"/>
      <c r="AZ551" s="80"/>
      <c r="BA551" s="80"/>
      <c r="BB551" s="80"/>
      <c r="BC551" s="80"/>
      <c r="BD551" s="80"/>
      <c r="BE551" s="80"/>
      <c r="BF551" s="80"/>
      <c r="BG551" s="80"/>
      <c r="BH551" s="80"/>
      <c r="BI551" s="80"/>
      <c r="BJ551" s="80"/>
    </row>
    <row r="552" spans="3:62" s="1" customFormat="1" ht="25.5" customHeight="1" x14ac:dyDescent="0.2">
      <c r="C552" s="602" t="str">
        <f>IF('Data Set up'!$J62=$F$542,'Data Set up'!$C62,"")</f>
        <v/>
      </c>
      <c r="D552" s="1565" t="str">
        <f>IF('Data Set up'!$J62=$F$542,'Data Set up'!$D62,"")</f>
        <v/>
      </c>
      <c r="E552" s="1565"/>
      <c r="F552" s="1565"/>
      <c r="G552" s="634" t="str">
        <f>IF('Data Set up'!$J62=$F$542,'Data Set up'!$F62,"")</f>
        <v/>
      </c>
      <c r="I552" s="144"/>
      <c r="J552" s="80"/>
      <c r="K552" s="80"/>
      <c r="L552" s="80"/>
      <c r="M552" s="80"/>
      <c r="N552" s="144"/>
      <c r="P552" s="80"/>
      <c r="Q552" s="80"/>
      <c r="R552" s="80"/>
      <c r="S552" s="80"/>
      <c r="T552" s="80"/>
      <c r="U552" s="80"/>
      <c r="V552" s="144"/>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0"/>
      <c r="BH552" s="80"/>
      <c r="BI552" s="80"/>
      <c r="BJ552" s="80"/>
    </row>
    <row r="553" spans="3:62" s="1" customFormat="1" ht="25.5" customHeight="1" x14ac:dyDescent="0.2">
      <c r="C553" s="602" t="str">
        <f>IF('Data Set up'!$J63=$F$542,'Data Set up'!$C63,"")</f>
        <v/>
      </c>
      <c r="D553" s="1565" t="str">
        <f>IF('Data Set up'!$J63=$F$542,'Data Set up'!$D63,"")</f>
        <v/>
      </c>
      <c r="E553" s="1565"/>
      <c r="F553" s="1565"/>
      <c r="G553" s="634" t="str">
        <f>IF('Data Set up'!$J63=$F$542,'Data Set up'!$F63,"")</f>
        <v/>
      </c>
      <c r="I553" s="144"/>
      <c r="J553" s="80"/>
      <c r="K553" s="80"/>
      <c r="L553" s="80"/>
      <c r="M553" s="80"/>
      <c r="N553" s="144"/>
      <c r="P553" s="80"/>
      <c r="Q553" s="80"/>
      <c r="R553" s="80"/>
      <c r="S553" s="80"/>
      <c r="T553" s="80"/>
      <c r="U553" s="80"/>
      <c r="V553" s="144"/>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80"/>
      <c r="BB553" s="80"/>
      <c r="BC553" s="80"/>
      <c r="BD553" s="80"/>
      <c r="BE553" s="80"/>
      <c r="BF553" s="80"/>
      <c r="BG553" s="80"/>
      <c r="BH553" s="80"/>
      <c r="BI553" s="80"/>
      <c r="BJ553" s="80"/>
    </row>
    <row r="554" spans="3:62" s="1" customFormat="1" ht="25.5" customHeight="1" x14ac:dyDescent="0.2">
      <c r="C554" s="602" t="str">
        <f>IF('Data Set up'!$J64=$F$542,'Data Set up'!$C64,"")</f>
        <v/>
      </c>
      <c r="D554" s="1565" t="str">
        <f>IF('Data Set up'!$J64=$F$542,'Data Set up'!$D64,"")</f>
        <v/>
      </c>
      <c r="E554" s="1565"/>
      <c r="F554" s="1565"/>
      <c r="G554" s="634" t="str">
        <f>IF('Data Set up'!$J64=$F$542,'Data Set up'!$F64,"")</f>
        <v/>
      </c>
      <c r="I554" s="144"/>
      <c r="J554" s="80"/>
      <c r="K554" s="80"/>
      <c r="L554" s="80"/>
      <c r="M554" s="80"/>
      <c r="N554" s="144"/>
      <c r="P554" s="80"/>
      <c r="Q554" s="80"/>
      <c r="R554" s="80"/>
      <c r="S554" s="80"/>
      <c r="T554" s="80"/>
      <c r="U554" s="80"/>
      <c r="V554" s="144"/>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c r="AW554" s="80"/>
      <c r="AX554" s="80"/>
      <c r="AY554" s="80"/>
      <c r="AZ554" s="80"/>
      <c r="BA554" s="80"/>
      <c r="BB554" s="80"/>
      <c r="BC554" s="80"/>
      <c r="BD554" s="80"/>
      <c r="BE554" s="80"/>
      <c r="BF554" s="80"/>
      <c r="BG554" s="80"/>
      <c r="BH554" s="80"/>
      <c r="BI554" s="80"/>
      <c r="BJ554" s="80"/>
    </row>
    <row r="555" spans="3:62" s="1" customFormat="1" ht="25.5" customHeight="1" x14ac:dyDescent="0.2">
      <c r="C555" s="602" t="str">
        <f>IF('Data Set up'!$J65=$F$542,'Data Set up'!$C65,"")</f>
        <v/>
      </c>
      <c r="D555" s="1565" t="str">
        <f>IF('Data Set up'!$J65=$F$542,'Data Set up'!$D65,"")</f>
        <v/>
      </c>
      <c r="E555" s="1565"/>
      <c r="F555" s="1565"/>
      <c r="G555" s="634" t="str">
        <f>IF('Data Set up'!$J65=$F$542,'Data Set up'!$F65,"")</f>
        <v/>
      </c>
      <c r="I555" s="144"/>
      <c r="J555" s="80"/>
      <c r="K555" s="80"/>
      <c r="L555" s="80"/>
      <c r="M555" s="80"/>
      <c r="N555" s="144"/>
      <c r="P555" s="80"/>
      <c r="Q555" s="80"/>
      <c r="R555" s="80"/>
      <c r="S555" s="80"/>
      <c r="T555" s="80"/>
      <c r="U555" s="80"/>
      <c r="V555" s="144"/>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c r="AW555" s="80"/>
      <c r="AX555" s="80"/>
      <c r="AY555" s="80"/>
      <c r="AZ555" s="80"/>
      <c r="BA555" s="80"/>
      <c r="BB555" s="80"/>
      <c r="BC555" s="80"/>
      <c r="BD555" s="80"/>
      <c r="BE555" s="80"/>
      <c r="BF555" s="80"/>
      <c r="BG555" s="80"/>
      <c r="BH555" s="80"/>
      <c r="BI555" s="80"/>
      <c r="BJ555" s="80"/>
    </row>
    <row r="556" spans="3:62" s="1" customFormat="1" ht="25.5" customHeight="1" x14ac:dyDescent="0.2">
      <c r="C556" s="602" t="str">
        <f>IF('Data Set up'!$J66=$F$542,'Data Set up'!$C66,"")</f>
        <v/>
      </c>
      <c r="D556" s="1565" t="str">
        <f>IF('Data Set up'!$J66=$F$542,'Data Set up'!$D66,"")</f>
        <v/>
      </c>
      <c r="E556" s="1565"/>
      <c r="F556" s="1565"/>
      <c r="G556" s="634" t="str">
        <f>IF('Data Set up'!$J66=$F$542,'Data Set up'!$F66,"")</f>
        <v/>
      </c>
      <c r="I556" s="144"/>
      <c r="J556" s="80"/>
      <c r="K556" s="80"/>
      <c r="L556" s="80"/>
      <c r="M556" s="80"/>
      <c r="N556" s="144"/>
      <c r="P556" s="80"/>
      <c r="Q556" s="80"/>
      <c r="R556" s="80"/>
      <c r="S556" s="80"/>
      <c r="T556" s="80"/>
      <c r="U556" s="80"/>
      <c r="V556" s="144"/>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c r="AW556" s="80"/>
      <c r="AX556" s="80"/>
      <c r="AY556" s="80"/>
      <c r="AZ556" s="80"/>
      <c r="BA556" s="80"/>
      <c r="BB556" s="80"/>
      <c r="BC556" s="80"/>
      <c r="BD556" s="80"/>
      <c r="BE556" s="80"/>
      <c r="BF556" s="80"/>
      <c r="BG556" s="80"/>
      <c r="BH556" s="80"/>
      <c r="BI556" s="80"/>
      <c r="BJ556" s="80"/>
    </row>
    <row r="557" spans="3:62" s="1" customFormat="1" ht="25.5" customHeight="1" x14ac:dyDescent="0.2">
      <c r="C557" s="602" t="str">
        <f>IF('Data Set up'!$J67=$F$542,'Data Set up'!$C67,"")</f>
        <v/>
      </c>
      <c r="D557" s="1565" t="str">
        <f>IF('Data Set up'!$J67=$F$542,'Data Set up'!$D67,"")</f>
        <v/>
      </c>
      <c r="E557" s="1565"/>
      <c r="F557" s="1565"/>
      <c r="G557" s="634" t="str">
        <f>IF('Data Set up'!$J67=$F$542,'Data Set up'!$F67,"")</f>
        <v/>
      </c>
      <c r="I557" s="144"/>
      <c r="J557" s="80"/>
      <c r="K557" s="80"/>
      <c r="L557" s="80"/>
      <c r="M557" s="80"/>
      <c r="N557" s="144"/>
      <c r="P557" s="80"/>
      <c r="Q557" s="80"/>
      <c r="R557" s="80"/>
      <c r="S557" s="80"/>
      <c r="T557" s="80"/>
      <c r="U557" s="80"/>
      <c r="V557" s="144"/>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c r="AW557" s="80"/>
      <c r="AX557" s="80"/>
      <c r="AY557" s="80"/>
      <c r="AZ557" s="80"/>
      <c r="BA557" s="80"/>
      <c r="BB557" s="80"/>
      <c r="BC557" s="80"/>
      <c r="BD557" s="80"/>
      <c r="BE557" s="80"/>
      <c r="BF557" s="80"/>
      <c r="BG557" s="80"/>
      <c r="BH557" s="80"/>
      <c r="BI557" s="80"/>
      <c r="BJ557" s="80"/>
    </row>
    <row r="558" spans="3:62" s="1" customFormat="1" ht="25.5" customHeight="1" x14ac:dyDescent="0.2">
      <c r="C558" s="602" t="str">
        <f>IF('Data Set up'!$J68=$F$542,'Data Set up'!$C68,"")</f>
        <v/>
      </c>
      <c r="D558" s="1565" t="str">
        <f>IF('Data Set up'!$J68=$F$542,'Data Set up'!$D68,"")</f>
        <v/>
      </c>
      <c r="E558" s="1565"/>
      <c r="F558" s="1565"/>
      <c r="G558" s="634" t="str">
        <f>IF('Data Set up'!$J68=$F$542,'Data Set up'!$F68,"")</f>
        <v/>
      </c>
      <c r="I558" s="144"/>
      <c r="J558" s="80"/>
      <c r="K558" s="80"/>
      <c r="L558" s="80"/>
      <c r="M558" s="80"/>
      <c r="N558" s="144"/>
      <c r="P558" s="80"/>
      <c r="Q558" s="80"/>
      <c r="R558" s="80"/>
      <c r="S558" s="80"/>
      <c r="T558" s="80"/>
      <c r="U558" s="80"/>
      <c r="V558" s="144"/>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c r="AW558" s="80"/>
      <c r="AX558" s="80"/>
      <c r="AY558" s="80"/>
      <c r="AZ558" s="80"/>
      <c r="BA558" s="80"/>
      <c r="BB558" s="80"/>
      <c r="BC558" s="80"/>
      <c r="BD558" s="80"/>
      <c r="BE558" s="80"/>
      <c r="BF558" s="80"/>
      <c r="BG558" s="80"/>
      <c r="BH558" s="80"/>
      <c r="BI558" s="80"/>
      <c r="BJ558" s="80"/>
    </row>
    <row r="559" spans="3:62" s="1" customFormat="1" ht="25.5" customHeight="1" x14ac:dyDescent="0.2">
      <c r="C559" s="602" t="str">
        <f>IF('Data Set up'!$J69=$F$542,'Data Set up'!$C69,"")</f>
        <v/>
      </c>
      <c r="D559" s="1565" t="str">
        <f>IF('Data Set up'!$J69=$F$542,'Data Set up'!$D69,"")</f>
        <v/>
      </c>
      <c r="E559" s="1565"/>
      <c r="F559" s="1565"/>
      <c r="G559" s="634" t="str">
        <f>IF('Data Set up'!$J69=$F$542,'Data Set up'!$F69,"")</f>
        <v/>
      </c>
      <c r="I559" s="144"/>
      <c r="J559" s="80"/>
      <c r="K559" s="80"/>
      <c r="L559" s="80"/>
      <c r="M559" s="80"/>
      <c r="N559" s="144"/>
      <c r="P559" s="80"/>
      <c r="Q559" s="80"/>
      <c r="R559" s="80"/>
      <c r="S559" s="80"/>
      <c r="T559" s="80"/>
      <c r="U559" s="80"/>
      <c r="V559" s="144"/>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c r="AW559" s="80"/>
      <c r="AX559" s="80"/>
      <c r="AY559" s="80"/>
      <c r="AZ559" s="80"/>
      <c r="BA559" s="80"/>
      <c r="BB559" s="80"/>
      <c r="BC559" s="80"/>
      <c r="BD559" s="80"/>
      <c r="BE559" s="80"/>
      <c r="BF559" s="80"/>
      <c r="BG559" s="80"/>
      <c r="BH559" s="80"/>
      <c r="BI559" s="80"/>
      <c r="BJ559" s="80"/>
    </row>
    <row r="560" spans="3:62" s="1" customFormat="1" ht="25.5" customHeight="1" x14ac:dyDescent="0.2">
      <c r="C560" s="602" t="str">
        <f>IF('Data Set up'!$J70=$F$542,'Data Set up'!$C70,"")</f>
        <v/>
      </c>
      <c r="D560" s="1565" t="str">
        <f>IF('Data Set up'!$J70=$F$542,'Data Set up'!$D70,"")</f>
        <v/>
      </c>
      <c r="E560" s="1565"/>
      <c r="F560" s="1565"/>
      <c r="G560" s="634" t="str">
        <f>IF('Data Set up'!$J70=$F$542,'Data Set up'!$F70,"")</f>
        <v/>
      </c>
      <c r="I560" s="144"/>
      <c r="J560" s="80"/>
      <c r="K560" s="80"/>
      <c r="L560" s="80"/>
      <c r="M560" s="80"/>
      <c r="N560" s="144"/>
      <c r="P560" s="80"/>
      <c r="Q560" s="80"/>
      <c r="R560" s="80"/>
      <c r="S560" s="80"/>
      <c r="T560" s="80"/>
      <c r="U560" s="80"/>
      <c r="V560" s="144"/>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c r="AW560" s="80"/>
      <c r="AX560" s="80"/>
      <c r="AY560" s="80"/>
      <c r="AZ560" s="80"/>
      <c r="BA560" s="80"/>
      <c r="BB560" s="80"/>
      <c r="BC560" s="80"/>
      <c r="BD560" s="80"/>
      <c r="BE560" s="80"/>
      <c r="BF560" s="80"/>
      <c r="BG560" s="80"/>
      <c r="BH560" s="80"/>
      <c r="BI560" s="80"/>
      <c r="BJ560" s="80"/>
    </row>
    <row r="561" spans="3:62" s="1" customFormat="1" ht="25.5" customHeight="1" x14ac:dyDescent="0.2">
      <c r="C561" s="602" t="str">
        <f>IF('Data Set up'!$J71=$F$542,'Data Set up'!$C71,"")</f>
        <v/>
      </c>
      <c r="D561" s="1565" t="str">
        <f>IF('Data Set up'!$J71=$F$542,'Data Set up'!$D71,"")</f>
        <v/>
      </c>
      <c r="E561" s="1565"/>
      <c r="F561" s="1565"/>
      <c r="G561" s="634" t="str">
        <f>IF('Data Set up'!$J71=$F$542,'Data Set up'!$F71,"")</f>
        <v/>
      </c>
      <c r="I561" s="143"/>
      <c r="J561" s="80"/>
      <c r="K561" s="80"/>
      <c r="L561" s="80"/>
      <c r="M561" s="80"/>
      <c r="N561" s="208"/>
      <c r="P561" s="80"/>
      <c r="Q561" s="80"/>
      <c r="R561" s="80"/>
      <c r="S561" s="80"/>
      <c r="T561" s="80"/>
      <c r="U561" s="80"/>
      <c r="V561" s="144"/>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c r="AW561" s="80"/>
      <c r="AX561" s="80"/>
      <c r="AY561" s="80"/>
      <c r="AZ561" s="80"/>
      <c r="BA561" s="80"/>
      <c r="BB561" s="80"/>
      <c r="BC561" s="80"/>
      <c r="BD561" s="80"/>
      <c r="BE561" s="80"/>
      <c r="BF561" s="80"/>
      <c r="BG561" s="80"/>
      <c r="BH561" s="80"/>
      <c r="BI561" s="80"/>
      <c r="BJ561" s="80"/>
    </row>
    <row r="562" spans="3:62" s="1" customFormat="1" ht="25.5" customHeight="1" x14ac:dyDescent="0.2">
      <c r="C562" s="1546" t="str">
        <f>IF($Q$2=2,"Dépenses de l'année précédente (non traités dans l'année précédente)","Previous Year's Expenses (not processed in prev year)")</f>
        <v>Previous Year's Expenses (not processed in prev year)</v>
      </c>
      <c r="D562" s="1546"/>
      <c r="E562" s="1546"/>
      <c r="F562" s="1546"/>
      <c r="G562" s="1546"/>
      <c r="I562" s="604"/>
      <c r="J562" s="605"/>
      <c r="K562" s="605"/>
      <c r="L562" s="605"/>
      <c r="M562" s="605"/>
      <c r="N562" s="208"/>
      <c r="P562" s="80"/>
      <c r="Q562" s="80"/>
      <c r="R562" s="80"/>
      <c r="S562" s="80"/>
      <c r="T562" s="80"/>
      <c r="U562" s="80"/>
      <c r="V562" s="144"/>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c r="AW562" s="80"/>
      <c r="AX562" s="80"/>
      <c r="AY562" s="80"/>
      <c r="AZ562" s="80"/>
      <c r="BA562" s="80"/>
      <c r="BB562" s="80"/>
      <c r="BC562" s="80"/>
      <c r="BD562" s="80"/>
      <c r="BE562" s="80"/>
      <c r="BF562" s="80"/>
      <c r="BG562" s="80"/>
      <c r="BH562" s="80"/>
      <c r="BI562" s="80"/>
      <c r="BJ562" s="80"/>
    </row>
    <row r="563" spans="3:62" s="1" customFormat="1" ht="25.5" customHeight="1" x14ac:dyDescent="0.2">
      <c r="C563" s="606" t="str">
        <f>IF($Q$2=2,"Transactions #","Transactions #")</f>
        <v>Transactions #</v>
      </c>
      <c r="D563" s="1548" t="str">
        <f>IF($Q$2=2,"À l'ordre de","Payable to")</f>
        <v>Payable to</v>
      </c>
      <c r="E563" s="1548"/>
      <c r="F563" s="1548"/>
      <c r="G563" s="607" t="str">
        <f>IF($Q$2=2,"Montant","Amount")</f>
        <v>Amount</v>
      </c>
      <c r="H563" s="586"/>
      <c r="I563" s="608"/>
      <c r="J563" s="605"/>
      <c r="K563" s="605"/>
      <c r="L563" s="605"/>
      <c r="M563" s="605"/>
      <c r="N563" s="208"/>
      <c r="P563" s="80"/>
      <c r="Q563" s="80"/>
      <c r="R563" s="80"/>
      <c r="S563" s="80"/>
      <c r="T563" s="80"/>
      <c r="U563" s="80"/>
      <c r="V563" s="144"/>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c r="AW563" s="80"/>
      <c r="AX563" s="80"/>
      <c r="AY563" s="80"/>
      <c r="AZ563" s="80"/>
      <c r="BA563" s="80"/>
      <c r="BB563" s="80"/>
      <c r="BC563" s="80"/>
      <c r="BD563" s="80"/>
      <c r="BE563" s="80"/>
      <c r="BF563" s="80"/>
      <c r="BG563" s="80"/>
      <c r="BH563" s="80"/>
      <c r="BI563" s="80"/>
      <c r="BJ563" s="80"/>
    </row>
    <row r="564" spans="3:62" s="1" customFormat="1" ht="25.5" customHeight="1" x14ac:dyDescent="0.2">
      <c r="C564" s="602" t="str">
        <f>IF('Data Set up'!$J76=$F$542,'Data Set up'!$C76,"")</f>
        <v/>
      </c>
      <c r="D564" s="1565" t="str">
        <f>IF('Data Set up'!$J76=$F$542,'Data Set up'!$D76,"")</f>
        <v/>
      </c>
      <c r="E564" s="1565"/>
      <c r="F564" s="1565"/>
      <c r="G564" s="634" t="str">
        <f>IF('Data Set up'!$J76=$F$542,'Data Set up'!$F76,"")</f>
        <v/>
      </c>
      <c r="H564" s="586"/>
      <c r="I564" s="205"/>
      <c r="N564" s="208"/>
      <c r="P564" s="80"/>
      <c r="Q564" s="80"/>
      <c r="R564" s="80"/>
      <c r="S564" s="80"/>
      <c r="T564" s="80"/>
      <c r="U564" s="80"/>
      <c r="V564" s="144"/>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c r="AW564" s="80"/>
      <c r="AX564" s="80"/>
      <c r="AY564" s="80"/>
      <c r="AZ564" s="80"/>
      <c r="BA564" s="80"/>
      <c r="BB564" s="80"/>
      <c r="BC564" s="80"/>
      <c r="BD564" s="80"/>
      <c r="BE564" s="80"/>
      <c r="BF564" s="80"/>
      <c r="BG564" s="80"/>
      <c r="BH564" s="80"/>
      <c r="BI564" s="80"/>
      <c r="BJ564" s="80"/>
    </row>
    <row r="565" spans="3:62" s="1" customFormat="1" ht="25.5" customHeight="1" x14ac:dyDescent="0.2">
      <c r="C565" s="602" t="str">
        <f>IF('Data Set up'!$J77=$F$542,'Data Set up'!$C77,"")</f>
        <v/>
      </c>
      <c r="D565" s="1565" t="str">
        <f>IF('Data Set up'!$J77=$F$542,'Data Set up'!$D77,"")</f>
        <v/>
      </c>
      <c r="E565" s="1565"/>
      <c r="F565" s="1565"/>
      <c r="G565" s="634" t="str">
        <f>IF('Data Set up'!$J77=$F$542,'Data Set up'!$F77,"")</f>
        <v/>
      </c>
      <c r="I565" s="355"/>
      <c r="J565" s="355"/>
      <c r="K565" s="355"/>
      <c r="L565" s="355"/>
      <c r="M565" s="355"/>
      <c r="N565" s="355"/>
      <c r="P565" s="80"/>
      <c r="Q565" s="80"/>
      <c r="R565" s="80"/>
      <c r="S565" s="80"/>
      <c r="T565" s="80"/>
      <c r="U565" s="80"/>
      <c r="V565" s="144"/>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c r="AW565" s="80"/>
      <c r="AX565" s="80"/>
      <c r="AY565" s="80"/>
      <c r="AZ565" s="80"/>
      <c r="BA565" s="80"/>
      <c r="BB565" s="80"/>
      <c r="BC565" s="80"/>
      <c r="BD565" s="80"/>
      <c r="BE565" s="80"/>
      <c r="BF565" s="80"/>
      <c r="BG565" s="80"/>
      <c r="BH565" s="80"/>
      <c r="BI565" s="80"/>
      <c r="BJ565" s="80"/>
    </row>
    <row r="566" spans="3:62" s="1" customFormat="1" ht="25.5" customHeight="1" x14ac:dyDescent="0.2">
      <c r="C566" s="602" t="str">
        <f>IF('Data Set up'!$J78=$F$542,'Data Set up'!$C78,"")</f>
        <v/>
      </c>
      <c r="D566" s="1565" t="str">
        <f>IF('Data Set up'!$J78=$F$542,'Data Set up'!$D78,"")</f>
        <v/>
      </c>
      <c r="E566" s="1565"/>
      <c r="F566" s="1565"/>
      <c r="G566" s="634" t="str">
        <f>IF('Data Set up'!$J78=$F$542,'Data Set up'!$F78,"")</f>
        <v/>
      </c>
      <c r="I566" s="609"/>
      <c r="J566" s="80"/>
      <c r="K566" s="80"/>
      <c r="L566" s="80"/>
      <c r="M566" s="80"/>
      <c r="N566" s="144"/>
      <c r="P566" s="80"/>
      <c r="Q566" s="80"/>
      <c r="R566" s="80"/>
      <c r="S566" s="80"/>
      <c r="T566" s="80"/>
      <c r="U566" s="80"/>
      <c r="V566" s="144"/>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c r="AW566" s="80"/>
      <c r="AX566" s="80"/>
      <c r="AY566" s="80"/>
      <c r="AZ566" s="80"/>
      <c r="BA566" s="80"/>
      <c r="BB566" s="80"/>
      <c r="BC566" s="80"/>
      <c r="BD566" s="80"/>
      <c r="BE566" s="80"/>
      <c r="BF566" s="80"/>
      <c r="BG566" s="80"/>
      <c r="BH566" s="80"/>
      <c r="BI566" s="80"/>
      <c r="BJ566" s="80"/>
    </row>
    <row r="567" spans="3:62" s="1" customFormat="1" ht="25.5" customHeight="1" x14ac:dyDescent="0.2">
      <c r="C567" s="602" t="str">
        <f>IF('Data Set up'!$J79=$F$542,'Data Set up'!$C79,"")</f>
        <v/>
      </c>
      <c r="D567" s="1565" t="str">
        <f>IF('Data Set up'!$J79=$F$542,'Data Set up'!$D79,"")</f>
        <v/>
      </c>
      <c r="E567" s="1565"/>
      <c r="F567" s="1565"/>
      <c r="G567" s="634" t="str">
        <f>IF('Data Set up'!$J79=$F$542,'Data Set up'!$F79,"")</f>
        <v/>
      </c>
      <c r="I567" s="610"/>
      <c r="J567" s="80"/>
      <c r="K567" s="80"/>
      <c r="L567" s="80"/>
      <c r="M567" s="80"/>
      <c r="N567" s="589"/>
      <c r="P567" s="80"/>
      <c r="Q567" s="80"/>
      <c r="R567" s="80"/>
      <c r="S567" s="80"/>
      <c r="T567" s="80"/>
      <c r="U567" s="80"/>
      <c r="V567" s="144"/>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c r="AW567" s="80"/>
      <c r="AX567" s="80"/>
      <c r="AY567" s="80"/>
      <c r="AZ567" s="80"/>
      <c r="BA567" s="80"/>
      <c r="BB567" s="80"/>
      <c r="BC567" s="80"/>
      <c r="BD567" s="80"/>
      <c r="BE567" s="80"/>
      <c r="BF567" s="80"/>
      <c r="BG567" s="80"/>
      <c r="BH567" s="80"/>
      <c r="BI567" s="80"/>
      <c r="BJ567" s="80"/>
    </row>
    <row r="568" spans="3:62" s="1" customFormat="1" ht="25.5" customHeight="1" x14ac:dyDescent="0.2">
      <c r="C568" s="602" t="str">
        <f>IF('Data Set up'!$J80=$F$542,'Data Set up'!$C80,"")</f>
        <v/>
      </c>
      <c r="D568" s="1565" t="str">
        <f>IF('Data Set up'!$J80=$F$542,'Data Set up'!$D80,"")</f>
        <v/>
      </c>
      <c r="E568" s="1565"/>
      <c r="F568" s="1565"/>
      <c r="G568" s="634" t="str">
        <f>IF('Data Set up'!$J80=$F$542,'Data Set up'!$F80,"")</f>
        <v/>
      </c>
      <c r="I568" s="610"/>
      <c r="J568" s="80"/>
      <c r="K568" s="80"/>
      <c r="L568" s="80"/>
      <c r="M568" s="80"/>
      <c r="N568" s="589"/>
      <c r="P568" s="80"/>
      <c r="Q568" s="80"/>
      <c r="R568" s="80"/>
      <c r="S568" s="80"/>
      <c r="T568" s="80"/>
      <c r="U568" s="80"/>
      <c r="V568" s="144"/>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c r="AW568" s="80"/>
      <c r="AX568" s="80"/>
      <c r="AY568" s="80"/>
      <c r="AZ568" s="80"/>
      <c r="BA568" s="80"/>
      <c r="BB568" s="80"/>
      <c r="BC568" s="80"/>
      <c r="BD568" s="80"/>
      <c r="BE568" s="80"/>
      <c r="BF568" s="80"/>
      <c r="BG568" s="80"/>
      <c r="BH568" s="80"/>
      <c r="BI568" s="80"/>
      <c r="BJ568" s="80"/>
    </row>
    <row r="569" spans="3:62" s="1" customFormat="1" ht="25.5" customHeight="1" x14ac:dyDescent="0.2">
      <c r="C569" s="602" t="str">
        <f>IF('Data Set up'!$J81=$F$542,'Data Set up'!$C81,"")</f>
        <v/>
      </c>
      <c r="D569" s="1565" t="str">
        <f>IF('Data Set up'!$J81=$F$542,'Data Set up'!$D81,"")</f>
        <v/>
      </c>
      <c r="E569" s="1565"/>
      <c r="F569" s="1565"/>
      <c r="G569" s="634" t="str">
        <f>IF('Data Set up'!$J81=$F$542,'Data Set up'!$F81,"")</f>
        <v/>
      </c>
      <c r="I569" s="610"/>
      <c r="J569" s="80"/>
      <c r="K569" s="80"/>
      <c r="L569" s="80"/>
      <c r="M569" s="80"/>
      <c r="N569" s="589"/>
      <c r="P569" s="80"/>
      <c r="Q569" s="80"/>
      <c r="R569" s="80"/>
      <c r="S569" s="80"/>
      <c r="T569" s="80"/>
      <c r="U569" s="80"/>
      <c r="V569" s="144"/>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c r="AW569" s="80"/>
      <c r="AX569" s="80"/>
      <c r="AY569" s="80"/>
      <c r="AZ569" s="80"/>
      <c r="BA569" s="80"/>
      <c r="BB569" s="80"/>
      <c r="BC569" s="80"/>
      <c r="BD569" s="80"/>
      <c r="BE569" s="80"/>
      <c r="BF569" s="80"/>
      <c r="BG569" s="80"/>
      <c r="BH569" s="80"/>
      <c r="BI569" s="80"/>
      <c r="BJ569" s="80"/>
    </row>
    <row r="570" spans="3:62" s="1" customFormat="1" ht="25.5" customHeight="1" x14ac:dyDescent="0.2">
      <c r="C570" s="602" t="str">
        <f>IF('Data Set up'!$J82=$F$542,'Data Set up'!$C82,"")</f>
        <v/>
      </c>
      <c r="D570" s="1565" t="str">
        <f>IF('Data Set up'!$J82=$F$542,'Data Set up'!$D82,"")</f>
        <v/>
      </c>
      <c r="E570" s="1565"/>
      <c r="F570" s="1565"/>
      <c r="G570" s="634" t="str">
        <f>IF('Data Set up'!$J82=$F$542,'Data Set up'!$F82,"")</f>
        <v/>
      </c>
      <c r="I570" s="610"/>
      <c r="J570" s="80"/>
      <c r="K570" s="80"/>
      <c r="L570" s="80"/>
      <c r="M570" s="80"/>
      <c r="N570" s="589"/>
      <c r="P570" s="80"/>
      <c r="Q570" s="80"/>
      <c r="R570" s="80"/>
      <c r="S570" s="80"/>
      <c r="T570" s="80"/>
      <c r="U570" s="80"/>
      <c r="V570" s="144"/>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c r="AW570" s="80"/>
      <c r="AX570" s="80"/>
      <c r="AY570" s="80"/>
      <c r="AZ570" s="80"/>
      <c r="BA570" s="80"/>
      <c r="BB570" s="80"/>
      <c r="BC570" s="80"/>
      <c r="BD570" s="80"/>
      <c r="BE570" s="80"/>
      <c r="BF570" s="80"/>
      <c r="BG570" s="80"/>
      <c r="BH570" s="80"/>
      <c r="BI570" s="80"/>
      <c r="BJ570" s="80"/>
    </row>
    <row r="571" spans="3:62" s="1" customFormat="1" ht="25.5" customHeight="1" x14ac:dyDescent="0.2">
      <c r="C571" s="602" t="str">
        <f>IF('Data Set up'!$J83=$F$542,'Data Set up'!$C83,"")</f>
        <v/>
      </c>
      <c r="D571" s="1565" t="str">
        <f>IF('Data Set up'!$J83=$F$542,'Data Set up'!$D83,"")</f>
        <v/>
      </c>
      <c r="E571" s="1565"/>
      <c r="F571" s="1565"/>
      <c r="G571" s="634" t="str">
        <f>IF('Data Set up'!$J83=$F$542,'Data Set up'!$F83,"")</f>
        <v/>
      </c>
      <c r="I571" s="611"/>
      <c r="J571" s="649"/>
      <c r="K571" s="649"/>
      <c r="L571" s="649"/>
      <c r="M571" s="649"/>
      <c r="N571" s="589"/>
      <c r="P571" s="80"/>
      <c r="Q571" s="80"/>
      <c r="R571" s="80"/>
      <c r="S571" s="80"/>
      <c r="T571" s="80"/>
      <c r="U571" s="80"/>
      <c r="V571" s="144"/>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c r="AW571" s="80"/>
      <c r="AX571" s="80"/>
      <c r="AY571" s="80"/>
      <c r="AZ571" s="80"/>
      <c r="BA571" s="80"/>
      <c r="BB571" s="80"/>
      <c r="BC571" s="80"/>
      <c r="BD571" s="80"/>
      <c r="BE571" s="80"/>
      <c r="BF571" s="80"/>
      <c r="BG571" s="80"/>
      <c r="BH571" s="80"/>
      <c r="BI571" s="80"/>
      <c r="BJ571" s="80"/>
    </row>
    <row r="572" spans="3:62" s="1" customFormat="1" ht="25.5" customHeight="1" x14ac:dyDescent="0.2">
      <c r="C572" s="602" t="str">
        <f>IF('Data Set up'!$J84=$F$542,'Data Set up'!$C84,"")</f>
        <v/>
      </c>
      <c r="D572" s="1565" t="str">
        <f>IF('Data Set up'!$J84=$F$542,'Data Set up'!$D84,"")</f>
        <v/>
      </c>
      <c r="E572" s="1565"/>
      <c r="F572" s="1565"/>
      <c r="G572" s="634" t="str">
        <f>IF('Data Set up'!$J84=$F$542,'Data Set up'!$F84,"")</f>
        <v/>
      </c>
      <c r="I572" s="612"/>
      <c r="J572" s="649"/>
      <c r="K572" s="649"/>
      <c r="L572" s="649"/>
      <c r="M572" s="649"/>
      <c r="N572" s="589"/>
      <c r="P572" s="80"/>
      <c r="Q572" s="80"/>
      <c r="R572" s="80"/>
      <c r="S572" s="80"/>
      <c r="T572" s="80"/>
      <c r="U572" s="80"/>
      <c r="V572" s="144"/>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c r="AW572" s="80"/>
      <c r="AX572" s="80"/>
      <c r="AY572" s="80"/>
      <c r="AZ572" s="80"/>
      <c r="BA572" s="80"/>
      <c r="BB572" s="80"/>
      <c r="BC572" s="80"/>
      <c r="BD572" s="80"/>
      <c r="BE572" s="80"/>
      <c r="BF572" s="80"/>
      <c r="BG572" s="80"/>
      <c r="BH572" s="80"/>
      <c r="BI572" s="80"/>
      <c r="BJ572" s="80"/>
    </row>
    <row r="573" spans="3:62" s="1" customFormat="1" ht="25.5" customHeight="1" x14ac:dyDescent="0.2">
      <c r="C573" s="602" t="str">
        <f>IF('Data Set up'!$J85=$F$542,'Data Set up'!$C85,"")</f>
        <v/>
      </c>
      <c r="D573" s="1565" t="str">
        <f>IF('Data Set up'!$J85=$F$542,'Data Set up'!$D85,"")</f>
        <v/>
      </c>
      <c r="E573" s="1565"/>
      <c r="F573" s="1565"/>
      <c r="G573" s="634" t="str">
        <f>IF('Data Set up'!$J85=$F$542,'Data Set up'!$F85,"")</f>
        <v/>
      </c>
      <c r="I573" s="611"/>
      <c r="J573" s="649"/>
      <c r="K573" s="649"/>
      <c r="L573" s="649"/>
      <c r="M573" s="649"/>
      <c r="N573" s="589"/>
      <c r="P573" s="80"/>
      <c r="Q573" s="80"/>
      <c r="R573" s="80"/>
      <c r="S573" s="80"/>
      <c r="T573" s="80"/>
      <c r="U573" s="80"/>
      <c r="V573" s="144"/>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c r="AW573" s="80"/>
      <c r="AX573" s="80"/>
      <c r="AY573" s="80"/>
      <c r="AZ573" s="80"/>
      <c r="BA573" s="80"/>
      <c r="BB573" s="80"/>
      <c r="BC573" s="80"/>
      <c r="BD573" s="80"/>
      <c r="BE573" s="80"/>
      <c r="BF573" s="80"/>
      <c r="BG573" s="80"/>
      <c r="BH573" s="80"/>
      <c r="BI573" s="80"/>
      <c r="BJ573" s="80"/>
    </row>
    <row r="574" spans="3:62" s="1" customFormat="1" ht="25.5" customHeight="1" x14ac:dyDescent="0.2">
      <c r="C574" s="602" t="str">
        <f>IF('Data Set up'!$J86=$F$542,'Data Set up'!$C86,"")</f>
        <v/>
      </c>
      <c r="D574" s="1565" t="str">
        <f>IF('Data Set up'!$J86=$F$542,'Data Set up'!$D86,"")</f>
        <v/>
      </c>
      <c r="E574" s="1565"/>
      <c r="F574" s="1565"/>
      <c r="G574" s="634" t="str">
        <f>IF('Data Set up'!$J86=$F$542,'Data Set up'!$F86,"")</f>
        <v/>
      </c>
      <c r="I574" s="611"/>
      <c r="J574" s="650"/>
      <c r="K574" s="650"/>
      <c r="L574" s="650"/>
      <c r="M574" s="650"/>
      <c r="N574" s="589"/>
      <c r="P574" s="80"/>
      <c r="Q574" s="80"/>
      <c r="R574" s="80"/>
      <c r="S574" s="80"/>
      <c r="T574" s="80"/>
      <c r="U574" s="80"/>
      <c r="V574" s="144"/>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c r="AW574" s="80"/>
      <c r="AX574" s="80"/>
      <c r="AY574" s="80"/>
      <c r="AZ574" s="80"/>
      <c r="BA574" s="80"/>
      <c r="BB574" s="80"/>
      <c r="BC574" s="80"/>
      <c r="BD574" s="80"/>
      <c r="BE574" s="80"/>
      <c r="BF574" s="80"/>
      <c r="BG574" s="80"/>
      <c r="BH574" s="80"/>
      <c r="BI574" s="80"/>
      <c r="BJ574" s="80"/>
    </row>
    <row r="575" spans="3:62" s="1" customFormat="1" ht="25.5" customHeight="1" x14ac:dyDescent="0.2">
      <c r="C575" s="602" t="str">
        <f>IF('Data Set up'!$J87=$F$542,'Data Set up'!$C87,"")</f>
        <v/>
      </c>
      <c r="D575" s="1565" t="str">
        <f>IF('Data Set up'!$J87=$F$542,'Data Set up'!$D87,"")</f>
        <v/>
      </c>
      <c r="E575" s="1565"/>
      <c r="F575" s="1565"/>
      <c r="G575" s="634" t="str">
        <f>IF('Data Set up'!$J87=$F$542,'Data Set up'!$F87,"")</f>
        <v/>
      </c>
      <c r="I575" s="143"/>
      <c r="J575" s="80"/>
      <c r="K575" s="80"/>
      <c r="L575" s="80"/>
      <c r="M575" s="80"/>
      <c r="N575" s="589"/>
      <c r="P575" s="80"/>
      <c r="Q575" s="80"/>
      <c r="R575" s="80"/>
      <c r="S575" s="80"/>
      <c r="T575" s="80"/>
      <c r="U575" s="80"/>
      <c r="V575" s="144"/>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c r="AW575" s="80"/>
      <c r="AX575" s="80"/>
      <c r="AY575" s="80"/>
      <c r="AZ575" s="80"/>
      <c r="BA575" s="80"/>
      <c r="BB575" s="80"/>
      <c r="BC575" s="80"/>
      <c r="BD575" s="80"/>
      <c r="BE575" s="80"/>
      <c r="BF575" s="80"/>
      <c r="BG575" s="80"/>
      <c r="BH575" s="80"/>
      <c r="BI575" s="80"/>
      <c r="BJ575" s="80"/>
    </row>
    <row r="576" spans="3:62" s="1" customFormat="1" ht="25.5" customHeight="1" x14ac:dyDescent="0.2">
      <c r="C576" s="602" t="str">
        <f>IF('Data Set up'!$J88=$F$542,'Data Set up'!$C88,"")</f>
        <v/>
      </c>
      <c r="D576" s="1565" t="str">
        <f>IF('Data Set up'!$J88=$F$542,'Data Set up'!$D88,"")</f>
        <v/>
      </c>
      <c r="E576" s="1565"/>
      <c r="F576" s="1565"/>
      <c r="G576" s="634" t="str">
        <f>IF('Data Set up'!$J88=$F$542,'Data Set up'!$F88,"")</f>
        <v/>
      </c>
      <c r="I576" s="143"/>
      <c r="J576" s="80"/>
      <c r="K576" s="80"/>
      <c r="L576" s="80"/>
      <c r="M576" s="80"/>
      <c r="N576" s="589"/>
      <c r="P576" s="80"/>
      <c r="Q576" s="80"/>
      <c r="R576" s="80"/>
      <c r="S576" s="80"/>
      <c r="T576" s="80"/>
      <c r="U576" s="80"/>
      <c r="V576" s="144"/>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c r="AW576" s="80"/>
      <c r="AX576" s="80"/>
      <c r="AY576" s="80"/>
      <c r="AZ576" s="80"/>
      <c r="BA576" s="80"/>
      <c r="BB576" s="80"/>
      <c r="BC576" s="80"/>
      <c r="BD576" s="80"/>
      <c r="BE576" s="80"/>
      <c r="BF576" s="80"/>
      <c r="BG576" s="80"/>
      <c r="BH576" s="80"/>
      <c r="BI576" s="80"/>
      <c r="BJ576" s="80"/>
    </row>
    <row r="577" spans="3:70" s="1" customFormat="1" ht="25.5" customHeight="1" x14ac:dyDescent="0.2">
      <c r="C577" s="1554" t="str">
        <f>IF($Q$2=2,"Montant non-comptabilisé de l'année précédente","Previous Year's non-accounted Amount")</f>
        <v>Previous Year's non-accounted Amount</v>
      </c>
      <c r="D577" s="1554"/>
      <c r="E577" s="1554"/>
      <c r="F577" s="1554"/>
      <c r="G577" s="582">
        <f>SUM(G549:G561)-SUM(G564:G576)</f>
        <v>0</v>
      </c>
      <c r="I577" s="330"/>
      <c r="J577" s="80"/>
      <c r="K577" s="80"/>
      <c r="L577" s="80"/>
      <c r="M577" s="80"/>
      <c r="N577" s="589"/>
      <c r="P577" s="80"/>
      <c r="Q577" s="80"/>
      <c r="R577" s="80"/>
      <c r="S577" s="80"/>
      <c r="T577" s="80"/>
      <c r="U577" s="80"/>
      <c r="V577" s="144"/>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c r="AW577" s="80"/>
      <c r="AX577" s="80"/>
      <c r="AY577" s="80"/>
      <c r="AZ577" s="80"/>
      <c r="BA577" s="80"/>
      <c r="BB577" s="80"/>
      <c r="BC577" s="80"/>
      <c r="BD577" s="80"/>
      <c r="BE577" s="80"/>
      <c r="BF577" s="80"/>
      <c r="BG577" s="80"/>
      <c r="BH577" s="80"/>
      <c r="BI577" s="80"/>
      <c r="BJ577" s="80"/>
    </row>
    <row r="578" spans="3:70" s="1" customFormat="1" ht="25.5" customHeight="1" x14ac:dyDescent="0.2">
      <c r="C578" s="1537" t="str">
        <f>IF($Q$2=2,F542&amp;" Fonds disponible du compte",F542&amp;" Account Available Funds")</f>
        <v>2220 Account Available Funds</v>
      </c>
      <c r="D578" s="1537"/>
      <c r="E578" s="1537"/>
      <c r="F578" s="1537"/>
      <c r="G578" s="588"/>
      <c r="I578" s="143"/>
      <c r="J578" s="80"/>
      <c r="K578" s="80"/>
      <c r="L578" s="80"/>
      <c r="M578" s="80"/>
      <c r="N578" s="589"/>
      <c r="P578" s="80"/>
      <c r="Q578" s="80"/>
      <c r="R578" s="80"/>
      <c r="S578" s="80"/>
      <c r="T578" s="80"/>
      <c r="U578" s="80"/>
      <c r="V578" s="144"/>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0"/>
      <c r="BH578" s="80"/>
      <c r="BI578" s="80"/>
      <c r="BJ578" s="80"/>
    </row>
    <row r="579" spans="3:70" s="1" customFormat="1" ht="25.5" customHeight="1" x14ac:dyDescent="0.2">
      <c r="C579" s="1538" t="str">
        <f>IF($Q$2=2,"Solde reporté à la ligne "&amp;F542&amp;" du Bilan - page 6","This balance fwrd'd to line "&amp;F542&amp;" of Balance Sheet -  page 6")</f>
        <v>This balance fwrd'd to line 2220 of Balance Sheet -  page 6</v>
      </c>
      <c r="D579" s="1538"/>
      <c r="E579" s="1538"/>
      <c r="F579" s="1538"/>
      <c r="G579" s="590">
        <f>IF(AND(SUM(G543-G544+G545-G577)&lt;0.001,SUM(G543-G544+G545-G577)&gt;-0.001),0,SUM(G543-G544+G545-G577))</f>
        <v>0</v>
      </c>
      <c r="H579" s="398"/>
      <c r="J579" s="355"/>
      <c r="K579" s="355"/>
      <c r="L579" s="355"/>
      <c r="M579" s="591"/>
      <c r="N579" s="590">
        <f>N549</f>
        <v>0</v>
      </c>
      <c r="P579" s="80"/>
      <c r="Q579" s="80"/>
      <c r="R579" s="80"/>
      <c r="S579" s="80"/>
      <c r="T579" s="80"/>
      <c r="U579" s="80"/>
      <c r="V579" s="144"/>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0"/>
      <c r="BH579" s="80"/>
      <c r="BI579" s="80"/>
      <c r="BJ579" s="80"/>
    </row>
    <row r="580" spans="3:70" s="1" customFormat="1" ht="9.75" customHeight="1" x14ac:dyDescent="0.2">
      <c r="F580" s="592"/>
      <c r="J580" s="586"/>
      <c r="M580" s="593"/>
      <c r="P580" s="80"/>
      <c r="Q580" s="80"/>
      <c r="R580" s="80"/>
      <c r="S580" s="80"/>
      <c r="T580" s="80"/>
      <c r="U580" s="80"/>
      <c r="V580" s="144"/>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0"/>
      <c r="BH580" s="80"/>
      <c r="BI580" s="80"/>
      <c r="BJ580" s="80"/>
    </row>
    <row r="581" spans="3:70" s="1" customFormat="1" ht="9.75" customHeight="1" x14ac:dyDescent="0.2">
      <c r="C581" s="355"/>
      <c r="D581" s="355"/>
      <c r="E581" s="355"/>
      <c r="F581" s="355"/>
      <c r="G581" s="355"/>
      <c r="H581" s="355"/>
      <c r="I581" s="355"/>
      <c r="J581" s="355"/>
      <c r="K581" s="355"/>
      <c r="L581" s="355"/>
      <c r="M581" s="355"/>
      <c r="P581" s="80"/>
      <c r="Q581" s="80"/>
      <c r="R581" s="80"/>
      <c r="S581" s="80"/>
      <c r="T581" s="80"/>
      <c r="U581" s="80"/>
      <c r="V581" s="144"/>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0"/>
      <c r="BH581" s="80"/>
      <c r="BI581" s="80"/>
      <c r="BJ581" s="80"/>
    </row>
    <row r="582" spans="3:70" s="1" customFormat="1" ht="44.25" customHeight="1" x14ac:dyDescent="0.2">
      <c r="C582" s="1539"/>
      <c r="D582" s="1539"/>
      <c r="E582" s="1539"/>
      <c r="F582" s="1539"/>
      <c r="G582" s="595">
        <f>IF(AND(G579-N579&lt;0.001,G579-N579&gt;-0.001),0,G579-N579)</f>
        <v>0</v>
      </c>
      <c r="H582" s="1540" t="str">
        <f>IF($Q$2=2,IF(G582=0,$T$7,$T$5),IF(G582=0,$T$8,$T$6))</f>
        <v>Books and Statements balance.</v>
      </c>
      <c r="I582" s="1540"/>
      <c r="J582" s="1540"/>
      <c r="K582" s="1540"/>
      <c r="L582" s="1540"/>
      <c r="M582" s="1540"/>
      <c r="N582" s="1540"/>
      <c r="P582" s="80"/>
      <c r="Q582" s="80"/>
      <c r="R582" s="80"/>
      <c r="S582" s="80"/>
      <c r="T582" s="80"/>
      <c r="U582" s="80"/>
      <c r="V582" s="144"/>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0"/>
      <c r="BH582" s="80"/>
      <c r="BI582" s="80"/>
      <c r="BJ582" s="80"/>
    </row>
    <row r="583" spans="3:70" s="1" customFormat="1" ht="33" customHeight="1" x14ac:dyDescent="0.2">
      <c r="C583" s="594"/>
      <c r="D583" s="594"/>
      <c r="E583" s="594"/>
      <c r="F583" s="594"/>
      <c r="G583" s="596"/>
      <c r="H583" s="597"/>
      <c r="I583" s="597"/>
      <c r="J583" s="597"/>
      <c r="K583" s="597"/>
      <c r="L583" s="597"/>
      <c r="M583" s="597"/>
      <c r="N583" s="597"/>
      <c r="P583" s="80"/>
      <c r="Q583" s="80"/>
      <c r="R583" s="80"/>
      <c r="S583" s="80"/>
      <c r="T583" s="80"/>
      <c r="U583" s="80"/>
      <c r="V583" s="144"/>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0"/>
      <c r="BH583" s="80"/>
      <c r="BI583" s="80"/>
      <c r="BJ583" s="80"/>
    </row>
    <row r="584" spans="3:70" ht="18.75" customHeight="1" x14ac:dyDescent="0.2">
      <c r="C584" s="1541"/>
      <c r="D584" s="1541"/>
      <c r="E584" s="1541"/>
      <c r="F584" s="1541"/>
      <c r="G584" s="1541"/>
      <c r="H584" s="1541"/>
      <c r="I584" s="1541"/>
      <c r="J584" s="1541"/>
      <c r="K584" s="1541"/>
      <c r="L584" s="1541"/>
      <c r="M584" s="1541"/>
      <c r="N584" s="1541"/>
      <c r="BK584" s="568"/>
      <c r="BL584" s="568"/>
      <c r="BM584" s="568"/>
    </row>
    <row r="585" spans="3:70" s="1" customFormat="1" ht="40.5" customHeight="1" x14ac:dyDescent="0.2">
      <c r="D585" s="1528" t="str">
        <f>IF($Q$2,"Réconciliation détaillée du compte "&amp;F587&amp;" - "&amp;C587,"Detailed Reconciliation of the Account "&amp;F587&amp;" - "&amp;C587)</f>
        <v>Réconciliation détaillée du compte 2230 - Available (Rename)</v>
      </c>
      <c r="E585" s="1528"/>
      <c r="F585" s="1528"/>
      <c r="G585" s="1528"/>
      <c r="H585" s="1528"/>
      <c r="I585" s="1528"/>
      <c r="J585" s="1528"/>
      <c r="K585" s="1528"/>
      <c r="L585" s="1528"/>
      <c r="M585" s="1528"/>
      <c r="N585" s="577"/>
      <c r="P585" s="80"/>
      <c r="Q585" s="80"/>
      <c r="R585" s="80"/>
      <c r="S585" s="80"/>
      <c r="T585" s="80"/>
      <c r="U585" s="80"/>
      <c r="V585" s="144"/>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0"/>
      <c r="BH585" s="80"/>
      <c r="BI585" s="80"/>
      <c r="BJ585" s="80"/>
    </row>
    <row r="586" spans="3:70" s="1" customFormat="1" ht="29.25" customHeight="1" x14ac:dyDescent="0.2">
      <c r="C586" s="1529" t="str">
        <f>IF($Q$2=2,"Réconciliation selon les livres comptables","Reconciliation as per BookKeeping")</f>
        <v>Reconciliation as per BookKeeping</v>
      </c>
      <c r="D586" s="1529"/>
      <c r="E586" s="1529"/>
      <c r="F586" s="1529"/>
      <c r="G586" s="1529"/>
      <c r="I586" s="1529" t="str">
        <f>IF($Q$2=2,"Réconciliation selon l'état de compte","Reconciliation as per Account Statement")</f>
        <v>Reconciliation as per Account Statement</v>
      </c>
      <c r="J586" s="1529"/>
      <c r="K586" s="1529"/>
      <c r="L586" s="1529"/>
      <c r="M586" s="1529"/>
      <c r="N586" s="578" t="str">
        <f>F587</f>
        <v>2230</v>
      </c>
      <c r="P586" s="579"/>
      <c r="Q586" s="579"/>
      <c r="R586" s="579"/>
      <c r="S586" s="579"/>
      <c r="T586" s="579"/>
      <c r="U586" s="579"/>
      <c r="V586" s="47"/>
      <c r="W586" s="579"/>
      <c r="X586" s="579"/>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0"/>
      <c r="BH586" s="80"/>
      <c r="BI586" s="80"/>
      <c r="BJ586" s="80"/>
    </row>
    <row r="587" spans="3:70" s="1" customFormat="1" ht="25.5" customHeight="1" x14ac:dyDescent="0.2">
      <c r="C587" s="1542" t="str">
        <f>'Data Set up'!I36</f>
        <v>Available (Rename)</v>
      </c>
      <c r="D587" s="1542"/>
      <c r="E587" s="1542"/>
      <c r="F587" s="580" t="str">
        <f>LEFT('Data Set up'!H36,4)</f>
        <v>2230</v>
      </c>
      <c r="G587" s="355"/>
      <c r="I587" s="1531"/>
      <c r="J587" s="1531"/>
      <c r="K587" s="1531"/>
      <c r="L587" s="1531"/>
      <c r="M587" s="1531"/>
      <c r="N587" s="1531"/>
      <c r="P587" s="80"/>
      <c r="Q587" s="80"/>
      <c r="R587" s="80"/>
      <c r="S587" s="80"/>
      <c r="T587" s="80"/>
      <c r="U587" s="80"/>
      <c r="V587" s="144"/>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0"/>
      <c r="BH587" s="80"/>
      <c r="BI587" s="80"/>
      <c r="BJ587" s="80"/>
      <c r="BN587" s="648"/>
      <c r="BO587" s="648"/>
      <c r="BP587" s="648"/>
      <c r="BQ587" s="648"/>
      <c r="BR587" s="648"/>
    </row>
    <row r="588" spans="3:70" s="1" customFormat="1" ht="25.5" customHeight="1" x14ac:dyDescent="0.2">
      <c r="C588" s="1532" t="str">
        <f>IF($Q$2=2,"Solde du compte au ","Account Balance on ")</f>
        <v xml:space="preserve">Account Balance on </v>
      </c>
      <c r="D588" s="1532"/>
      <c r="E588" s="1532"/>
      <c r="F588" s="581" t="str">
        <f>'Data Set up'!$F$40&amp;" "&amp;'Data Set up'!$G$40&amp;" "&amp;'Data Set up'!$F$39</f>
        <v>31 August 2023</v>
      </c>
      <c r="G588" s="582">
        <f>'Data Set up'!F36</f>
        <v>0</v>
      </c>
      <c r="I588" s="1533" t="str">
        <f>IF($Q$2=2,"Solde au compte en fin d'exercice","End of Year Account Balance")</f>
        <v>End of Year Account Balance</v>
      </c>
      <c r="J588" s="1533"/>
      <c r="K588" s="1533"/>
      <c r="L588" s="1533"/>
      <c r="M588" s="1533"/>
      <c r="N588" s="583">
        <v>0</v>
      </c>
      <c r="P588" s="80"/>
      <c r="Q588" s="1534" t="str">
        <f>IF($Q$2=2,"Inscrivez le solde à payer ici","Insert the Balance payable here")</f>
        <v>Insert the Balance payable here</v>
      </c>
      <c r="R588" s="1534"/>
      <c r="S588" s="1534"/>
      <c r="T588" s="80"/>
      <c r="U588" s="585">
        <f>N588*1</f>
        <v>0</v>
      </c>
      <c r="V588" s="144"/>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0"/>
      <c r="BH588" s="80"/>
      <c r="BI588" s="80"/>
      <c r="BJ588" s="80"/>
      <c r="BN588" s="648"/>
      <c r="BO588" s="648"/>
      <c r="BP588" s="648"/>
      <c r="BQ588" s="648"/>
      <c r="BR588" s="648"/>
    </row>
    <row r="589" spans="3:70" s="1" customFormat="1" ht="25.5" customHeight="1" x14ac:dyDescent="0.2">
      <c r="C589" s="1535" t="str">
        <f>IF($Q$2=2,"Plus: Remboursements (Jrnl des revenus)","Plus: Reimbursements (Revenue Jrnl)")</f>
        <v>Plus: Reimbursements (Revenue Jrnl)</v>
      </c>
      <c r="D589" s="1535"/>
      <c r="E589" s="1535"/>
      <c r="F589" s="1535"/>
      <c r="G589" s="582">
        <f>'Revenue Jrnl'!G540</f>
        <v>0</v>
      </c>
      <c r="H589" s="586"/>
      <c r="I589" s="1544"/>
      <c r="J589" s="1544"/>
      <c r="K589" s="1544"/>
      <c r="L589" s="1544"/>
      <c r="M589" s="1544"/>
      <c r="N589" s="1544"/>
      <c r="P589" s="80"/>
      <c r="Q589" s="80"/>
      <c r="R589" s="80"/>
      <c r="S589" s="80"/>
      <c r="T589" s="80"/>
      <c r="U589" s="80"/>
      <c r="V589" s="144"/>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0"/>
      <c r="BH589" s="80"/>
      <c r="BI589" s="80"/>
      <c r="BJ589" s="80"/>
      <c r="BN589" s="648"/>
      <c r="BO589" s="648"/>
      <c r="BP589" s="648"/>
      <c r="BQ589" s="648"/>
      <c r="BR589" s="648"/>
    </row>
    <row r="590" spans="3:70" s="1" customFormat="1" ht="25.5" customHeight="1" x14ac:dyDescent="0.2">
      <c r="C590" s="1535" t="str">
        <f>IF($Q$2=2," Moins: Dépenses (Jrnl des dépenses)","Less: Expenses (Expense Jrnl)")</f>
        <v>Less: Expenses (Expense Jrnl)</v>
      </c>
      <c r="D590" s="1535"/>
      <c r="E590" s="1535"/>
      <c r="F590" s="1535"/>
      <c r="G590" s="582">
        <f>'Expense Jrnl'!G540</f>
        <v>0</v>
      </c>
      <c r="I590" s="1545" t="str">
        <f>IF($Q$2=2,"Plus: Remb. faits mais pas réconciliés","Plus: Reimb. made but not reconciled")</f>
        <v>Plus: Reimb. made but not reconciled</v>
      </c>
      <c r="J590" s="1545"/>
      <c r="K590" s="1545"/>
      <c r="L590" s="1545"/>
      <c r="M590" s="1545"/>
      <c r="N590" s="600">
        <f>'Revenue Jrnl'!H540</f>
        <v>0</v>
      </c>
      <c r="P590" s="80"/>
      <c r="Q590" s="80"/>
      <c r="R590" s="80"/>
      <c r="S590" s="80"/>
      <c r="T590" s="80"/>
      <c r="U590" s="80"/>
      <c r="V590" s="144"/>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0"/>
      <c r="BH590" s="80"/>
      <c r="BI590" s="80"/>
      <c r="BJ590" s="80"/>
    </row>
    <row r="591" spans="3:70" s="1" customFormat="1" ht="25.5" customHeight="1" x14ac:dyDescent="0.2">
      <c r="C591" s="1536"/>
      <c r="D591" s="1536"/>
      <c r="E591" s="1536"/>
      <c r="F591" s="1536"/>
      <c r="H591" s="586"/>
      <c r="I591" s="1544"/>
      <c r="J591" s="1544"/>
      <c r="K591" s="1544"/>
      <c r="L591" s="1544"/>
      <c r="M591" s="1544"/>
      <c r="N591" s="1544"/>
      <c r="P591" s="80"/>
      <c r="Q591" s="80"/>
      <c r="R591" s="80"/>
      <c r="S591" s="80"/>
      <c r="T591" s="80"/>
      <c r="U591" s="80"/>
      <c r="V591" s="144"/>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0"/>
      <c r="BH591" s="80"/>
      <c r="BI591" s="80"/>
      <c r="BJ591" s="80"/>
    </row>
    <row r="592" spans="3:70" s="1" customFormat="1" ht="25.5" customHeight="1" x14ac:dyDescent="0.2">
      <c r="C592" s="1546" t="str">
        <f>IF($Q$2=2,"Remboursements de l'année précédente (non traités dans l'année précédente)","Previous Year's Reimbursements (not processed in prev year)")</f>
        <v>Previous Year's Reimbursements (not processed in prev year)</v>
      </c>
      <c r="D592" s="1546"/>
      <c r="E592" s="1546"/>
      <c r="F592" s="1546"/>
      <c r="G592" s="1546"/>
      <c r="I592" s="1547" t="str">
        <f>IF($Q$2=2,"Moins: Dépenses effectuées mais non encore enr.","Less: Expenses made but not processed")</f>
        <v>Less: Expenses made but not processed</v>
      </c>
      <c r="J592" s="1547"/>
      <c r="K592" s="1547"/>
      <c r="L592" s="1547"/>
      <c r="M592" s="1547"/>
      <c r="N592" s="600">
        <f>'Expense Jrnl'!H540</f>
        <v>0</v>
      </c>
      <c r="P592" s="80"/>
      <c r="Q592" s="80"/>
      <c r="R592" s="80"/>
      <c r="S592" s="80"/>
      <c r="T592" s="80"/>
      <c r="U592" s="80"/>
      <c r="V592" s="144"/>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c r="AW592" s="80"/>
      <c r="AX592" s="80"/>
      <c r="AY592" s="80"/>
      <c r="AZ592" s="80"/>
      <c r="BA592" s="80"/>
      <c r="BB592" s="80"/>
      <c r="BC592" s="80"/>
      <c r="BD592" s="80"/>
      <c r="BE592" s="80"/>
      <c r="BF592" s="80"/>
      <c r="BG592" s="80"/>
      <c r="BH592" s="80"/>
      <c r="BI592" s="80"/>
      <c r="BJ592" s="80"/>
    </row>
    <row r="593" spans="3:62" s="1" customFormat="1" ht="25.5" customHeight="1" x14ac:dyDescent="0.2">
      <c r="C593" s="601" t="str">
        <f>IF($Q$2=2,"Chèque #","Cheque #")</f>
        <v>Cheque #</v>
      </c>
      <c r="D593" s="1548" t="str">
        <f>IF($Q$2=2,"Détails","Details")</f>
        <v>Details</v>
      </c>
      <c r="E593" s="1548"/>
      <c r="F593" s="1548"/>
      <c r="G593" s="601" t="str">
        <f>IF($Q$2=2,"Montant","Amount")</f>
        <v>Amount</v>
      </c>
      <c r="I593" s="1544"/>
      <c r="J593" s="1544"/>
      <c r="K593" s="1544"/>
      <c r="L593" s="1544"/>
      <c r="M593" s="1544"/>
      <c r="N593" s="1544"/>
      <c r="P593" s="80"/>
      <c r="Q593" s="80"/>
      <c r="R593" s="80"/>
      <c r="S593" s="80"/>
      <c r="T593" s="80"/>
      <c r="U593" s="80"/>
      <c r="V593" s="144"/>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c r="AW593" s="80"/>
      <c r="AX593" s="80"/>
      <c r="AY593" s="80"/>
      <c r="AZ593" s="80"/>
      <c r="BA593" s="80"/>
      <c r="BB593" s="80"/>
      <c r="BC593" s="80"/>
      <c r="BD593" s="80"/>
      <c r="BE593" s="80"/>
      <c r="BF593" s="80"/>
      <c r="BG593" s="80"/>
      <c r="BH593" s="80"/>
      <c r="BI593" s="80"/>
      <c r="BJ593" s="80"/>
    </row>
    <row r="594" spans="3:62" s="1" customFormat="1" ht="25.5" customHeight="1" x14ac:dyDescent="0.2">
      <c r="C594" s="602" t="str">
        <f>IF('Data Set up'!$J59=$F$587,'Data Set up'!$C59,"")</f>
        <v/>
      </c>
      <c r="D594" s="1565" t="str">
        <f>IF('Data Set up'!$J59=$F$587,'Data Set up'!$D59,"")</f>
        <v/>
      </c>
      <c r="E594" s="1565"/>
      <c r="F594" s="1565"/>
      <c r="G594" s="634" t="str">
        <f>IF('Data Set up'!$J59=$F$587,'Data Set up'!$F59,"")</f>
        <v/>
      </c>
      <c r="I594" s="1547" t="str">
        <f>IF($Q$2=2,"Solde engagé actuel du compte (reconcilié)","Actual Credit balance committed (reconciled)")</f>
        <v>Actual Credit balance committed (reconciled)</v>
      </c>
      <c r="J594" s="1547"/>
      <c r="K594" s="1547"/>
      <c r="L594" s="1547"/>
      <c r="M594" s="1547"/>
      <c r="N594" s="590">
        <f>N588-N590+N592</f>
        <v>0</v>
      </c>
      <c r="P594" s="80"/>
      <c r="Q594" s="80"/>
      <c r="R594" s="80"/>
      <c r="S594" s="80"/>
      <c r="T594" s="80"/>
      <c r="U594" s="80"/>
      <c r="V594" s="144"/>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c r="AW594" s="80"/>
      <c r="AX594" s="80"/>
      <c r="AY594" s="80"/>
      <c r="AZ594" s="80"/>
      <c r="BA594" s="80"/>
      <c r="BB594" s="80"/>
      <c r="BC594" s="80"/>
      <c r="BD594" s="80"/>
      <c r="BE594" s="80"/>
      <c r="BF594" s="80"/>
      <c r="BG594" s="80"/>
      <c r="BH594" s="80"/>
      <c r="BI594" s="80"/>
      <c r="BJ594" s="80"/>
    </row>
    <row r="595" spans="3:62" s="1" customFormat="1" ht="25.5" customHeight="1" x14ac:dyDescent="0.2">
      <c r="C595" s="602" t="str">
        <f>IF('Data Set up'!$J60=$F$587,'Data Set up'!$C60,"")</f>
        <v/>
      </c>
      <c r="D595" s="1565" t="str">
        <f>IF('Data Set up'!$J60=$F$587,'Data Set up'!$D60,"")</f>
        <v/>
      </c>
      <c r="E595" s="1565"/>
      <c r="F595" s="1565"/>
      <c r="G595" s="634" t="str">
        <f>IF('Data Set up'!$J60=$F$587,'Data Set up'!$F60,"")</f>
        <v/>
      </c>
      <c r="P595" s="80"/>
      <c r="Q595" s="80"/>
      <c r="R595" s="80"/>
      <c r="S595" s="80"/>
      <c r="T595" s="80"/>
      <c r="U595" s="80"/>
      <c r="V595" s="144"/>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c r="AW595" s="80"/>
      <c r="AX595" s="80"/>
      <c r="AY595" s="80"/>
      <c r="AZ595" s="80"/>
      <c r="BA595" s="80"/>
      <c r="BB595" s="80"/>
      <c r="BC595" s="80"/>
      <c r="BD595" s="80"/>
      <c r="BE595" s="80"/>
      <c r="BF595" s="80"/>
      <c r="BG595" s="80"/>
      <c r="BH595" s="80"/>
      <c r="BI595" s="80"/>
      <c r="BJ595" s="80"/>
    </row>
    <row r="596" spans="3:62" s="1" customFormat="1" ht="25.5" customHeight="1" x14ac:dyDescent="0.2">
      <c r="C596" s="602" t="str">
        <f>IF('Data Set up'!$J61=$F$587,'Data Set up'!$C61,"")</f>
        <v/>
      </c>
      <c r="D596" s="1565" t="str">
        <f>IF('Data Set up'!$J61=$F$587,'Data Set up'!$D61,"")</f>
        <v/>
      </c>
      <c r="E596" s="1565"/>
      <c r="F596" s="1565"/>
      <c r="G596" s="634" t="str">
        <f>IF('Data Set up'!$J61=$F$587,'Data Set up'!$F61,"")</f>
        <v/>
      </c>
      <c r="I596" s="144"/>
      <c r="J596" s="80"/>
      <c r="K596" s="80"/>
      <c r="L596" s="80"/>
      <c r="M596" s="80"/>
      <c r="N596" s="144"/>
      <c r="P596" s="80"/>
      <c r="Q596" s="80"/>
      <c r="R596" s="80"/>
      <c r="S596" s="80"/>
      <c r="T596" s="80"/>
      <c r="U596" s="80"/>
      <c r="V596" s="144"/>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c r="AW596" s="80"/>
      <c r="AX596" s="80"/>
      <c r="AY596" s="80"/>
      <c r="AZ596" s="80"/>
      <c r="BA596" s="80"/>
      <c r="BB596" s="80"/>
      <c r="BC596" s="80"/>
      <c r="BD596" s="80"/>
      <c r="BE596" s="80"/>
      <c r="BF596" s="80"/>
      <c r="BG596" s="80"/>
      <c r="BH596" s="80"/>
      <c r="BI596" s="80"/>
      <c r="BJ596" s="80"/>
    </row>
    <row r="597" spans="3:62" s="1" customFormat="1" ht="25.5" customHeight="1" x14ac:dyDescent="0.2">
      <c r="C597" s="602" t="str">
        <f>IF('Data Set up'!$J62=$F$587,'Data Set up'!$C62,"")</f>
        <v/>
      </c>
      <c r="D597" s="1565" t="str">
        <f>IF('Data Set up'!$J62=$F$587,'Data Set up'!$D62,"")</f>
        <v/>
      </c>
      <c r="E597" s="1565"/>
      <c r="F597" s="1565"/>
      <c r="G597" s="634" t="str">
        <f>IF('Data Set up'!$J62=$F$587,'Data Set up'!$F62,"")</f>
        <v/>
      </c>
      <c r="I597" s="144"/>
      <c r="J597" s="80"/>
      <c r="K597" s="80"/>
      <c r="L597" s="80"/>
      <c r="M597" s="80"/>
      <c r="N597" s="144"/>
      <c r="P597" s="80"/>
      <c r="Q597" s="80"/>
      <c r="R597" s="80"/>
      <c r="S597" s="80"/>
      <c r="T597" s="80"/>
      <c r="U597" s="80"/>
      <c r="V597" s="144"/>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c r="AW597" s="80"/>
      <c r="AX597" s="80"/>
      <c r="AY597" s="80"/>
      <c r="AZ597" s="80"/>
      <c r="BA597" s="80"/>
      <c r="BB597" s="80"/>
      <c r="BC597" s="80"/>
      <c r="BD597" s="80"/>
      <c r="BE597" s="80"/>
      <c r="BF597" s="80"/>
      <c r="BG597" s="80"/>
      <c r="BH597" s="80"/>
      <c r="BI597" s="80"/>
      <c r="BJ597" s="80"/>
    </row>
    <row r="598" spans="3:62" s="1" customFormat="1" ht="25.5" customHeight="1" x14ac:dyDescent="0.2">
      <c r="C598" s="602" t="str">
        <f>IF('Data Set up'!$J63=$F$587,'Data Set up'!$C63,"")</f>
        <v/>
      </c>
      <c r="D598" s="1565" t="str">
        <f>IF('Data Set up'!$J63=$F$587,'Data Set up'!$D63,"")</f>
        <v/>
      </c>
      <c r="E598" s="1565"/>
      <c r="F598" s="1565"/>
      <c r="G598" s="634" t="str">
        <f>IF('Data Set up'!$J63=$F$587,'Data Set up'!$F63,"")</f>
        <v/>
      </c>
      <c r="I598" s="144"/>
      <c r="J598" s="80"/>
      <c r="K598" s="80"/>
      <c r="L598" s="80"/>
      <c r="M598" s="80"/>
      <c r="N598" s="144"/>
      <c r="P598" s="80"/>
      <c r="Q598" s="80"/>
      <c r="R598" s="80"/>
      <c r="S598" s="80"/>
      <c r="T598" s="80"/>
      <c r="U598" s="80"/>
      <c r="V598" s="144"/>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c r="AW598" s="80"/>
      <c r="AX598" s="80"/>
      <c r="AY598" s="80"/>
      <c r="AZ598" s="80"/>
      <c r="BA598" s="80"/>
      <c r="BB598" s="80"/>
      <c r="BC598" s="80"/>
      <c r="BD598" s="80"/>
      <c r="BE598" s="80"/>
      <c r="BF598" s="80"/>
      <c r="BG598" s="80"/>
      <c r="BH598" s="80"/>
      <c r="BI598" s="80"/>
      <c r="BJ598" s="80"/>
    </row>
    <row r="599" spans="3:62" s="1" customFormat="1" ht="25.5" customHeight="1" x14ac:dyDescent="0.2">
      <c r="C599" s="602" t="str">
        <f>IF('Data Set up'!$J64=$F$587,'Data Set up'!$C64,"")</f>
        <v/>
      </c>
      <c r="D599" s="1565" t="str">
        <f>IF('Data Set up'!$J64=$F$587,'Data Set up'!$D64,"")</f>
        <v/>
      </c>
      <c r="E599" s="1565"/>
      <c r="F599" s="1565"/>
      <c r="G599" s="634" t="str">
        <f>IF('Data Set up'!$J64=$F$587,'Data Set up'!$F64,"")</f>
        <v/>
      </c>
      <c r="I599" s="144"/>
      <c r="J599" s="80"/>
      <c r="K599" s="80"/>
      <c r="L599" s="80"/>
      <c r="M599" s="80"/>
      <c r="N599" s="144"/>
      <c r="P599" s="80"/>
      <c r="Q599" s="80"/>
      <c r="R599" s="80"/>
      <c r="S599" s="80"/>
      <c r="T599" s="80"/>
      <c r="U599" s="80"/>
      <c r="V599" s="144"/>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c r="AW599" s="80"/>
      <c r="AX599" s="80"/>
      <c r="AY599" s="80"/>
      <c r="AZ599" s="80"/>
      <c r="BA599" s="80"/>
      <c r="BB599" s="80"/>
      <c r="BC599" s="80"/>
      <c r="BD599" s="80"/>
      <c r="BE599" s="80"/>
      <c r="BF599" s="80"/>
      <c r="BG599" s="80"/>
      <c r="BH599" s="80"/>
      <c r="BI599" s="80"/>
      <c r="BJ599" s="80"/>
    </row>
    <row r="600" spans="3:62" s="1" customFormat="1" ht="25.5" customHeight="1" x14ac:dyDescent="0.2">
      <c r="C600" s="602" t="str">
        <f>IF('Data Set up'!$J65=$F$587,'Data Set up'!$C65,"")</f>
        <v/>
      </c>
      <c r="D600" s="1565" t="str">
        <f>IF('Data Set up'!$J65=$F$587,'Data Set up'!$D65,"")</f>
        <v/>
      </c>
      <c r="E600" s="1565"/>
      <c r="F600" s="1565"/>
      <c r="G600" s="634" t="str">
        <f>IF('Data Set up'!$J65=$F$587,'Data Set up'!$F65,"")</f>
        <v/>
      </c>
      <c r="I600" s="144"/>
      <c r="J600" s="80"/>
      <c r="K600" s="80"/>
      <c r="L600" s="80"/>
      <c r="M600" s="80"/>
      <c r="N600" s="144"/>
      <c r="P600" s="80"/>
      <c r="Q600" s="80"/>
      <c r="R600" s="80"/>
      <c r="S600" s="80"/>
      <c r="T600" s="80"/>
      <c r="U600" s="80"/>
      <c r="V600" s="144"/>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c r="AW600" s="80"/>
      <c r="AX600" s="80"/>
      <c r="AY600" s="80"/>
      <c r="AZ600" s="80"/>
      <c r="BA600" s="80"/>
      <c r="BB600" s="80"/>
      <c r="BC600" s="80"/>
      <c r="BD600" s="80"/>
      <c r="BE600" s="80"/>
      <c r="BF600" s="80"/>
      <c r="BG600" s="80"/>
      <c r="BH600" s="80"/>
      <c r="BI600" s="80"/>
      <c r="BJ600" s="80"/>
    </row>
    <row r="601" spans="3:62" s="1" customFormat="1" ht="25.5" customHeight="1" x14ac:dyDescent="0.2">
      <c r="C601" s="602" t="str">
        <f>IF('Data Set up'!$J66=$F$587,'Data Set up'!$C66,"")</f>
        <v/>
      </c>
      <c r="D601" s="1565" t="str">
        <f>IF('Data Set up'!$J66=$F$587,'Data Set up'!$D66,"")</f>
        <v/>
      </c>
      <c r="E601" s="1565"/>
      <c r="F601" s="1565"/>
      <c r="G601" s="634" t="str">
        <f>IF('Data Set up'!$J66=$F$587,'Data Set up'!$F66,"")</f>
        <v/>
      </c>
      <c r="I601" s="144"/>
      <c r="J601" s="80"/>
      <c r="K601" s="80"/>
      <c r="L601" s="80"/>
      <c r="M601" s="80"/>
      <c r="N601" s="144"/>
      <c r="P601" s="80"/>
      <c r="Q601" s="80"/>
      <c r="R601" s="80"/>
      <c r="S601" s="80"/>
      <c r="T601" s="80"/>
      <c r="U601" s="80"/>
      <c r="V601" s="144"/>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c r="AW601" s="80"/>
      <c r="AX601" s="80"/>
      <c r="AY601" s="80"/>
      <c r="AZ601" s="80"/>
      <c r="BA601" s="80"/>
      <c r="BB601" s="80"/>
      <c r="BC601" s="80"/>
      <c r="BD601" s="80"/>
      <c r="BE601" s="80"/>
      <c r="BF601" s="80"/>
      <c r="BG601" s="80"/>
      <c r="BH601" s="80"/>
      <c r="BI601" s="80"/>
      <c r="BJ601" s="80"/>
    </row>
    <row r="602" spans="3:62" s="1" customFormat="1" ht="25.5" customHeight="1" x14ac:dyDescent="0.2">
      <c r="C602" s="602" t="str">
        <f>IF('Data Set up'!$J67=$F$587,'Data Set up'!$C67,"")</f>
        <v/>
      </c>
      <c r="D602" s="1565" t="str">
        <f>IF('Data Set up'!$J67=$F$587,'Data Set up'!$D67,"")</f>
        <v/>
      </c>
      <c r="E602" s="1565"/>
      <c r="F602" s="1565"/>
      <c r="G602" s="634" t="str">
        <f>IF('Data Set up'!$J67=$F$587,'Data Set up'!$F67,"")</f>
        <v/>
      </c>
      <c r="I602" s="144"/>
      <c r="J602" s="80"/>
      <c r="K602" s="80"/>
      <c r="L602" s="80"/>
      <c r="M602" s="80"/>
      <c r="N602" s="144"/>
      <c r="P602" s="80"/>
      <c r="Q602" s="80"/>
      <c r="R602" s="80"/>
      <c r="S602" s="80"/>
      <c r="T602" s="80"/>
      <c r="U602" s="80"/>
      <c r="V602" s="144"/>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c r="AW602" s="80"/>
      <c r="AX602" s="80"/>
      <c r="AY602" s="80"/>
      <c r="AZ602" s="80"/>
      <c r="BA602" s="80"/>
      <c r="BB602" s="80"/>
      <c r="BC602" s="80"/>
      <c r="BD602" s="80"/>
      <c r="BE602" s="80"/>
      <c r="BF602" s="80"/>
      <c r="BG602" s="80"/>
      <c r="BH602" s="80"/>
      <c r="BI602" s="80"/>
      <c r="BJ602" s="80"/>
    </row>
    <row r="603" spans="3:62" s="1" customFormat="1" ht="25.5" customHeight="1" x14ac:dyDescent="0.2">
      <c r="C603" s="602" t="str">
        <f>IF('Data Set up'!$J68=$F$587,'Data Set up'!$C68,"")</f>
        <v/>
      </c>
      <c r="D603" s="1565" t="str">
        <f>IF('Data Set up'!$J68=$F$587,'Data Set up'!$D68,"")</f>
        <v/>
      </c>
      <c r="E603" s="1565"/>
      <c r="F603" s="1565"/>
      <c r="G603" s="634" t="str">
        <f>IF('Data Set up'!$J68=$F$587,'Data Set up'!$F68,"")</f>
        <v/>
      </c>
      <c r="I603" s="144"/>
      <c r="J603" s="80"/>
      <c r="K603" s="80"/>
      <c r="L603" s="80"/>
      <c r="M603" s="80"/>
      <c r="N603" s="144"/>
      <c r="P603" s="80"/>
      <c r="Q603" s="80"/>
      <c r="R603" s="80"/>
      <c r="S603" s="80"/>
      <c r="T603" s="80"/>
      <c r="U603" s="80"/>
      <c r="V603" s="144"/>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c r="AW603" s="80"/>
      <c r="AX603" s="80"/>
      <c r="AY603" s="80"/>
      <c r="AZ603" s="80"/>
      <c r="BA603" s="80"/>
      <c r="BB603" s="80"/>
      <c r="BC603" s="80"/>
      <c r="BD603" s="80"/>
      <c r="BE603" s="80"/>
      <c r="BF603" s="80"/>
      <c r="BG603" s="80"/>
      <c r="BH603" s="80"/>
      <c r="BI603" s="80"/>
      <c r="BJ603" s="80"/>
    </row>
    <row r="604" spans="3:62" s="1" customFormat="1" ht="25.5" customHeight="1" x14ac:dyDescent="0.2">
      <c r="C604" s="602" t="str">
        <f>IF('Data Set up'!$J69=$F$587,'Data Set up'!$C69,"")</f>
        <v/>
      </c>
      <c r="D604" s="1565" t="str">
        <f>IF('Data Set up'!$J69=$F$587,'Data Set up'!$D69,"")</f>
        <v/>
      </c>
      <c r="E604" s="1565"/>
      <c r="F604" s="1565"/>
      <c r="G604" s="634" t="str">
        <f>IF('Data Set up'!$J69=$F$587,'Data Set up'!$F69,"")</f>
        <v/>
      </c>
      <c r="I604" s="144"/>
      <c r="J604" s="80"/>
      <c r="K604" s="80"/>
      <c r="L604" s="80"/>
      <c r="M604" s="80"/>
      <c r="N604" s="144"/>
      <c r="P604" s="80"/>
      <c r="Q604" s="80"/>
      <c r="R604" s="80"/>
      <c r="S604" s="80"/>
      <c r="T604" s="80"/>
      <c r="U604" s="80"/>
      <c r="V604" s="144"/>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c r="AW604" s="80"/>
      <c r="AX604" s="80"/>
      <c r="AY604" s="80"/>
      <c r="AZ604" s="80"/>
      <c r="BA604" s="80"/>
      <c r="BB604" s="80"/>
      <c r="BC604" s="80"/>
      <c r="BD604" s="80"/>
      <c r="BE604" s="80"/>
      <c r="BF604" s="80"/>
      <c r="BG604" s="80"/>
      <c r="BH604" s="80"/>
      <c r="BI604" s="80"/>
      <c r="BJ604" s="80"/>
    </row>
    <row r="605" spans="3:62" s="1" customFormat="1" ht="25.5" customHeight="1" x14ac:dyDescent="0.2">
      <c r="C605" s="602" t="str">
        <f>IF('Data Set up'!$J70=$F$587,'Data Set up'!$C70,"")</f>
        <v/>
      </c>
      <c r="D605" s="1565" t="str">
        <f>IF('Data Set up'!$J70=$F$587,'Data Set up'!$D70,"")</f>
        <v/>
      </c>
      <c r="E605" s="1565"/>
      <c r="F605" s="1565"/>
      <c r="G605" s="634" t="str">
        <f>IF('Data Set up'!$J70=$F$587,'Data Set up'!$F70,"")</f>
        <v/>
      </c>
      <c r="I605" s="144"/>
      <c r="J605" s="80"/>
      <c r="K605" s="80"/>
      <c r="L605" s="80"/>
      <c r="M605" s="80"/>
      <c r="N605" s="144"/>
      <c r="P605" s="80"/>
      <c r="Q605" s="80"/>
      <c r="R605" s="80"/>
      <c r="S605" s="80"/>
      <c r="T605" s="80"/>
      <c r="U605" s="80"/>
      <c r="V605" s="144"/>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c r="AW605" s="80"/>
      <c r="AX605" s="80"/>
      <c r="AY605" s="80"/>
      <c r="AZ605" s="80"/>
      <c r="BA605" s="80"/>
      <c r="BB605" s="80"/>
      <c r="BC605" s="80"/>
      <c r="BD605" s="80"/>
      <c r="BE605" s="80"/>
      <c r="BF605" s="80"/>
      <c r="BG605" s="80"/>
      <c r="BH605" s="80"/>
      <c r="BI605" s="80"/>
      <c r="BJ605" s="80"/>
    </row>
    <row r="606" spans="3:62" s="1" customFormat="1" ht="25.5" customHeight="1" x14ac:dyDescent="0.2">
      <c r="C606" s="602" t="str">
        <f>IF('Data Set up'!$J71=$F$587,'Data Set up'!$C71,"")</f>
        <v/>
      </c>
      <c r="D606" s="1565" t="str">
        <f>IF('Data Set up'!$J71=$F$587,'Data Set up'!$D71,"")</f>
        <v/>
      </c>
      <c r="E606" s="1565"/>
      <c r="F606" s="1565"/>
      <c r="G606" s="634" t="str">
        <f>IF('Data Set up'!$J71=$F$587,'Data Set up'!$F71,"")</f>
        <v/>
      </c>
      <c r="I606" s="143"/>
      <c r="J606" s="80"/>
      <c r="K606" s="80"/>
      <c r="L606" s="80"/>
      <c r="M606" s="80"/>
      <c r="N606" s="208"/>
      <c r="P606" s="80"/>
      <c r="Q606" s="80"/>
      <c r="R606" s="80"/>
      <c r="S606" s="80"/>
      <c r="T606" s="80"/>
      <c r="U606" s="80"/>
      <c r="V606" s="144"/>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c r="AW606" s="80"/>
      <c r="AX606" s="80"/>
      <c r="AY606" s="80"/>
      <c r="AZ606" s="80"/>
      <c r="BA606" s="80"/>
      <c r="BB606" s="80"/>
      <c r="BC606" s="80"/>
      <c r="BD606" s="80"/>
      <c r="BE606" s="80"/>
      <c r="BF606" s="80"/>
      <c r="BG606" s="80"/>
      <c r="BH606" s="80"/>
      <c r="BI606" s="80"/>
      <c r="BJ606" s="80"/>
    </row>
    <row r="607" spans="3:62" s="1" customFormat="1" ht="25.5" customHeight="1" x14ac:dyDescent="0.2">
      <c r="C607" s="1546" t="str">
        <f>IF($Q$2=2,"Dépenses de l'année précédente (non traités dans l'année précédente)","Previous Year's Expenses (not processed in prev year)")</f>
        <v>Previous Year's Expenses (not processed in prev year)</v>
      </c>
      <c r="D607" s="1546"/>
      <c r="E607" s="1546"/>
      <c r="F607" s="1546"/>
      <c r="G607" s="1546"/>
      <c r="I607" s="604"/>
      <c r="J607" s="605"/>
      <c r="K607" s="605"/>
      <c r="L607" s="605"/>
      <c r="M607" s="605"/>
      <c r="N607" s="208"/>
      <c r="P607" s="80"/>
      <c r="Q607" s="80"/>
      <c r="R607" s="80"/>
      <c r="S607" s="80"/>
      <c r="T607" s="80"/>
      <c r="U607" s="80"/>
      <c r="V607" s="144"/>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80"/>
      <c r="BB607" s="80"/>
      <c r="BC607" s="80"/>
      <c r="BD607" s="80"/>
      <c r="BE607" s="80"/>
      <c r="BF607" s="80"/>
      <c r="BG607" s="80"/>
      <c r="BH607" s="80"/>
      <c r="BI607" s="80"/>
      <c r="BJ607" s="80"/>
    </row>
    <row r="608" spans="3:62" s="1" customFormat="1" ht="25.5" customHeight="1" x14ac:dyDescent="0.2">
      <c r="C608" s="606" t="str">
        <f>IF($Q$2=2,"Transactions #","Transactions #")</f>
        <v>Transactions #</v>
      </c>
      <c r="D608" s="1548" t="str">
        <f>IF($Q$2=2,"À l'ordre de","Payable to")</f>
        <v>Payable to</v>
      </c>
      <c r="E608" s="1548"/>
      <c r="F608" s="1548"/>
      <c r="G608" s="607" t="str">
        <f>IF($Q$2=2,"Montant","Amount")</f>
        <v>Amount</v>
      </c>
      <c r="H608" s="586"/>
      <c r="I608" s="608"/>
      <c r="J608" s="605"/>
      <c r="K608" s="605"/>
      <c r="L608" s="605"/>
      <c r="M608" s="605"/>
      <c r="N608" s="208"/>
      <c r="P608" s="80"/>
      <c r="Q608" s="80"/>
      <c r="R608" s="80"/>
      <c r="S608" s="80"/>
      <c r="T608" s="80"/>
      <c r="U608" s="80"/>
      <c r="V608" s="144"/>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c r="AW608" s="80"/>
      <c r="AX608" s="80"/>
      <c r="AY608" s="80"/>
      <c r="AZ608" s="80"/>
      <c r="BA608" s="80"/>
      <c r="BB608" s="80"/>
      <c r="BC608" s="80"/>
      <c r="BD608" s="80"/>
      <c r="BE608" s="80"/>
      <c r="BF608" s="80"/>
      <c r="BG608" s="80"/>
      <c r="BH608" s="80"/>
      <c r="BI608" s="80"/>
      <c r="BJ608" s="80"/>
    </row>
    <row r="609" spans="3:62" s="1" customFormat="1" ht="25.5" customHeight="1" x14ac:dyDescent="0.2">
      <c r="C609" s="602" t="str">
        <f>IF('Data Set up'!$J76=$F$587,'Data Set up'!$C76,"")</f>
        <v/>
      </c>
      <c r="D609" s="1565" t="str">
        <f>IF('Data Set up'!$J76=$F$587,'Data Set up'!$D76,"")</f>
        <v/>
      </c>
      <c r="E609" s="1565"/>
      <c r="F609" s="1565"/>
      <c r="G609" s="634" t="str">
        <f>IF('Data Set up'!$J76=$F$587,'Data Set up'!$F76,"")</f>
        <v/>
      </c>
      <c r="H609" s="586"/>
      <c r="I609" s="205"/>
      <c r="N609" s="208"/>
      <c r="P609" s="80"/>
      <c r="Q609" s="80"/>
      <c r="R609" s="80"/>
      <c r="S609" s="80"/>
      <c r="T609" s="80"/>
      <c r="U609" s="80"/>
      <c r="V609" s="144"/>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c r="AW609" s="80"/>
      <c r="AX609" s="80"/>
      <c r="AY609" s="80"/>
      <c r="AZ609" s="80"/>
      <c r="BA609" s="80"/>
      <c r="BB609" s="80"/>
      <c r="BC609" s="80"/>
      <c r="BD609" s="80"/>
      <c r="BE609" s="80"/>
      <c r="BF609" s="80"/>
      <c r="BG609" s="80"/>
      <c r="BH609" s="80"/>
      <c r="BI609" s="80"/>
      <c r="BJ609" s="80"/>
    </row>
    <row r="610" spans="3:62" s="1" customFormat="1" ht="25.5" customHeight="1" x14ac:dyDescent="0.2">
      <c r="C610" s="602" t="str">
        <f>IF('Data Set up'!$J77=$F$587,'Data Set up'!$C77,"")</f>
        <v/>
      </c>
      <c r="D610" s="1565" t="str">
        <f>IF('Data Set up'!$J77=$F$587,'Data Set up'!$D77,"")</f>
        <v/>
      </c>
      <c r="E610" s="1565"/>
      <c r="F610" s="1565"/>
      <c r="G610" s="634" t="str">
        <f>IF('Data Set up'!$J77=$F$587,'Data Set up'!$F77,"")</f>
        <v/>
      </c>
      <c r="I610" s="355"/>
      <c r="J610" s="355"/>
      <c r="K610" s="355"/>
      <c r="L610" s="355"/>
      <c r="M610" s="355"/>
      <c r="N610" s="355"/>
      <c r="P610" s="80"/>
      <c r="Q610" s="80"/>
      <c r="R610" s="80"/>
      <c r="S610" s="80"/>
      <c r="T610" s="80"/>
      <c r="U610" s="80"/>
      <c r="V610" s="144"/>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c r="AW610" s="80"/>
      <c r="AX610" s="80"/>
      <c r="AY610" s="80"/>
      <c r="AZ610" s="80"/>
      <c r="BA610" s="80"/>
      <c r="BB610" s="80"/>
      <c r="BC610" s="80"/>
      <c r="BD610" s="80"/>
      <c r="BE610" s="80"/>
      <c r="BF610" s="80"/>
      <c r="BG610" s="80"/>
      <c r="BH610" s="80"/>
      <c r="BI610" s="80"/>
      <c r="BJ610" s="80"/>
    </row>
    <row r="611" spans="3:62" s="1" customFormat="1" ht="25.5" customHeight="1" x14ac:dyDescent="0.2">
      <c r="C611" s="602" t="str">
        <f>IF('Data Set up'!$J78=$F$587,'Data Set up'!$C78,"")</f>
        <v/>
      </c>
      <c r="D611" s="1565" t="str">
        <f>IF('Data Set up'!$J78=$F$587,'Data Set up'!$D78,"")</f>
        <v/>
      </c>
      <c r="E611" s="1565"/>
      <c r="F611" s="1565"/>
      <c r="G611" s="634" t="str">
        <f>IF('Data Set up'!$J78=$F$587,'Data Set up'!$F78,"")</f>
        <v/>
      </c>
      <c r="I611" s="609"/>
      <c r="J611" s="80"/>
      <c r="K611" s="80"/>
      <c r="L611" s="80"/>
      <c r="M611" s="80"/>
      <c r="N611" s="144"/>
      <c r="P611" s="80"/>
      <c r="Q611" s="80"/>
      <c r="R611" s="80"/>
      <c r="S611" s="80"/>
      <c r="T611" s="80"/>
      <c r="U611" s="80"/>
      <c r="V611" s="144"/>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c r="AW611" s="80"/>
      <c r="AX611" s="80"/>
      <c r="AY611" s="80"/>
      <c r="AZ611" s="80"/>
      <c r="BA611" s="80"/>
      <c r="BB611" s="80"/>
      <c r="BC611" s="80"/>
      <c r="BD611" s="80"/>
      <c r="BE611" s="80"/>
      <c r="BF611" s="80"/>
      <c r="BG611" s="80"/>
      <c r="BH611" s="80"/>
      <c r="BI611" s="80"/>
      <c r="BJ611" s="80"/>
    </row>
    <row r="612" spans="3:62" s="1" customFormat="1" ht="25.5" customHeight="1" x14ac:dyDescent="0.2">
      <c r="C612" s="602" t="str">
        <f>IF('Data Set up'!$J79=$F$587,'Data Set up'!$C79,"")</f>
        <v/>
      </c>
      <c r="D612" s="1565" t="str">
        <f>IF('Data Set up'!$J79=$F$587,'Data Set up'!$D79,"")</f>
        <v/>
      </c>
      <c r="E612" s="1565"/>
      <c r="F612" s="1565"/>
      <c r="G612" s="634" t="str">
        <f>IF('Data Set up'!$J79=$F$587,'Data Set up'!$F79,"")</f>
        <v/>
      </c>
      <c r="I612" s="610"/>
      <c r="J612" s="80"/>
      <c r="K612" s="80"/>
      <c r="L612" s="80"/>
      <c r="M612" s="80"/>
      <c r="N612" s="589"/>
      <c r="P612" s="80"/>
      <c r="Q612" s="80"/>
      <c r="R612" s="80"/>
      <c r="S612" s="80"/>
      <c r="T612" s="80"/>
      <c r="U612" s="80"/>
      <c r="V612" s="144"/>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c r="AW612" s="80"/>
      <c r="AX612" s="80"/>
      <c r="AY612" s="80"/>
      <c r="AZ612" s="80"/>
      <c r="BA612" s="80"/>
      <c r="BB612" s="80"/>
      <c r="BC612" s="80"/>
      <c r="BD612" s="80"/>
      <c r="BE612" s="80"/>
      <c r="BF612" s="80"/>
      <c r="BG612" s="80"/>
      <c r="BH612" s="80"/>
      <c r="BI612" s="80"/>
      <c r="BJ612" s="80"/>
    </row>
    <row r="613" spans="3:62" s="1" customFormat="1" ht="25.5" customHeight="1" x14ac:dyDescent="0.2">
      <c r="C613" s="602" t="str">
        <f>IF('Data Set up'!$J80=$F$587,'Data Set up'!$C80,"")</f>
        <v/>
      </c>
      <c r="D613" s="1565" t="str">
        <f>IF('Data Set up'!$J80=$F$587,'Data Set up'!$D80,"")</f>
        <v/>
      </c>
      <c r="E613" s="1565"/>
      <c r="F613" s="1565"/>
      <c r="G613" s="634" t="str">
        <f>IF('Data Set up'!$J80=$F$587,'Data Set up'!$F80,"")</f>
        <v/>
      </c>
      <c r="I613" s="610"/>
      <c r="J613" s="80"/>
      <c r="K613" s="80"/>
      <c r="L613" s="80"/>
      <c r="M613" s="80"/>
      <c r="N613" s="589"/>
      <c r="P613" s="80"/>
      <c r="Q613" s="80"/>
      <c r="R613" s="80"/>
      <c r="S613" s="80"/>
      <c r="T613" s="80"/>
      <c r="U613" s="80"/>
      <c r="V613" s="144"/>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c r="AW613" s="80"/>
      <c r="AX613" s="80"/>
      <c r="AY613" s="80"/>
      <c r="AZ613" s="80"/>
      <c r="BA613" s="80"/>
      <c r="BB613" s="80"/>
      <c r="BC613" s="80"/>
      <c r="BD613" s="80"/>
      <c r="BE613" s="80"/>
      <c r="BF613" s="80"/>
      <c r="BG613" s="80"/>
      <c r="BH613" s="80"/>
      <c r="BI613" s="80"/>
      <c r="BJ613" s="80"/>
    </row>
    <row r="614" spans="3:62" s="1" customFormat="1" ht="25.5" customHeight="1" x14ac:dyDescent="0.2">
      <c r="C614" s="602" t="str">
        <f>IF('Data Set up'!$J81=$F$587,'Data Set up'!$C81,"")</f>
        <v/>
      </c>
      <c r="D614" s="1565" t="str">
        <f>IF('Data Set up'!$J81=$F$587,'Data Set up'!$D81,"")</f>
        <v/>
      </c>
      <c r="E614" s="1565"/>
      <c r="F614" s="1565"/>
      <c r="G614" s="634" t="str">
        <f>IF('Data Set up'!$J81=$F$587,'Data Set up'!$F81,"")</f>
        <v/>
      </c>
      <c r="I614" s="610"/>
      <c r="J614" s="80"/>
      <c r="K614" s="80"/>
      <c r="L614" s="80"/>
      <c r="M614" s="80"/>
      <c r="N614" s="589"/>
      <c r="P614" s="80"/>
      <c r="Q614" s="80"/>
      <c r="R614" s="80"/>
      <c r="S614" s="80"/>
      <c r="T614" s="80"/>
      <c r="U614" s="80"/>
      <c r="V614" s="144"/>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c r="AW614" s="80"/>
      <c r="AX614" s="80"/>
      <c r="AY614" s="80"/>
      <c r="AZ614" s="80"/>
      <c r="BA614" s="80"/>
      <c r="BB614" s="80"/>
      <c r="BC614" s="80"/>
      <c r="BD614" s="80"/>
      <c r="BE614" s="80"/>
      <c r="BF614" s="80"/>
      <c r="BG614" s="80"/>
      <c r="BH614" s="80"/>
      <c r="BI614" s="80"/>
      <c r="BJ614" s="80"/>
    </row>
    <row r="615" spans="3:62" s="1" customFormat="1" ht="25.5" customHeight="1" x14ac:dyDescent="0.2">
      <c r="C615" s="602" t="str">
        <f>IF('Data Set up'!$J82=$F$587,'Data Set up'!$C82,"")</f>
        <v/>
      </c>
      <c r="D615" s="1565" t="str">
        <f>IF('Data Set up'!$J82=$F$587,'Data Set up'!$D82,"")</f>
        <v/>
      </c>
      <c r="E615" s="1565"/>
      <c r="F615" s="1565"/>
      <c r="G615" s="634" t="str">
        <f>IF('Data Set up'!$J82=$F$587,'Data Set up'!$F82,"")</f>
        <v/>
      </c>
      <c r="I615" s="610"/>
      <c r="J615" s="80"/>
      <c r="K615" s="80"/>
      <c r="L615" s="80"/>
      <c r="M615" s="80"/>
      <c r="N615" s="589"/>
      <c r="P615" s="80"/>
      <c r="Q615" s="80"/>
      <c r="R615" s="80"/>
      <c r="S615" s="80"/>
      <c r="T615" s="80"/>
      <c r="U615" s="80"/>
      <c r="V615" s="144"/>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c r="AW615" s="80"/>
      <c r="AX615" s="80"/>
      <c r="AY615" s="80"/>
      <c r="AZ615" s="80"/>
      <c r="BA615" s="80"/>
      <c r="BB615" s="80"/>
      <c r="BC615" s="80"/>
      <c r="BD615" s="80"/>
      <c r="BE615" s="80"/>
      <c r="BF615" s="80"/>
      <c r="BG615" s="80"/>
      <c r="BH615" s="80"/>
      <c r="BI615" s="80"/>
      <c r="BJ615" s="80"/>
    </row>
    <row r="616" spans="3:62" s="1" customFormat="1" ht="25.5" customHeight="1" x14ac:dyDescent="0.2">
      <c r="C616" s="602" t="str">
        <f>IF('Data Set up'!$J83=$F$587,'Data Set up'!$C83,"")</f>
        <v/>
      </c>
      <c r="D616" s="1565" t="str">
        <f>IF('Data Set up'!$J83=$F$587,'Data Set up'!$D83,"")</f>
        <v/>
      </c>
      <c r="E616" s="1565"/>
      <c r="F616" s="1565"/>
      <c r="G616" s="634" t="str">
        <f>IF('Data Set up'!$J83=$F$587,'Data Set up'!$F83,"")</f>
        <v/>
      </c>
      <c r="I616" s="611"/>
      <c r="J616" s="649"/>
      <c r="K616" s="649"/>
      <c r="L616" s="649"/>
      <c r="M616" s="649"/>
      <c r="N616" s="589"/>
      <c r="P616" s="80"/>
      <c r="Q616" s="80"/>
      <c r="R616" s="80"/>
      <c r="S616" s="80"/>
      <c r="T616" s="80"/>
      <c r="U616" s="80"/>
      <c r="V616" s="144"/>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c r="AW616" s="80"/>
      <c r="AX616" s="80"/>
      <c r="AY616" s="80"/>
      <c r="AZ616" s="80"/>
      <c r="BA616" s="80"/>
      <c r="BB616" s="80"/>
      <c r="BC616" s="80"/>
      <c r="BD616" s="80"/>
      <c r="BE616" s="80"/>
      <c r="BF616" s="80"/>
      <c r="BG616" s="80"/>
      <c r="BH616" s="80"/>
      <c r="BI616" s="80"/>
      <c r="BJ616" s="80"/>
    </row>
    <row r="617" spans="3:62" s="1" customFormat="1" ht="25.5" customHeight="1" x14ac:dyDescent="0.2">
      <c r="C617" s="602" t="str">
        <f>IF('Data Set up'!$J84=$F$587,'Data Set up'!$C84,"")</f>
        <v/>
      </c>
      <c r="D617" s="1565" t="str">
        <f>IF('Data Set up'!$J84=$F$587,'Data Set up'!$D84,"")</f>
        <v/>
      </c>
      <c r="E617" s="1565"/>
      <c r="F617" s="1565"/>
      <c r="G617" s="634" t="str">
        <f>IF('Data Set up'!$J84=$F$587,'Data Set up'!$F84,"")</f>
        <v/>
      </c>
      <c r="I617" s="612"/>
      <c r="J617" s="649"/>
      <c r="K617" s="649"/>
      <c r="L617" s="649"/>
      <c r="M617" s="649"/>
      <c r="N617" s="589"/>
      <c r="P617" s="80"/>
      <c r="Q617" s="80"/>
      <c r="R617" s="80"/>
      <c r="S617" s="80"/>
      <c r="T617" s="80"/>
      <c r="U617" s="80"/>
      <c r="V617" s="144"/>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c r="AW617" s="80"/>
      <c r="AX617" s="80"/>
      <c r="AY617" s="80"/>
      <c r="AZ617" s="80"/>
      <c r="BA617" s="80"/>
      <c r="BB617" s="80"/>
      <c r="BC617" s="80"/>
      <c r="BD617" s="80"/>
      <c r="BE617" s="80"/>
      <c r="BF617" s="80"/>
      <c r="BG617" s="80"/>
      <c r="BH617" s="80"/>
      <c r="BI617" s="80"/>
      <c r="BJ617" s="80"/>
    </row>
    <row r="618" spans="3:62" s="1" customFormat="1" ht="25.5" customHeight="1" x14ac:dyDescent="0.2">
      <c r="C618" s="602" t="str">
        <f>IF('Data Set up'!$J85=$F$587,'Data Set up'!$C85,"")</f>
        <v/>
      </c>
      <c r="D618" s="1565" t="str">
        <f>IF('Data Set up'!$J85=$F$587,'Data Set up'!$D85,"")</f>
        <v/>
      </c>
      <c r="E618" s="1565"/>
      <c r="F618" s="1565"/>
      <c r="G618" s="634" t="str">
        <f>IF('Data Set up'!$J85=$F$587,'Data Set up'!$F85,"")</f>
        <v/>
      </c>
      <c r="I618" s="611"/>
      <c r="J618" s="649"/>
      <c r="K618" s="649"/>
      <c r="L618" s="649"/>
      <c r="M618" s="649"/>
      <c r="N618" s="589"/>
      <c r="P618" s="80"/>
      <c r="Q618" s="80"/>
      <c r="R618" s="80"/>
      <c r="S618" s="80"/>
      <c r="T618" s="80"/>
      <c r="U618" s="80"/>
      <c r="V618" s="144"/>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c r="AW618" s="80"/>
      <c r="AX618" s="80"/>
      <c r="AY618" s="80"/>
      <c r="AZ618" s="80"/>
      <c r="BA618" s="80"/>
      <c r="BB618" s="80"/>
      <c r="BC618" s="80"/>
      <c r="BD618" s="80"/>
      <c r="BE618" s="80"/>
      <c r="BF618" s="80"/>
      <c r="BG618" s="80"/>
      <c r="BH618" s="80"/>
      <c r="BI618" s="80"/>
      <c r="BJ618" s="80"/>
    </row>
    <row r="619" spans="3:62" s="1" customFormat="1" ht="25.5" customHeight="1" x14ac:dyDescent="0.2">
      <c r="C619" s="602" t="str">
        <f>IF('Data Set up'!$J86=$F$587,'Data Set up'!$C86,"")</f>
        <v/>
      </c>
      <c r="D619" s="1565" t="str">
        <f>IF('Data Set up'!$J86=$F$587,'Data Set up'!$D86,"")</f>
        <v/>
      </c>
      <c r="E619" s="1565"/>
      <c r="F619" s="1565"/>
      <c r="G619" s="634" t="str">
        <f>IF('Data Set up'!$J86=$F$587,'Data Set up'!$F86,"")</f>
        <v/>
      </c>
      <c r="I619" s="611"/>
      <c r="J619" s="650"/>
      <c r="K619" s="650"/>
      <c r="L619" s="650"/>
      <c r="M619" s="650"/>
      <c r="N619" s="589"/>
      <c r="P619" s="80"/>
      <c r="Q619" s="80"/>
      <c r="R619" s="80"/>
      <c r="S619" s="80"/>
      <c r="T619" s="80"/>
      <c r="U619" s="80"/>
      <c r="V619" s="144"/>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c r="AW619" s="80"/>
      <c r="AX619" s="80"/>
      <c r="AY619" s="80"/>
      <c r="AZ619" s="80"/>
      <c r="BA619" s="80"/>
      <c r="BB619" s="80"/>
      <c r="BC619" s="80"/>
      <c r="BD619" s="80"/>
      <c r="BE619" s="80"/>
      <c r="BF619" s="80"/>
      <c r="BG619" s="80"/>
      <c r="BH619" s="80"/>
      <c r="BI619" s="80"/>
      <c r="BJ619" s="80"/>
    </row>
    <row r="620" spans="3:62" s="1" customFormat="1" ht="25.5" customHeight="1" x14ac:dyDescent="0.2">
      <c r="C620" s="602" t="str">
        <f>IF('Data Set up'!$J87=$F$587,'Data Set up'!$C87,"")</f>
        <v/>
      </c>
      <c r="D620" s="1565" t="str">
        <f>IF('Data Set up'!$J87=$F$587,'Data Set up'!$D87,"")</f>
        <v/>
      </c>
      <c r="E620" s="1565"/>
      <c r="F620" s="1565"/>
      <c r="G620" s="634" t="str">
        <f>IF('Data Set up'!$J87=$F$587,'Data Set up'!$F87,"")</f>
        <v/>
      </c>
      <c r="I620" s="143"/>
      <c r="J620" s="80"/>
      <c r="K620" s="80"/>
      <c r="L620" s="80"/>
      <c r="M620" s="80"/>
      <c r="N620" s="589"/>
      <c r="P620" s="80"/>
      <c r="Q620" s="80"/>
      <c r="R620" s="80"/>
      <c r="S620" s="80"/>
      <c r="T620" s="80"/>
      <c r="U620" s="80"/>
      <c r="V620" s="144"/>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c r="AW620" s="80"/>
      <c r="AX620" s="80"/>
      <c r="AY620" s="80"/>
      <c r="AZ620" s="80"/>
      <c r="BA620" s="80"/>
      <c r="BB620" s="80"/>
      <c r="BC620" s="80"/>
      <c r="BD620" s="80"/>
      <c r="BE620" s="80"/>
      <c r="BF620" s="80"/>
      <c r="BG620" s="80"/>
      <c r="BH620" s="80"/>
      <c r="BI620" s="80"/>
      <c r="BJ620" s="80"/>
    </row>
    <row r="621" spans="3:62" s="1" customFormat="1" ht="25.5" customHeight="1" x14ac:dyDescent="0.2">
      <c r="C621" s="602" t="str">
        <f>IF('Data Set up'!$J88=$F$587,'Data Set up'!$C88,"")</f>
        <v/>
      </c>
      <c r="D621" s="1565" t="str">
        <f>IF('Data Set up'!$J88=$F$587,'Data Set up'!$D88,"")</f>
        <v/>
      </c>
      <c r="E621" s="1565"/>
      <c r="F621" s="1565"/>
      <c r="G621" s="634" t="str">
        <f>IF('Data Set up'!$J88=$F$587,'Data Set up'!$F88,"")</f>
        <v/>
      </c>
      <c r="I621" s="143"/>
      <c r="J621" s="80"/>
      <c r="K621" s="80"/>
      <c r="L621" s="80"/>
      <c r="M621" s="80"/>
      <c r="N621" s="589"/>
      <c r="P621" s="80"/>
      <c r="Q621" s="80"/>
      <c r="R621" s="80"/>
      <c r="S621" s="80"/>
      <c r="T621" s="80"/>
      <c r="U621" s="80"/>
      <c r="V621" s="144"/>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c r="AW621" s="80"/>
      <c r="AX621" s="80"/>
      <c r="AY621" s="80"/>
      <c r="AZ621" s="80"/>
      <c r="BA621" s="80"/>
      <c r="BB621" s="80"/>
      <c r="BC621" s="80"/>
      <c r="BD621" s="80"/>
      <c r="BE621" s="80"/>
      <c r="BF621" s="80"/>
      <c r="BG621" s="80"/>
      <c r="BH621" s="80"/>
      <c r="BI621" s="80"/>
      <c r="BJ621" s="80"/>
    </row>
    <row r="622" spans="3:62" s="1" customFormat="1" ht="25.5" customHeight="1" x14ac:dyDescent="0.2">
      <c r="C622" s="1554" t="str">
        <f>IF($Q$2=2,"Montant non-comptabilisé de l'année précédente","Previous Year's non-accounted Amount")</f>
        <v>Previous Year's non-accounted Amount</v>
      </c>
      <c r="D622" s="1554"/>
      <c r="E622" s="1554"/>
      <c r="F622" s="1554"/>
      <c r="G622" s="582">
        <f>SUM(G594:G606)-SUM(G609:G621)</f>
        <v>0</v>
      </c>
      <c r="I622" s="330"/>
      <c r="J622" s="80"/>
      <c r="K622" s="80"/>
      <c r="L622" s="80"/>
      <c r="M622" s="80"/>
      <c r="N622" s="589"/>
      <c r="P622" s="80"/>
      <c r="Q622" s="80"/>
      <c r="R622" s="80"/>
      <c r="S622" s="80"/>
      <c r="T622" s="80"/>
      <c r="U622" s="80"/>
      <c r="V622" s="144"/>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c r="AW622" s="80"/>
      <c r="AX622" s="80"/>
      <c r="AY622" s="80"/>
      <c r="AZ622" s="80"/>
      <c r="BA622" s="80"/>
      <c r="BB622" s="80"/>
      <c r="BC622" s="80"/>
      <c r="BD622" s="80"/>
      <c r="BE622" s="80"/>
      <c r="BF622" s="80"/>
      <c r="BG622" s="80"/>
      <c r="BH622" s="80"/>
      <c r="BI622" s="80"/>
      <c r="BJ622" s="80"/>
    </row>
    <row r="623" spans="3:62" s="1" customFormat="1" ht="25.5" customHeight="1" x14ac:dyDescent="0.2">
      <c r="C623" s="1537" t="str">
        <f>IF($Q$2=2,F587&amp;" Fonds disponible du compte",F587&amp;" Account Available Funds")</f>
        <v>2230 Account Available Funds</v>
      </c>
      <c r="D623" s="1537"/>
      <c r="E623" s="1537"/>
      <c r="F623" s="1537"/>
      <c r="G623" s="588"/>
      <c r="I623" s="143"/>
      <c r="J623" s="80"/>
      <c r="K623" s="80"/>
      <c r="L623" s="80"/>
      <c r="M623" s="80"/>
      <c r="N623" s="589"/>
      <c r="P623" s="80"/>
      <c r="Q623" s="80"/>
      <c r="R623" s="80"/>
      <c r="S623" s="80"/>
      <c r="T623" s="80"/>
      <c r="U623" s="80"/>
      <c r="V623" s="144"/>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c r="AW623" s="80"/>
      <c r="AX623" s="80"/>
      <c r="AY623" s="80"/>
      <c r="AZ623" s="80"/>
      <c r="BA623" s="80"/>
      <c r="BB623" s="80"/>
      <c r="BC623" s="80"/>
      <c r="BD623" s="80"/>
      <c r="BE623" s="80"/>
      <c r="BF623" s="80"/>
      <c r="BG623" s="80"/>
      <c r="BH623" s="80"/>
      <c r="BI623" s="80"/>
      <c r="BJ623" s="80"/>
    </row>
    <row r="624" spans="3:62" s="1" customFormat="1" ht="25.5" customHeight="1" x14ac:dyDescent="0.2">
      <c r="C624" s="1538" t="str">
        <f>IF($Q$2=2,"Solde reporté à la ligne "&amp;F587&amp;" du Bilan - page 6","This balance fwrd'd to line "&amp;F587&amp;" of Balance Sheet -  page 6")</f>
        <v>This balance fwrd'd to line 2230 of Balance Sheet -  page 6</v>
      </c>
      <c r="D624" s="1538"/>
      <c r="E624" s="1538"/>
      <c r="F624" s="1538"/>
      <c r="G624" s="590">
        <f>IF(AND(SUM(G588-G589+G590-G622)&lt;0.001,SUM(G588-G589+G590-G622)&gt;-0.001),0,SUM(G588-G589+G590-G622))</f>
        <v>0</v>
      </c>
      <c r="H624" s="398"/>
      <c r="J624" s="355"/>
      <c r="K624" s="355"/>
      <c r="L624" s="355"/>
      <c r="M624" s="591"/>
      <c r="N624" s="590">
        <f>N594</f>
        <v>0</v>
      </c>
      <c r="P624" s="80"/>
      <c r="Q624" s="80"/>
      <c r="R624" s="80"/>
      <c r="S624" s="80"/>
      <c r="T624" s="80"/>
      <c r="U624" s="80"/>
      <c r="V624" s="144"/>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c r="AW624" s="80"/>
      <c r="AX624" s="80"/>
      <c r="AY624" s="80"/>
      <c r="AZ624" s="80"/>
      <c r="BA624" s="80"/>
      <c r="BB624" s="80"/>
      <c r="BC624" s="80"/>
      <c r="BD624" s="80"/>
      <c r="BE624" s="80"/>
      <c r="BF624" s="80"/>
      <c r="BG624" s="80"/>
      <c r="BH624" s="80"/>
      <c r="BI624" s="80"/>
      <c r="BJ624" s="80"/>
    </row>
    <row r="625" spans="3:65" s="1" customFormat="1" ht="9.75" customHeight="1" x14ac:dyDescent="0.2">
      <c r="F625" s="592"/>
      <c r="J625" s="586"/>
      <c r="M625" s="593"/>
      <c r="P625" s="80"/>
      <c r="Q625" s="80"/>
      <c r="R625" s="80"/>
      <c r="S625" s="80"/>
      <c r="T625" s="80"/>
      <c r="U625" s="80"/>
      <c r="V625" s="144"/>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c r="AW625" s="80"/>
      <c r="AX625" s="80"/>
      <c r="AY625" s="80"/>
      <c r="AZ625" s="80"/>
      <c r="BA625" s="80"/>
      <c r="BB625" s="80"/>
      <c r="BC625" s="80"/>
      <c r="BD625" s="80"/>
      <c r="BE625" s="80"/>
      <c r="BF625" s="80"/>
      <c r="BG625" s="80"/>
      <c r="BH625" s="80"/>
      <c r="BI625" s="80"/>
      <c r="BJ625" s="80"/>
    </row>
    <row r="626" spans="3:65" s="1" customFormat="1" ht="9.75" customHeight="1" x14ac:dyDescent="0.2">
      <c r="C626" s="355"/>
      <c r="D626" s="355"/>
      <c r="E626" s="355"/>
      <c r="F626" s="355"/>
      <c r="G626" s="355"/>
      <c r="H626" s="355"/>
      <c r="I626" s="355"/>
      <c r="J626" s="355"/>
      <c r="K626" s="355"/>
      <c r="L626" s="355"/>
      <c r="M626" s="355"/>
      <c r="P626" s="80"/>
      <c r="Q626" s="80"/>
      <c r="R626" s="80"/>
      <c r="S626" s="80"/>
      <c r="T626" s="80"/>
      <c r="U626" s="80"/>
      <c r="V626" s="144"/>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c r="AW626" s="80"/>
      <c r="AX626" s="80"/>
      <c r="AY626" s="80"/>
      <c r="AZ626" s="80"/>
      <c r="BA626" s="80"/>
      <c r="BB626" s="80"/>
      <c r="BC626" s="80"/>
      <c r="BD626" s="80"/>
      <c r="BE626" s="80"/>
      <c r="BF626" s="80"/>
      <c r="BG626" s="80"/>
      <c r="BH626" s="80"/>
      <c r="BI626" s="80"/>
      <c r="BJ626" s="80"/>
    </row>
    <row r="627" spans="3:65" s="1" customFormat="1" ht="44.25" customHeight="1" x14ac:dyDescent="0.2">
      <c r="C627" s="1539"/>
      <c r="D627" s="1539"/>
      <c r="E627" s="1539"/>
      <c r="F627" s="1539"/>
      <c r="G627" s="595">
        <f>IF(AND(G624-N624&lt;0.001,G624-N624&gt;-0.001),0,G624-N624)</f>
        <v>0</v>
      </c>
      <c r="H627" s="1540" t="str">
        <f>IF($Q$2=2,IF(G627=0,$T$7,$T$5),IF(G627=0,$T$8,$T$6))</f>
        <v>Books and Statements balance.</v>
      </c>
      <c r="I627" s="1540"/>
      <c r="J627" s="1540"/>
      <c r="K627" s="1540"/>
      <c r="L627" s="1540"/>
      <c r="M627" s="1540"/>
      <c r="N627" s="1540"/>
      <c r="P627" s="80"/>
      <c r="Q627" s="80"/>
      <c r="R627" s="80"/>
      <c r="S627" s="80"/>
      <c r="T627" s="80"/>
      <c r="U627" s="80"/>
      <c r="V627" s="144"/>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c r="AW627" s="80"/>
      <c r="AX627" s="80"/>
      <c r="AY627" s="80"/>
      <c r="AZ627" s="80"/>
      <c r="BA627" s="80"/>
      <c r="BB627" s="80"/>
      <c r="BC627" s="80"/>
      <c r="BD627" s="80"/>
      <c r="BE627" s="80"/>
      <c r="BF627" s="80"/>
      <c r="BG627" s="80"/>
      <c r="BH627" s="80"/>
      <c r="BI627" s="80"/>
      <c r="BJ627" s="80"/>
    </row>
    <row r="628" spans="3:65" ht="18.75" customHeight="1" x14ac:dyDescent="0.2">
      <c r="BK628" s="568"/>
      <c r="BL628" s="568"/>
      <c r="BM628" s="568"/>
    </row>
    <row r="629" spans="3:65" ht="18.75" customHeight="1" x14ac:dyDescent="0.2">
      <c r="BK629" s="568"/>
      <c r="BL629" s="568"/>
      <c r="BM629" s="568"/>
    </row>
    <row r="630" spans="3:65" ht="18.75" customHeight="1" x14ac:dyDescent="0.2">
      <c r="BK630" s="568"/>
      <c r="BL630" s="568"/>
      <c r="BM630" s="568"/>
    </row>
    <row r="631" spans="3:65" ht="18.75" customHeight="1" x14ac:dyDescent="0.2">
      <c r="BK631" s="568"/>
      <c r="BL631" s="568"/>
      <c r="BM631" s="568"/>
    </row>
    <row r="632" spans="3:65" ht="18.75" customHeight="1" x14ac:dyDescent="0.2">
      <c r="BK632" s="568"/>
      <c r="BL632" s="568"/>
      <c r="BM632" s="568"/>
    </row>
    <row r="633" spans="3:65" ht="18.75" customHeight="1" x14ac:dyDescent="0.2">
      <c r="BK633" s="568"/>
      <c r="BL633" s="568"/>
      <c r="BM633" s="568"/>
    </row>
    <row r="634" spans="3:65" ht="18.75" customHeight="1" x14ac:dyDescent="0.2">
      <c r="BK634" s="568"/>
      <c r="BL634" s="568"/>
      <c r="BM634" s="568"/>
    </row>
    <row r="635" spans="3:65" ht="18.75" customHeight="1" x14ac:dyDescent="0.2">
      <c r="BK635" s="568"/>
      <c r="BL635" s="568"/>
      <c r="BM635" s="568"/>
    </row>
    <row r="636" spans="3:65" ht="18.75" customHeight="1" x14ac:dyDescent="0.2">
      <c r="BK636" s="568"/>
      <c r="BL636" s="568"/>
      <c r="BM636" s="568"/>
    </row>
    <row r="637" spans="3:65" ht="18.75" customHeight="1" x14ac:dyDescent="0.2">
      <c r="BK637" s="568"/>
      <c r="BL637" s="568"/>
      <c r="BM637" s="568"/>
    </row>
    <row r="638" spans="3:65" ht="18.75" customHeight="1" x14ac:dyDescent="0.2">
      <c r="BK638" s="568"/>
      <c r="BL638" s="568"/>
      <c r="BM638" s="568"/>
    </row>
    <row r="639" spans="3:65" ht="18.75" customHeight="1" x14ac:dyDescent="0.2">
      <c r="BK639" s="568"/>
      <c r="BL639" s="568"/>
      <c r="BM639" s="568"/>
    </row>
    <row r="640" spans="3:65" ht="18.75" customHeight="1" x14ac:dyDescent="0.2">
      <c r="BK640" s="568"/>
      <c r="BL640" s="568"/>
      <c r="BM640" s="568"/>
    </row>
    <row r="641" spans="63:65" ht="18.75" customHeight="1" x14ac:dyDescent="0.2">
      <c r="BK641" s="568"/>
      <c r="BL641" s="568"/>
      <c r="BM641" s="568"/>
    </row>
    <row r="642" spans="63:65" ht="18.75" customHeight="1" x14ac:dyDescent="0.2">
      <c r="BK642" s="568"/>
      <c r="BL642" s="568"/>
      <c r="BM642" s="568"/>
    </row>
    <row r="643" spans="63:65" ht="18.75" customHeight="1" x14ac:dyDescent="0.2">
      <c r="BK643" s="568"/>
      <c r="BL643" s="568"/>
      <c r="BM643" s="568"/>
    </row>
    <row r="644" spans="63:65" ht="18.75" customHeight="1" x14ac:dyDescent="0.2">
      <c r="BK644" s="568"/>
      <c r="BL644" s="568"/>
      <c r="BM644" s="568"/>
    </row>
    <row r="645" spans="63:65" ht="18.75" customHeight="1" x14ac:dyDescent="0.2">
      <c r="BK645" s="568"/>
      <c r="BL645" s="568"/>
      <c r="BM645" s="568"/>
    </row>
    <row r="646" spans="63:65" ht="18.75" customHeight="1" x14ac:dyDescent="0.2">
      <c r="BK646" s="568"/>
      <c r="BL646" s="568"/>
      <c r="BM646" s="568"/>
    </row>
    <row r="647" spans="63:65" ht="18.75" customHeight="1" x14ac:dyDescent="0.2">
      <c r="BK647" s="568"/>
      <c r="BL647" s="568"/>
      <c r="BM647" s="568"/>
    </row>
    <row r="648" spans="63:65" ht="18.75" customHeight="1" x14ac:dyDescent="0.2">
      <c r="BK648" s="568"/>
      <c r="BL648" s="568"/>
      <c r="BM648" s="568"/>
    </row>
    <row r="649" spans="63:65" ht="18.75" customHeight="1" x14ac:dyDescent="0.2">
      <c r="BK649" s="568"/>
      <c r="BL649" s="568"/>
      <c r="BM649" s="568"/>
    </row>
    <row r="650" spans="63:65" ht="18.75" customHeight="1" x14ac:dyDescent="0.2">
      <c r="BK650" s="568"/>
      <c r="BL650" s="568"/>
      <c r="BM650" s="568"/>
    </row>
    <row r="651" spans="63:65" ht="18.75" customHeight="1" x14ac:dyDescent="0.2">
      <c r="BK651" s="568"/>
      <c r="BL651" s="568"/>
      <c r="BM651" s="568"/>
    </row>
    <row r="652" spans="63:65" ht="18.75" customHeight="1" x14ac:dyDescent="0.2">
      <c r="BK652" s="568"/>
      <c r="BL652" s="568"/>
      <c r="BM652" s="568"/>
    </row>
    <row r="653" spans="63:65" ht="18.75" customHeight="1" x14ac:dyDescent="0.2">
      <c r="BK653" s="568"/>
      <c r="BL653" s="568"/>
      <c r="BM653" s="568"/>
    </row>
    <row r="654" spans="63:65" ht="18.75" customHeight="1" x14ac:dyDescent="0.2">
      <c r="BK654" s="568"/>
      <c r="BL654" s="568"/>
      <c r="BM654" s="568"/>
    </row>
    <row r="655" spans="63:65" ht="18.75" customHeight="1" x14ac:dyDescent="0.2">
      <c r="BK655" s="568"/>
      <c r="BL655" s="568"/>
      <c r="BM655" s="568"/>
    </row>
    <row r="656" spans="63:65" ht="18.75" customHeight="1" x14ac:dyDescent="0.2">
      <c r="BK656" s="568"/>
      <c r="BL656" s="568"/>
      <c r="BM656" s="568"/>
    </row>
    <row r="657" spans="63:65" ht="18.75" customHeight="1" x14ac:dyDescent="0.2">
      <c r="BK657" s="568"/>
      <c r="BL657" s="568"/>
      <c r="BM657" s="568"/>
    </row>
    <row r="658" spans="63:65" ht="18.75" customHeight="1" x14ac:dyDescent="0.2">
      <c r="BK658" s="568"/>
      <c r="BL658" s="568"/>
      <c r="BM658" s="568"/>
    </row>
    <row r="659" spans="63:65" ht="18.75" customHeight="1" x14ac:dyDescent="0.2">
      <c r="BK659" s="568"/>
      <c r="BL659" s="568"/>
      <c r="BM659" s="568"/>
    </row>
    <row r="660" spans="63:65" ht="18.75" customHeight="1" x14ac:dyDescent="0.2">
      <c r="BK660" s="568"/>
      <c r="BL660" s="568"/>
      <c r="BM660" s="568"/>
    </row>
    <row r="661" spans="63:65" ht="18.75" customHeight="1" x14ac:dyDescent="0.2">
      <c r="BK661" s="568"/>
      <c r="BL661" s="568"/>
      <c r="BM661" s="568"/>
    </row>
    <row r="662" spans="63:65" ht="18.75" customHeight="1" x14ac:dyDescent="0.2">
      <c r="BK662" s="568"/>
      <c r="BL662" s="568"/>
      <c r="BM662" s="568"/>
    </row>
    <row r="663" spans="63:65" ht="18.75" customHeight="1" x14ac:dyDescent="0.2">
      <c r="BK663" s="568"/>
      <c r="BL663" s="568"/>
      <c r="BM663" s="568"/>
    </row>
    <row r="664" spans="63:65" ht="18.75" customHeight="1" x14ac:dyDescent="0.2">
      <c r="BK664" s="568"/>
      <c r="BL664" s="568"/>
      <c r="BM664" s="568"/>
    </row>
    <row r="665" spans="63:65" ht="18.75" customHeight="1" x14ac:dyDescent="0.2">
      <c r="BK665" s="568"/>
      <c r="BL665" s="568"/>
      <c r="BM665" s="568"/>
    </row>
    <row r="666" spans="63:65" ht="18.75" customHeight="1" x14ac:dyDescent="0.2">
      <c r="BK666" s="568"/>
      <c r="BL666" s="568"/>
      <c r="BM666" s="568"/>
    </row>
    <row r="667" spans="63:65" ht="18.75" customHeight="1" x14ac:dyDescent="0.2">
      <c r="BK667" s="568"/>
      <c r="BL667" s="568"/>
      <c r="BM667" s="568"/>
    </row>
    <row r="668" spans="63:65" ht="18.75" customHeight="1" x14ac:dyDescent="0.2">
      <c r="BK668" s="568"/>
      <c r="BL668" s="568"/>
      <c r="BM668" s="568"/>
    </row>
    <row r="669" spans="63:65" ht="18.75" customHeight="1" x14ac:dyDescent="0.2">
      <c r="BK669" s="568"/>
      <c r="BL669" s="568"/>
      <c r="BM669" s="568"/>
    </row>
    <row r="670" spans="63:65" ht="18.75" customHeight="1" x14ac:dyDescent="0.2">
      <c r="BK670" s="568"/>
      <c r="BL670" s="568"/>
      <c r="BM670" s="568"/>
    </row>
    <row r="671" spans="63:65" ht="18.75" customHeight="1" x14ac:dyDescent="0.2">
      <c r="BK671" s="568"/>
      <c r="BL671" s="568"/>
      <c r="BM671" s="568"/>
    </row>
    <row r="672" spans="63:65" ht="18.75" customHeight="1" x14ac:dyDescent="0.2">
      <c r="BK672" s="568"/>
      <c r="BL672" s="568"/>
      <c r="BM672" s="568"/>
    </row>
    <row r="673" spans="63:65" ht="18.75" customHeight="1" x14ac:dyDescent="0.2">
      <c r="BK673" s="568"/>
      <c r="BL673" s="568"/>
      <c r="BM673" s="568"/>
    </row>
    <row r="674" spans="63:65" ht="18.75" customHeight="1" x14ac:dyDescent="0.2">
      <c r="BK674" s="568"/>
      <c r="BL674" s="568"/>
      <c r="BM674" s="568"/>
    </row>
    <row r="675" spans="63:65" ht="18.75" customHeight="1" x14ac:dyDescent="0.2">
      <c r="BK675" s="568"/>
      <c r="BL675" s="568"/>
      <c r="BM675" s="568"/>
    </row>
    <row r="676" spans="63:65" ht="18.75" customHeight="1" x14ac:dyDescent="0.2">
      <c r="BK676" s="568"/>
      <c r="BL676" s="568"/>
      <c r="BM676" s="568"/>
    </row>
    <row r="677" spans="63:65" ht="18.75" customHeight="1" x14ac:dyDescent="0.2">
      <c r="BK677" s="568"/>
      <c r="BL677" s="568"/>
      <c r="BM677" s="568"/>
    </row>
    <row r="678" spans="63:65" ht="18.75" customHeight="1" x14ac:dyDescent="0.2">
      <c r="BK678" s="568"/>
      <c r="BL678" s="568"/>
      <c r="BM678" s="568"/>
    </row>
    <row r="679" spans="63:65" ht="18.75" customHeight="1" x14ac:dyDescent="0.2">
      <c r="BK679" s="568"/>
      <c r="BL679" s="568"/>
      <c r="BM679" s="568"/>
    </row>
    <row r="680" spans="63:65" ht="18.75" customHeight="1" x14ac:dyDescent="0.2">
      <c r="BK680" s="568"/>
      <c r="BL680" s="568"/>
      <c r="BM680" s="568"/>
    </row>
    <row r="681" spans="63:65" ht="18.75" customHeight="1" x14ac:dyDescent="0.2">
      <c r="BK681" s="568"/>
      <c r="BL681" s="568"/>
      <c r="BM681" s="568"/>
    </row>
    <row r="682" spans="63:65" ht="18.75" customHeight="1" x14ac:dyDescent="0.2">
      <c r="BK682" s="568"/>
      <c r="BL682" s="568"/>
      <c r="BM682" s="568"/>
    </row>
    <row r="683" spans="63:65" ht="18.75" customHeight="1" x14ac:dyDescent="0.2">
      <c r="BK683" s="568"/>
      <c r="BL683" s="568"/>
      <c r="BM683" s="568"/>
    </row>
    <row r="684" spans="63:65" ht="18.75" customHeight="1" x14ac:dyDescent="0.2">
      <c r="BK684" s="568"/>
      <c r="BL684" s="568"/>
      <c r="BM684" s="568"/>
    </row>
    <row r="685" spans="63:65" ht="18.75" customHeight="1" x14ac:dyDescent="0.2">
      <c r="BK685" s="568"/>
      <c r="BL685" s="568"/>
      <c r="BM685" s="568"/>
    </row>
    <row r="686" spans="63:65" ht="18.75" customHeight="1" x14ac:dyDescent="0.2">
      <c r="BK686" s="568"/>
      <c r="BL686" s="568"/>
      <c r="BM686" s="568"/>
    </row>
    <row r="687" spans="63:65" ht="18.75" customHeight="1" x14ac:dyDescent="0.2">
      <c r="BK687" s="568"/>
      <c r="BL687" s="568"/>
      <c r="BM687" s="568"/>
    </row>
    <row r="688" spans="63:65" ht="18.75" customHeight="1" x14ac:dyDescent="0.2">
      <c r="BK688" s="568"/>
      <c r="BL688" s="568"/>
      <c r="BM688" s="568"/>
    </row>
    <row r="689" spans="63:65" ht="18.75" customHeight="1" x14ac:dyDescent="0.2">
      <c r="BK689" s="568"/>
      <c r="BL689" s="568"/>
      <c r="BM689" s="568"/>
    </row>
    <row r="690" spans="63:65" ht="18.75" customHeight="1" x14ac:dyDescent="0.2">
      <c r="BK690" s="568"/>
      <c r="BL690" s="568"/>
      <c r="BM690" s="568"/>
    </row>
    <row r="691" spans="63:65" ht="18.75" customHeight="1" x14ac:dyDescent="0.2">
      <c r="BK691" s="568"/>
      <c r="BL691" s="568"/>
      <c r="BM691" s="568"/>
    </row>
    <row r="692" spans="63:65" ht="18.75" customHeight="1" x14ac:dyDescent="0.2">
      <c r="BK692" s="568"/>
      <c r="BL692" s="568"/>
      <c r="BM692" s="568"/>
    </row>
    <row r="693" spans="63:65" ht="18.75" customHeight="1" x14ac:dyDescent="0.2">
      <c r="BK693" s="568"/>
      <c r="BL693" s="568"/>
      <c r="BM693" s="568"/>
    </row>
    <row r="694" spans="63:65" ht="18.75" customHeight="1" x14ac:dyDescent="0.2">
      <c r="BK694" s="568"/>
      <c r="BL694" s="568"/>
      <c r="BM694" s="568"/>
    </row>
    <row r="695" spans="63:65" ht="18.75" customHeight="1" x14ac:dyDescent="0.2">
      <c r="BK695" s="568"/>
      <c r="BL695" s="568"/>
      <c r="BM695" s="568"/>
    </row>
    <row r="696" spans="63:65" ht="18.75" customHeight="1" x14ac:dyDescent="0.2">
      <c r="BK696" s="568"/>
      <c r="BL696" s="568"/>
      <c r="BM696" s="568"/>
    </row>
    <row r="697" spans="63:65" ht="18.75" customHeight="1" x14ac:dyDescent="0.2">
      <c r="BK697" s="568"/>
      <c r="BL697" s="568"/>
      <c r="BM697" s="568"/>
    </row>
    <row r="698" spans="63:65" ht="18.75" customHeight="1" x14ac:dyDescent="0.2">
      <c r="BK698" s="568"/>
      <c r="BL698" s="568"/>
      <c r="BM698" s="568"/>
    </row>
    <row r="699" spans="63:65" ht="18.75" customHeight="1" x14ac:dyDescent="0.2">
      <c r="BK699" s="568"/>
      <c r="BL699" s="568"/>
      <c r="BM699" s="568"/>
    </row>
    <row r="700" spans="63:65" ht="18.75" customHeight="1" x14ac:dyDescent="0.2">
      <c r="BK700" s="568"/>
      <c r="BL700" s="568"/>
      <c r="BM700" s="568"/>
    </row>
    <row r="701" spans="63:65" ht="18.75" customHeight="1" x14ac:dyDescent="0.2">
      <c r="BK701" s="568"/>
      <c r="BL701" s="568"/>
      <c r="BM701" s="568"/>
    </row>
    <row r="702" spans="63:65" ht="18.75" customHeight="1" x14ac:dyDescent="0.2">
      <c r="BK702" s="568"/>
      <c r="BL702" s="568"/>
      <c r="BM702" s="568"/>
    </row>
    <row r="703" spans="63:65" ht="18.75" customHeight="1" x14ac:dyDescent="0.2">
      <c r="BK703" s="568"/>
      <c r="BL703" s="568"/>
      <c r="BM703" s="568"/>
    </row>
    <row r="704" spans="63:65" ht="18.75" customHeight="1" x14ac:dyDescent="0.2">
      <c r="BK704" s="568"/>
      <c r="BL704" s="568"/>
      <c r="BM704" s="568"/>
    </row>
    <row r="705" spans="63:65" ht="18.75" customHeight="1" x14ac:dyDescent="0.2">
      <c r="BK705" s="568"/>
      <c r="BL705" s="568"/>
      <c r="BM705" s="568"/>
    </row>
    <row r="706" spans="63:65" ht="18.75" customHeight="1" x14ac:dyDescent="0.2">
      <c r="BK706" s="568"/>
      <c r="BL706" s="568"/>
      <c r="BM706" s="568"/>
    </row>
    <row r="707" spans="63:65" ht="18.75" customHeight="1" x14ac:dyDescent="0.2">
      <c r="BK707" s="568"/>
      <c r="BL707" s="568"/>
      <c r="BM707" s="568"/>
    </row>
    <row r="708" spans="63:65" ht="18.75" customHeight="1" x14ac:dyDescent="0.2">
      <c r="BK708" s="568"/>
      <c r="BL708" s="568"/>
      <c r="BM708" s="568"/>
    </row>
    <row r="709" spans="63:65" ht="18.75" customHeight="1" x14ac:dyDescent="0.2">
      <c r="BK709" s="568"/>
      <c r="BL709" s="568"/>
      <c r="BM709" s="568"/>
    </row>
    <row r="710" spans="63:65" ht="18.75" customHeight="1" x14ac:dyDescent="0.2">
      <c r="BK710" s="568"/>
      <c r="BL710" s="568"/>
      <c r="BM710" s="568"/>
    </row>
    <row r="711" spans="63:65" ht="18.75" customHeight="1" x14ac:dyDescent="0.2">
      <c r="BK711" s="568"/>
      <c r="BL711" s="568"/>
      <c r="BM711" s="568"/>
    </row>
    <row r="712" spans="63:65" ht="18.75" customHeight="1" x14ac:dyDescent="0.2">
      <c r="BK712" s="568"/>
      <c r="BL712" s="568"/>
      <c r="BM712" s="568"/>
    </row>
    <row r="713" spans="63:65" ht="18.75" customHeight="1" x14ac:dyDescent="0.2">
      <c r="BK713" s="568"/>
      <c r="BL713" s="568"/>
      <c r="BM713" s="568"/>
    </row>
    <row r="714" spans="63:65" ht="18.75" customHeight="1" x14ac:dyDescent="0.2">
      <c r="BK714" s="568"/>
      <c r="BL714" s="568"/>
      <c r="BM714" s="568"/>
    </row>
    <row r="715" spans="63:65" ht="18.75" customHeight="1" x14ac:dyDescent="0.2">
      <c r="BK715" s="568"/>
      <c r="BL715" s="568"/>
      <c r="BM715" s="568"/>
    </row>
    <row r="716" spans="63:65" ht="18.75" customHeight="1" x14ac:dyDescent="0.2">
      <c r="BK716" s="568"/>
      <c r="BL716" s="568"/>
      <c r="BM716" s="568"/>
    </row>
    <row r="717" spans="63:65" ht="18.75" customHeight="1" x14ac:dyDescent="0.2">
      <c r="BK717" s="568"/>
      <c r="BL717" s="568"/>
      <c r="BM717" s="568"/>
    </row>
    <row r="718" spans="63:65" ht="18.75" customHeight="1" x14ac:dyDescent="0.2">
      <c r="BK718" s="568"/>
      <c r="BL718" s="568"/>
      <c r="BM718" s="568"/>
    </row>
    <row r="719" spans="63:65" ht="18.75" customHeight="1" x14ac:dyDescent="0.2">
      <c r="BK719" s="568"/>
      <c r="BL719" s="568"/>
      <c r="BM719" s="568"/>
    </row>
    <row r="720" spans="63:65" ht="18.75" customHeight="1" x14ac:dyDescent="0.2">
      <c r="BK720" s="568"/>
      <c r="BL720" s="568"/>
      <c r="BM720" s="568"/>
    </row>
    <row r="721" spans="63:65" ht="18.75" customHeight="1" x14ac:dyDescent="0.2">
      <c r="BK721" s="568"/>
      <c r="BL721" s="568"/>
      <c r="BM721" s="568"/>
    </row>
    <row r="722" spans="63:65" ht="18.75" customHeight="1" x14ac:dyDescent="0.2">
      <c r="BK722" s="568"/>
      <c r="BL722" s="568"/>
      <c r="BM722" s="568"/>
    </row>
    <row r="723" spans="63:65" ht="18.75" customHeight="1" x14ac:dyDescent="0.2">
      <c r="BK723" s="568"/>
      <c r="BL723" s="568"/>
      <c r="BM723" s="568"/>
    </row>
    <row r="724" spans="63:65" ht="18.75" customHeight="1" x14ac:dyDescent="0.2">
      <c r="BK724" s="568"/>
      <c r="BL724" s="568"/>
      <c r="BM724" s="568"/>
    </row>
    <row r="725" spans="63:65" ht="18.75" customHeight="1" x14ac:dyDescent="0.2">
      <c r="BK725" s="568"/>
      <c r="BL725" s="568"/>
      <c r="BM725" s="568"/>
    </row>
    <row r="726" spans="63:65" ht="18.75" customHeight="1" x14ac:dyDescent="0.2">
      <c r="BK726" s="568"/>
      <c r="BL726" s="568"/>
      <c r="BM726" s="568"/>
    </row>
    <row r="727" spans="63:65" ht="18.75" customHeight="1" x14ac:dyDescent="0.2">
      <c r="BK727" s="568"/>
      <c r="BL727" s="568"/>
      <c r="BM727" s="568"/>
    </row>
    <row r="728" spans="63:65" ht="18.75" customHeight="1" x14ac:dyDescent="0.2">
      <c r="BK728" s="568"/>
      <c r="BL728" s="568"/>
      <c r="BM728" s="568"/>
    </row>
    <row r="729" spans="63:65" ht="18.75" customHeight="1" x14ac:dyDescent="0.2">
      <c r="BK729" s="568"/>
      <c r="BL729" s="568"/>
      <c r="BM729" s="568"/>
    </row>
    <row r="730" spans="63:65" ht="18.75" customHeight="1" x14ac:dyDescent="0.2">
      <c r="BK730" s="568"/>
      <c r="BL730" s="568"/>
      <c r="BM730" s="568"/>
    </row>
    <row r="731" spans="63:65" ht="18.75" customHeight="1" x14ac:dyDescent="0.2">
      <c r="BK731" s="568"/>
      <c r="BL731" s="568"/>
      <c r="BM731" s="568"/>
    </row>
    <row r="732" spans="63:65" ht="18.75" customHeight="1" x14ac:dyDescent="0.2">
      <c r="BK732" s="568"/>
      <c r="BL732" s="568"/>
      <c r="BM732" s="568"/>
    </row>
    <row r="733" spans="63:65" ht="18.75" customHeight="1" x14ac:dyDescent="0.2">
      <c r="BK733" s="568"/>
      <c r="BL733" s="568"/>
      <c r="BM733" s="568"/>
    </row>
    <row r="734" spans="63:65" ht="18.75" customHeight="1" x14ac:dyDescent="0.2">
      <c r="BK734" s="568"/>
      <c r="BL734" s="568"/>
      <c r="BM734" s="568"/>
    </row>
    <row r="735" spans="63:65" ht="18.75" customHeight="1" x14ac:dyDescent="0.2">
      <c r="BK735" s="568"/>
      <c r="BL735" s="568"/>
      <c r="BM735" s="568"/>
    </row>
    <row r="736" spans="63:65" ht="18.75" customHeight="1" x14ac:dyDescent="0.2">
      <c r="BK736" s="568"/>
      <c r="BL736" s="568"/>
      <c r="BM736" s="568"/>
    </row>
    <row r="737" spans="63:65" ht="18.75" customHeight="1" x14ac:dyDescent="0.2">
      <c r="BK737" s="568"/>
      <c r="BL737" s="568"/>
      <c r="BM737" s="568"/>
    </row>
    <row r="738" spans="63:65" ht="18.75" customHeight="1" x14ac:dyDescent="0.2">
      <c r="BK738" s="568"/>
      <c r="BL738" s="568"/>
      <c r="BM738" s="568"/>
    </row>
    <row r="739" spans="63:65" ht="18.75" customHeight="1" x14ac:dyDescent="0.2">
      <c r="BK739" s="568"/>
      <c r="BL739" s="568"/>
      <c r="BM739" s="568"/>
    </row>
    <row r="740" spans="63:65" ht="18.75" customHeight="1" x14ac:dyDescent="0.2">
      <c r="BK740" s="568"/>
      <c r="BL740" s="568"/>
      <c r="BM740" s="568"/>
    </row>
    <row r="741" spans="63:65" ht="18.75" customHeight="1" x14ac:dyDescent="0.2">
      <c r="BK741" s="568"/>
      <c r="BL741" s="568"/>
      <c r="BM741" s="568"/>
    </row>
    <row r="742" spans="63:65" ht="18.75" customHeight="1" x14ac:dyDescent="0.2">
      <c r="BK742" s="568"/>
      <c r="BL742" s="568"/>
      <c r="BM742" s="568"/>
    </row>
    <row r="743" spans="63:65" ht="18.75" customHeight="1" x14ac:dyDescent="0.2">
      <c r="BK743" s="568"/>
      <c r="BL743" s="568"/>
      <c r="BM743" s="568"/>
    </row>
    <row r="744" spans="63:65" ht="18.75" customHeight="1" x14ac:dyDescent="0.2">
      <c r="BK744" s="568"/>
      <c r="BL744" s="568"/>
      <c r="BM744" s="568"/>
    </row>
    <row r="745" spans="63:65" ht="18.75" customHeight="1" x14ac:dyDescent="0.2">
      <c r="BK745" s="568"/>
      <c r="BL745" s="568"/>
      <c r="BM745" s="568"/>
    </row>
    <row r="746" spans="63:65" ht="18.75" customHeight="1" x14ac:dyDescent="0.2">
      <c r="BK746" s="568"/>
      <c r="BL746" s="568"/>
      <c r="BM746" s="568"/>
    </row>
    <row r="747" spans="63:65" ht="18.75" customHeight="1" x14ac:dyDescent="0.2">
      <c r="BK747" s="568"/>
      <c r="BL747" s="568"/>
      <c r="BM747" s="568"/>
    </row>
    <row r="748" spans="63:65" ht="18.75" customHeight="1" x14ac:dyDescent="0.2">
      <c r="BK748" s="568"/>
      <c r="BL748" s="568"/>
      <c r="BM748" s="568"/>
    </row>
    <row r="749" spans="63:65" ht="18.75" customHeight="1" x14ac:dyDescent="0.2">
      <c r="BK749" s="568"/>
      <c r="BL749" s="568"/>
      <c r="BM749" s="568"/>
    </row>
    <row r="750" spans="63:65" ht="18.75" customHeight="1" x14ac:dyDescent="0.2">
      <c r="BK750" s="568"/>
      <c r="BL750" s="568"/>
      <c r="BM750" s="568"/>
    </row>
    <row r="751" spans="63:65" ht="18.75" customHeight="1" x14ac:dyDescent="0.2">
      <c r="BK751" s="568"/>
      <c r="BL751" s="568"/>
      <c r="BM751" s="568"/>
    </row>
    <row r="752" spans="63:65" ht="18.75" customHeight="1" x14ac:dyDescent="0.2">
      <c r="BK752" s="568"/>
      <c r="BL752" s="568"/>
      <c r="BM752" s="568"/>
    </row>
    <row r="753" spans="63:65" ht="18.75" customHeight="1" x14ac:dyDescent="0.2">
      <c r="BK753" s="568"/>
      <c r="BL753" s="568"/>
      <c r="BM753" s="568"/>
    </row>
    <row r="754" spans="63:65" ht="18.75" customHeight="1" x14ac:dyDescent="0.2">
      <c r="BK754" s="568"/>
      <c r="BL754" s="568"/>
      <c r="BM754" s="568"/>
    </row>
    <row r="755" spans="63:65" ht="18.75" customHeight="1" x14ac:dyDescent="0.2">
      <c r="BK755" s="568"/>
      <c r="BL755" s="568"/>
      <c r="BM755" s="568"/>
    </row>
    <row r="756" spans="63:65" ht="18.75" customHeight="1" x14ac:dyDescent="0.2">
      <c r="BK756" s="568"/>
      <c r="BL756" s="568"/>
      <c r="BM756" s="568"/>
    </row>
    <row r="757" spans="63:65" ht="18.75" customHeight="1" x14ac:dyDescent="0.2">
      <c r="BK757" s="568"/>
      <c r="BL757" s="568"/>
      <c r="BM757" s="568"/>
    </row>
    <row r="758" spans="63:65" ht="18.75" customHeight="1" x14ac:dyDescent="0.2">
      <c r="BK758" s="568"/>
      <c r="BL758" s="568"/>
      <c r="BM758" s="568"/>
    </row>
    <row r="759" spans="63:65" ht="18.75" customHeight="1" x14ac:dyDescent="0.2">
      <c r="BK759" s="568"/>
      <c r="BL759" s="568"/>
      <c r="BM759" s="568"/>
    </row>
    <row r="760" spans="63:65" ht="18.75" customHeight="1" x14ac:dyDescent="0.2">
      <c r="BK760" s="568"/>
      <c r="BL760" s="568"/>
      <c r="BM760" s="568"/>
    </row>
    <row r="761" spans="63:65" ht="18.75" customHeight="1" x14ac:dyDescent="0.2">
      <c r="BK761" s="568"/>
      <c r="BL761" s="568"/>
      <c r="BM761" s="568"/>
    </row>
    <row r="762" spans="63:65" ht="18.75" customHeight="1" x14ac:dyDescent="0.2">
      <c r="BK762" s="568"/>
      <c r="BL762" s="568"/>
      <c r="BM762" s="568"/>
    </row>
    <row r="763" spans="63:65" ht="18.75" customHeight="1" x14ac:dyDescent="0.2">
      <c r="BK763" s="568"/>
      <c r="BL763" s="568"/>
      <c r="BM763" s="568"/>
    </row>
    <row r="764" spans="63:65" ht="18.75" customHeight="1" x14ac:dyDescent="0.2">
      <c r="BK764" s="568"/>
      <c r="BL764" s="568"/>
      <c r="BM764" s="568"/>
    </row>
    <row r="765" spans="63:65" ht="18.75" customHeight="1" x14ac:dyDescent="0.2">
      <c r="BK765" s="568"/>
      <c r="BL765" s="568"/>
      <c r="BM765" s="568"/>
    </row>
    <row r="766" spans="63:65" ht="18.75" customHeight="1" x14ac:dyDescent="0.2">
      <c r="BK766" s="568"/>
      <c r="BL766" s="568"/>
      <c r="BM766" s="568"/>
    </row>
    <row r="767" spans="63:65" ht="18.75" customHeight="1" x14ac:dyDescent="0.2">
      <c r="BK767" s="568"/>
      <c r="BL767" s="568"/>
      <c r="BM767" s="568"/>
    </row>
    <row r="768" spans="63:65" ht="18.75" customHeight="1" x14ac:dyDescent="0.2">
      <c r="BK768" s="568"/>
      <c r="BL768" s="568"/>
      <c r="BM768" s="568"/>
    </row>
    <row r="769" spans="63:65" ht="18.75" customHeight="1" x14ac:dyDescent="0.2">
      <c r="BK769" s="568"/>
      <c r="BL769" s="568"/>
      <c r="BM769" s="568"/>
    </row>
    <row r="770" spans="63:65" ht="18.75" customHeight="1" x14ac:dyDescent="0.2">
      <c r="BK770" s="568"/>
      <c r="BL770" s="568"/>
      <c r="BM770" s="568"/>
    </row>
    <row r="771" spans="63:65" ht="18.75" customHeight="1" x14ac:dyDescent="0.2">
      <c r="BK771" s="568"/>
      <c r="BL771" s="568"/>
      <c r="BM771" s="568"/>
    </row>
    <row r="772" spans="63:65" ht="18.75" customHeight="1" x14ac:dyDescent="0.2">
      <c r="BK772" s="568"/>
      <c r="BL772" s="568"/>
      <c r="BM772" s="568"/>
    </row>
    <row r="773" spans="63:65" ht="18.75" customHeight="1" x14ac:dyDescent="0.2">
      <c r="BK773" s="568"/>
      <c r="BL773" s="568"/>
      <c r="BM773" s="568"/>
    </row>
    <row r="774" spans="63:65" ht="18.75" customHeight="1" x14ac:dyDescent="0.2">
      <c r="BK774" s="568"/>
      <c r="BL774" s="568"/>
      <c r="BM774" s="568"/>
    </row>
    <row r="775" spans="63:65" ht="18.75" customHeight="1" x14ac:dyDescent="0.2">
      <c r="BK775" s="568"/>
      <c r="BL775" s="568"/>
      <c r="BM775" s="568"/>
    </row>
    <row r="776" spans="63:65" ht="18.75" customHeight="1" x14ac:dyDescent="0.2">
      <c r="BK776" s="568"/>
      <c r="BL776" s="568"/>
      <c r="BM776" s="568"/>
    </row>
    <row r="777" spans="63:65" ht="18.75" customHeight="1" x14ac:dyDescent="0.2">
      <c r="BK777" s="568"/>
      <c r="BL777" s="568"/>
      <c r="BM777" s="568"/>
    </row>
    <row r="778" spans="63:65" ht="18.75" customHeight="1" x14ac:dyDescent="0.2">
      <c r="BK778" s="568"/>
      <c r="BL778" s="568"/>
      <c r="BM778" s="568"/>
    </row>
    <row r="779" spans="63:65" ht="18.75" customHeight="1" x14ac:dyDescent="0.2">
      <c r="BK779" s="568"/>
      <c r="BL779" s="568"/>
      <c r="BM779" s="568"/>
    </row>
    <row r="780" spans="63:65" ht="18.75" customHeight="1" x14ac:dyDescent="0.2">
      <c r="BK780" s="568"/>
      <c r="BL780" s="568"/>
      <c r="BM780" s="568"/>
    </row>
    <row r="781" spans="63:65" ht="18.75" customHeight="1" x14ac:dyDescent="0.2">
      <c r="BK781" s="568"/>
      <c r="BL781" s="568"/>
      <c r="BM781" s="568"/>
    </row>
    <row r="782" spans="63:65" ht="18.75" customHeight="1" x14ac:dyDescent="0.2">
      <c r="BK782" s="568"/>
      <c r="BL782" s="568"/>
      <c r="BM782" s="568"/>
    </row>
    <row r="783" spans="63:65" ht="18.75" customHeight="1" x14ac:dyDescent="0.2">
      <c r="BK783" s="568"/>
      <c r="BL783" s="568"/>
      <c r="BM783" s="568"/>
    </row>
    <row r="784" spans="63:65" ht="18.75" customHeight="1" x14ac:dyDescent="0.2">
      <c r="BK784" s="568"/>
      <c r="BL784" s="568"/>
      <c r="BM784" s="568"/>
    </row>
    <row r="785" spans="63:65" ht="18.75" customHeight="1" x14ac:dyDescent="0.2">
      <c r="BK785" s="568"/>
      <c r="BL785" s="568"/>
      <c r="BM785" s="568"/>
    </row>
    <row r="786" spans="63:65" ht="18.75" customHeight="1" x14ac:dyDescent="0.2">
      <c r="BK786" s="568"/>
      <c r="BL786" s="568"/>
      <c r="BM786" s="568"/>
    </row>
    <row r="787" spans="63:65" ht="18.75" customHeight="1" x14ac:dyDescent="0.2">
      <c r="BK787" s="568"/>
      <c r="BL787" s="568"/>
      <c r="BM787" s="568"/>
    </row>
    <row r="788" spans="63:65" ht="18.75" customHeight="1" x14ac:dyDescent="0.2">
      <c r="BK788" s="568"/>
      <c r="BL788" s="568"/>
      <c r="BM788" s="568"/>
    </row>
    <row r="789" spans="63:65" ht="18.75" customHeight="1" x14ac:dyDescent="0.2">
      <c r="BK789" s="568"/>
      <c r="BL789" s="568"/>
      <c r="BM789" s="568"/>
    </row>
    <row r="790" spans="63:65" ht="18.75" customHeight="1" x14ac:dyDescent="0.2">
      <c r="BK790" s="568"/>
      <c r="BL790" s="568"/>
      <c r="BM790" s="568"/>
    </row>
    <row r="791" spans="63:65" ht="18.75" customHeight="1" x14ac:dyDescent="0.2">
      <c r="BK791" s="568"/>
      <c r="BL791" s="568"/>
      <c r="BM791" s="568"/>
    </row>
    <row r="792" spans="63:65" ht="18.75" customHeight="1" x14ac:dyDescent="0.2">
      <c r="BK792" s="568"/>
      <c r="BL792" s="568"/>
      <c r="BM792" s="568"/>
    </row>
    <row r="793" spans="63:65" ht="18.75" customHeight="1" x14ac:dyDescent="0.2">
      <c r="BK793" s="568"/>
      <c r="BL793" s="568"/>
      <c r="BM793" s="568"/>
    </row>
    <row r="794" spans="63:65" ht="18.75" customHeight="1" x14ac:dyDescent="0.2">
      <c r="BK794" s="568"/>
      <c r="BL794" s="568"/>
      <c r="BM794" s="568"/>
    </row>
    <row r="795" spans="63:65" ht="18.75" customHeight="1" x14ac:dyDescent="0.2">
      <c r="BK795" s="568"/>
      <c r="BL795" s="568"/>
      <c r="BM795" s="568"/>
    </row>
    <row r="796" spans="63:65" ht="18.75" customHeight="1" x14ac:dyDescent="0.2"/>
    <row r="797" spans="63:65" ht="18.75" customHeight="1" x14ac:dyDescent="0.2"/>
  </sheetData>
  <sheetProtection algorithmName="SHA-512" hashValue="ye8MqJPN6ui4a8wxGxI51TrH5WGQOKGHFRI57VBtlE10aDGRi2wMVN9Yy6uRcNi8kvJdvP4Vm2gR0VTOqTJj6w==" saltValue="ra+TUDtmVlVeNFqk25YvJQ==" spinCount="100000" sheet="1" objects="1" scenarios="1" selectLockedCells="1"/>
  <protectedRanges>
    <protectedRange sqref="G68 G82 G543 G588 G124 G138 G183 G228 G273 G318 G9 G23 G363 G408 G453 G498 G96 G110" name="Range5_1"/>
    <protectedRange sqref="K594 I607:J608 I562:J563 K504 I382:J383 J143:L143 J188:L188 J233:L233 J278:L278 J323:L323 J593:L593 I517:J518 J413:L413 K144 K189 K234 K279 K324 J458:L458 K459 J30 I42:J43 J28:L28 K29 I427:J428 J145:J154 J368:L368 K549 J548:L548 K414 I157:J158 I202:J203 I247:J248 I292:J293 I337:J338 I472:J473 J503:L503 K369" name="Range7_1"/>
    <protectedRange sqref="K51:K58 K72 K85:K86 K128 K166:K173 K211:K218 K256:K263 K301:K308 K346:K353 K13 K391:K398 K436:K443 K481:K488 K526:K533 K571:K578 K616:K623 K100 K114" name="Range10_1"/>
    <protectedRange sqref="N68 N82 N543 N588 N124 N138 N183 N228 N273 N318 N9 N23 N363 N408 N453 N498 N96 N110" name="Range6_1_1"/>
  </protectedRanges>
  <mergeCells count="761">
    <mergeCell ref="D618:F618"/>
    <mergeCell ref="D619:F619"/>
    <mergeCell ref="D620:F620"/>
    <mergeCell ref="D621:F621"/>
    <mergeCell ref="C622:F622"/>
    <mergeCell ref="C623:F623"/>
    <mergeCell ref="C624:F624"/>
    <mergeCell ref="C627:F627"/>
    <mergeCell ref="H627:N627"/>
    <mergeCell ref="D609:F609"/>
    <mergeCell ref="D610:F610"/>
    <mergeCell ref="D611:F611"/>
    <mergeCell ref="D612:F612"/>
    <mergeCell ref="D613:F613"/>
    <mergeCell ref="D614:F614"/>
    <mergeCell ref="D615:F615"/>
    <mergeCell ref="D616:F616"/>
    <mergeCell ref="D617:F617"/>
    <mergeCell ref="D600:F600"/>
    <mergeCell ref="D601:F601"/>
    <mergeCell ref="D602:F602"/>
    <mergeCell ref="D603:F603"/>
    <mergeCell ref="D604:F604"/>
    <mergeCell ref="D605:F605"/>
    <mergeCell ref="D606:F606"/>
    <mergeCell ref="C607:G607"/>
    <mergeCell ref="D608:F608"/>
    <mergeCell ref="D593:F593"/>
    <mergeCell ref="I593:N593"/>
    <mergeCell ref="D594:F594"/>
    <mergeCell ref="I594:M594"/>
    <mergeCell ref="D595:F595"/>
    <mergeCell ref="D596:F596"/>
    <mergeCell ref="D597:F597"/>
    <mergeCell ref="D598:F598"/>
    <mergeCell ref="D599:F599"/>
    <mergeCell ref="Q588:S588"/>
    <mergeCell ref="C589:F589"/>
    <mergeCell ref="I589:N589"/>
    <mergeCell ref="C590:F590"/>
    <mergeCell ref="I590:M590"/>
    <mergeCell ref="C591:F591"/>
    <mergeCell ref="I591:N591"/>
    <mergeCell ref="C592:G592"/>
    <mergeCell ref="I592:M592"/>
    <mergeCell ref="C582:F582"/>
    <mergeCell ref="H582:N582"/>
    <mergeCell ref="C584:N584"/>
    <mergeCell ref="D585:M585"/>
    <mergeCell ref="C586:G586"/>
    <mergeCell ref="I586:M586"/>
    <mergeCell ref="C587:E587"/>
    <mergeCell ref="I587:N587"/>
    <mergeCell ref="C588:E588"/>
    <mergeCell ref="I588:M588"/>
    <mergeCell ref="D571:F571"/>
    <mergeCell ref="D572:F572"/>
    <mergeCell ref="D573:F573"/>
    <mergeCell ref="D574:F574"/>
    <mergeCell ref="D575:F575"/>
    <mergeCell ref="D576:F576"/>
    <mergeCell ref="C577:F577"/>
    <mergeCell ref="C578:F578"/>
    <mergeCell ref="C579:F579"/>
    <mergeCell ref="C562:G562"/>
    <mergeCell ref="D563:F563"/>
    <mergeCell ref="D564:F564"/>
    <mergeCell ref="D565:F565"/>
    <mergeCell ref="D566:F566"/>
    <mergeCell ref="D567:F567"/>
    <mergeCell ref="D568:F568"/>
    <mergeCell ref="D569:F569"/>
    <mergeCell ref="D570:F570"/>
    <mergeCell ref="D553:F553"/>
    <mergeCell ref="D554:F554"/>
    <mergeCell ref="D555:F555"/>
    <mergeCell ref="D556:F556"/>
    <mergeCell ref="D557:F557"/>
    <mergeCell ref="D558:F558"/>
    <mergeCell ref="D559:F559"/>
    <mergeCell ref="D560:F560"/>
    <mergeCell ref="D561:F561"/>
    <mergeCell ref="C547:G547"/>
    <mergeCell ref="I547:M547"/>
    <mergeCell ref="D548:F548"/>
    <mergeCell ref="I548:N548"/>
    <mergeCell ref="D549:F549"/>
    <mergeCell ref="I549:M549"/>
    <mergeCell ref="D550:F550"/>
    <mergeCell ref="D551:F551"/>
    <mergeCell ref="D552:F552"/>
    <mergeCell ref="C543:E543"/>
    <mergeCell ref="I543:M543"/>
    <mergeCell ref="Q543:S543"/>
    <mergeCell ref="C544:F544"/>
    <mergeCell ref="I544:N544"/>
    <mergeCell ref="C545:F545"/>
    <mergeCell ref="I545:M545"/>
    <mergeCell ref="C546:F546"/>
    <mergeCell ref="I546:N546"/>
    <mergeCell ref="C533:F533"/>
    <mergeCell ref="C534:F534"/>
    <mergeCell ref="C537:F537"/>
    <mergeCell ref="H537:N537"/>
    <mergeCell ref="C539:N539"/>
    <mergeCell ref="D540:M540"/>
    <mergeCell ref="C541:G541"/>
    <mergeCell ref="I541:M541"/>
    <mergeCell ref="C542:E542"/>
    <mergeCell ref="I542:N542"/>
    <mergeCell ref="D524:F524"/>
    <mergeCell ref="D525:F525"/>
    <mergeCell ref="D526:F526"/>
    <mergeCell ref="D527:F527"/>
    <mergeCell ref="D528:F528"/>
    <mergeCell ref="D529:F529"/>
    <mergeCell ref="D530:F530"/>
    <mergeCell ref="D531:F531"/>
    <mergeCell ref="C532:F532"/>
    <mergeCell ref="D515:F515"/>
    <mergeCell ref="D516:F516"/>
    <mergeCell ref="C517:G517"/>
    <mergeCell ref="D518:F518"/>
    <mergeCell ref="D519:F519"/>
    <mergeCell ref="D520:F520"/>
    <mergeCell ref="D521:F521"/>
    <mergeCell ref="D522:F522"/>
    <mergeCell ref="D523:F523"/>
    <mergeCell ref="D506:F506"/>
    <mergeCell ref="D507:F507"/>
    <mergeCell ref="D508:F508"/>
    <mergeCell ref="D509:F509"/>
    <mergeCell ref="D510:F510"/>
    <mergeCell ref="D511:F511"/>
    <mergeCell ref="D512:F512"/>
    <mergeCell ref="D513:F513"/>
    <mergeCell ref="D514:F514"/>
    <mergeCell ref="C501:F501"/>
    <mergeCell ref="I501:N501"/>
    <mergeCell ref="C502:G502"/>
    <mergeCell ref="I502:M502"/>
    <mergeCell ref="D503:F503"/>
    <mergeCell ref="I503:N503"/>
    <mergeCell ref="D504:F504"/>
    <mergeCell ref="I504:M504"/>
    <mergeCell ref="D505:F505"/>
    <mergeCell ref="C497:E497"/>
    <mergeCell ref="I497:N497"/>
    <mergeCell ref="C498:E498"/>
    <mergeCell ref="I498:M498"/>
    <mergeCell ref="Q498:S498"/>
    <mergeCell ref="C499:F499"/>
    <mergeCell ref="I499:N499"/>
    <mergeCell ref="C500:F500"/>
    <mergeCell ref="I500:M500"/>
    <mergeCell ref="C487:F487"/>
    <mergeCell ref="C488:F488"/>
    <mergeCell ref="C489:F489"/>
    <mergeCell ref="C492:F492"/>
    <mergeCell ref="H492:N492"/>
    <mergeCell ref="C494:N494"/>
    <mergeCell ref="D495:M495"/>
    <mergeCell ref="C496:G496"/>
    <mergeCell ref="I496:M496"/>
    <mergeCell ref="D478:F478"/>
    <mergeCell ref="D479:F479"/>
    <mergeCell ref="D480:F480"/>
    <mergeCell ref="D481:F481"/>
    <mergeCell ref="D482:F482"/>
    <mergeCell ref="D483:F483"/>
    <mergeCell ref="D484:F484"/>
    <mergeCell ref="D485:F485"/>
    <mergeCell ref="D486:F486"/>
    <mergeCell ref="D469:F469"/>
    <mergeCell ref="D470:F470"/>
    <mergeCell ref="D471:F471"/>
    <mergeCell ref="C472:G472"/>
    <mergeCell ref="D473:F473"/>
    <mergeCell ref="D474:F474"/>
    <mergeCell ref="D475:F475"/>
    <mergeCell ref="D476:F476"/>
    <mergeCell ref="D477:F477"/>
    <mergeCell ref="D460:F460"/>
    <mergeCell ref="D461:F461"/>
    <mergeCell ref="D462:F462"/>
    <mergeCell ref="D463:F463"/>
    <mergeCell ref="D464:F464"/>
    <mergeCell ref="D465:F465"/>
    <mergeCell ref="D466:F466"/>
    <mergeCell ref="D467:F467"/>
    <mergeCell ref="D468:F468"/>
    <mergeCell ref="C455:F455"/>
    <mergeCell ref="I455:M455"/>
    <mergeCell ref="C456:F456"/>
    <mergeCell ref="I456:N456"/>
    <mergeCell ref="C457:G457"/>
    <mergeCell ref="I457:M457"/>
    <mergeCell ref="D458:F458"/>
    <mergeCell ref="I458:N458"/>
    <mergeCell ref="D459:F459"/>
    <mergeCell ref="I459:M459"/>
    <mergeCell ref="C451:G451"/>
    <mergeCell ref="I451:M451"/>
    <mergeCell ref="C452:E452"/>
    <mergeCell ref="I452:N452"/>
    <mergeCell ref="C453:E453"/>
    <mergeCell ref="I453:M453"/>
    <mergeCell ref="Q453:S453"/>
    <mergeCell ref="C454:F454"/>
    <mergeCell ref="I454:N454"/>
    <mergeCell ref="D440:F440"/>
    <mergeCell ref="D441:F441"/>
    <mergeCell ref="C442:F442"/>
    <mergeCell ref="C443:F443"/>
    <mergeCell ref="C444:F444"/>
    <mergeCell ref="C447:F447"/>
    <mergeCell ref="H447:N447"/>
    <mergeCell ref="C449:N449"/>
    <mergeCell ref="D450:M450"/>
    <mergeCell ref="D431:F431"/>
    <mergeCell ref="D432:F432"/>
    <mergeCell ref="D433:F433"/>
    <mergeCell ref="D434:F434"/>
    <mergeCell ref="D435:F435"/>
    <mergeCell ref="D436:F436"/>
    <mergeCell ref="D437:F437"/>
    <mergeCell ref="D438:F438"/>
    <mergeCell ref="D439:F439"/>
    <mergeCell ref="D422:F422"/>
    <mergeCell ref="D423:F423"/>
    <mergeCell ref="D424:F424"/>
    <mergeCell ref="D425:F425"/>
    <mergeCell ref="D426:F426"/>
    <mergeCell ref="C427:G427"/>
    <mergeCell ref="D428:F428"/>
    <mergeCell ref="D429:F429"/>
    <mergeCell ref="D430:F430"/>
    <mergeCell ref="D414:F414"/>
    <mergeCell ref="I414:M414"/>
    <mergeCell ref="D415:F415"/>
    <mergeCell ref="D416:F416"/>
    <mergeCell ref="D417:F417"/>
    <mergeCell ref="D418:F418"/>
    <mergeCell ref="D419:F419"/>
    <mergeCell ref="D420:F420"/>
    <mergeCell ref="D421:F421"/>
    <mergeCell ref="C409:F409"/>
    <mergeCell ref="I409:N409"/>
    <mergeCell ref="C410:F410"/>
    <mergeCell ref="I410:M410"/>
    <mergeCell ref="C411:F411"/>
    <mergeCell ref="I411:N411"/>
    <mergeCell ref="C412:G412"/>
    <mergeCell ref="I412:M412"/>
    <mergeCell ref="D413:F413"/>
    <mergeCell ref="I413:N413"/>
    <mergeCell ref="C404:N404"/>
    <mergeCell ref="D405:M405"/>
    <mergeCell ref="C406:G406"/>
    <mergeCell ref="I406:M406"/>
    <mergeCell ref="C407:E407"/>
    <mergeCell ref="I407:N407"/>
    <mergeCell ref="C408:E408"/>
    <mergeCell ref="I408:M408"/>
    <mergeCell ref="Q408:S408"/>
    <mergeCell ref="D393:F393"/>
    <mergeCell ref="D394:F394"/>
    <mergeCell ref="D395:F395"/>
    <mergeCell ref="D396:F396"/>
    <mergeCell ref="C397:F397"/>
    <mergeCell ref="C398:F398"/>
    <mergeCell ref="C399:F399"/>
    <mergeCell ref="C402:F402"/>
    <mergeCell ref="H402:N402"/>
    <mergeCell ref="D384:F384"/>
    <mergeCell ref="D385:F385"/>
    <mergeCell ref="D386:F386"/>
    <mergeCell ref="D387:F387"/>
    <mergeCell ref="D388:F388"/>
    <mergeCell ref="D389:F389"/>
    <mergeCell ref="D390:F390"/>
    <mergeCell ref="D391:F391"/>
    <mergeCell ref="D392:F392"/>
    <mergeCell ref="D375:F375"/>
    <mergeCell ref="D376:F376"/>
    <mergeCell ref="D377:F377"/>
    <mergeCell ref="D378:F378"/>
    <mergeCell ref="D379:F379"/>
    <mergeCell ref="D380:F380"/>
    <mergeCell ref="D381:F381"/>
    <mergeCell ref="C382:G382"/>
    <mergeCell ref="D383:F383"/>
    <mergeCell ref="D368:F368"/>
    <mergeCell ref="I368:N368"/>
    <mergeCell ref="D369:F369"/>
    <mergeCell ref="I369:M369"/>
    <mergeCell ref="D370:F370"/>
    <mergeCell ref="D371:F371"/>
    <mergeCell ref="D372:F372"/>
    <mergeCell ref="D373:F373"/>
    <mergeCell ref="D374:F374"/>
    <mergeCell ref="Q363:S363"/>
    <mergeCell ref="C364:F364"/>
    <mergeCell ref="I364:N364"/>
    <mergeCell ref="C365:F365"/>
    <mergeCell ref="I365:M365"/>
    <mergeCell ref="C366:F366"/>
    <mergeCell ref="I366:N366"/>
    <mergeCell ref="C367:G367"/>
    <mergeCell ref="I367:M367"/>
    <mergeCell ref="C357:F357"/>
    <mergeCell ref="H357:N357"/>
    <mergeCell ref="C359:N359"/>
    <mergeCell ref="D360:M360"/>
    <mergeCell ref="C361:G361"/>
    <mergeCell ref="I361:M361"/>
    <mergeCell ref="C362:E362"/>
    <mergeCell ref="I362:N362"/>
    <mergeCell ref="C363:E363"/>
    <mergeCell ref="I363:M363"/>
    <mergeCell ref="D346:F346"/>
    <mergeCell ref="D347:F347"/>
    <mergeCell ref="D348:F348"/>
    <mergeCell ref="D349:F349"/>
    <mergeCell ref="D350:F350"/>
    <mergeCell ref="D351:F351"/>
    <mergeCell ref="C352:F352"/>
    <mergeCell ref="C353:F353"/>
    <mergeCell ref="C354:F354"/>
    <mergeCell ref="C337:G337"/>
    <mergeCell ref="D338:F338"/>
    <mergeCell ref="D339:F339"/>
    <mergeCell ref="D340:F340"/>
    <mergeCell ref="D341:F341"/>
    <mergeCell ref="D342:F342"/>
    <mergeCell ref="D343:F343"/>
    <mergeCell ref="D344:F344"/>
    <mergeCell ref="D345:F345"/>
    <mergeCell ref="D328:F328"/>
    <mergeCell ref="D329:F329"/>
    <mergeCell ref="D330:F330"/>
    <mergeCell ref="D331:F331"/>
    <mergeCell ref="D332:F332"/>
    <mergeCell ref="D333:F333"/>
    <mergeCell ref="D334:F334"/>
    <mergeCell ref="D335:F335"/>
    <mergeCell ref="D336:F336"/>
    <mergeCell ref="C322:G322"/>
    <mergeCell ref="I322:M322"/>
    <mergeCell ref="D323:F323"/>
    <mergeCell ref="I323:N323"/>
    <mergeCell ref="D324:F324"/>
    <mergeCell ref="I324:M324"/>
    <mergeCell ref="D325:F325"/>
    <mergeCell ref="D326:F326"/>
    <mergeCell ref="D327:F327"/>
    <mergeCell ref="C318:E318"/>
    <mergeCell ref="I318:M318"/>
    <mergeCell ref="Q318:S318"/>
    <mergeCell ref="C319:F319"/>
    <mergeCell ref="I319:N319"/>
    <mergeCell ref="C320:F320"/>
    <mergeCell ref="I320:M320"/>
    <mergeCell ref="C321:F321"/>
    <mergeCell ref="I321:N321"/>
    <mergeCell ref="C312:F312"/>
    <mergeCell ref="H312:N312"/>
    <mergeCell ref="C314:N314"/>
    <mergeCell ref="D315:M315"/>
    <mergeCell ref="C316:G316"/>
    <mergeCell ref="I316:M316"/>
    <mergeCell ref="Q316:S316"/>
    <mergeCell ref="C317:E317"/>
    <mergeCell ref="I317:N317"/>
    <mergeCell ref="D301:F301"/>
    <mergeCell ref="D302:F302"/>
    <mergeCell ref="D303:F303"/>
    <mergeCell ref="D304:F304"/>
    <mergeCell ref="D305:F305"/>
    <mergeCell ref="D306:F306"/>
    <mergeCell ref="C307:F307"/>
    <mergeCell ref="C308:F308"/>
    <mergeCell ref="C309:F309"/>
    <mergeCell ref="C292:G292"/>
    <mergeCell ref="D293:F293"/>
    <mergeCell ref="D294:F294"/>
    <mergeCell ref="D295:F295"/>
    <mergeCell ref="D296:F296"/>
    <mergeCell ref="D297:F297"/>
    <mergeCell ref="D298:F298"/>
    <mergeCell ref="D299:F299"/>
    <mergeCell ref="D300:F300"/>
    <mergeCell ref="D283:F283"/>
    <mergeCell ref="D284:F284"/>
    <mergeCell ref="D285:F285"/>
    <mergeCell ref="D286:F286"/>
    <mergeCell ref="D287:F287"/>
    <mergeCell ref="D288:F288"/>
    <mergeCell ref="D289:F289"/>
    <mergeCell ref="D290:F290"/>
    <mergeCell ref="D291:F291"/>
    <mergeCell ref="C277:G277"/>
    <mergeCell ref="I277:M277"/>
    <mergeCell ref="D278:F278"/>
    <mergeCell ref="I278:N278"/>
    <mergeCell ref="D279:F279"/>
    <mergeCell ref="I279:M279"/>
    <mergeCell ref="D280:F280"/>
    <mergeCell ref="D281:F281"/>
    <mergeCell ref="D282:F282"/>
    <mergeCell ref="C273:E273"/>
    <mergeCell ref="I273:M273"/>
    <mergeCell ref="Q273:S273"/>
    <mergeCell ref="C274:F274"/>
    <mergeCell ref="I274:N274"/>
    <mergeCell ref="C275:F275"/>
    <mergeCell ref="I275:M275"/>
    <mergeCell ref="C276:F276"/>
    <mergeCell ref="I276:N276"/>
    <mergeCell ref="C263:F263"/>
    <mergeCell ref="C264:F264"/>
    <mergeCell ref="C267:F267"/>
    <mergeCell ref="H267:N267"/>
    <mergeCell ref="C269:N269"/>
    <mergeCell ref="D270:M270"/>
    <mergeCell ref="C271:G271"/>
    <mergeCell ref="I271:M271"/>
    <mergeCell ref="C272:E272"/>
    <mergeCell ref="I272:N272"/>
    <mergeCell ref="D254:F254"/>
    <mergeCell ref="D255:F255"/>
    <mergeCell ref="D256:F256"/>
    <mergeCell ref="D257:F257"/>
    <mergeCell ref="D258:F258"/>
    <mergeCell ref="D259:F259"/>
    <mergeCell ref="D260:F260"/>
    <mergeCell ref="D261:F261"/>
    <mergeCell ref="C262:F262"/>
    <mergeCell ref="D245:F245"/>
    <mergeCell ref="D246:F246"/>
    <mergeCell ref="C247:G247"/>
    <mergeCell ref="D248:F248"/>
    <mergeCell ref="D249:F249"/>
    <mergeCell ref="D250:F250"/>
    <mergeCell ref="D251:F251"/>
    <mergeCell ref="D252:F252"/>
    <mergeCell ref="D253:F253"/>
    <mergeCell ref="D236:F236"/>
    <mergeCell ref="D237:F237"/>
    <mergeCell ref="D238:F238"/>
    <mergeCell ref="D239:F239"/>
    <mergeCell ref="D240:F240"/>
    <mergeCell ref="D241:F241"/>
    <mergeCell ref="D242:F242"/>
    <mergeCell ref="D243:F243"/>
    <mergeCell ref="D244:F244"/>
    <mergeCell ref="C231:F231"/>
    <mergeCell ref="I231:N231"/>
    <mergeCell ref="C232:G232"/>
    <mergeCell ref="I232:M232"/>
    <mergeCell ref="D233:F233"/>
    <mergeCell ref="I233:N233"/>
    <mergeCell ref="D234:F234"/>
    <mergeCell ref="I234:M234"/>
    <mergeCell ref="D235:F235"/>
    <mergeCell ref="C227:E227"/>
    <mergeCell ref="I227:N227"/>
    <mergeCell ref="C228:E228"/>
    <mergeCell ref="I228:M228"/>
    <mergeCell ref="Q228:S228"/>
    <mergeCell ref="C229:F229"/>
    <mergeCell ref="I229:N229"/>
    <mergeCell ref="C230:F230"/>
    <mergeCell ref="I230:M230"/>
    <mergeCell ref="C218:F218"/>
    <mergeCell ref="J218:M218"/>
    <mergeCell ref="C219:F219"/>
    <mergeCell ref="C222:F222"/>
    <mergeCell ref="H222:N222"/>
    <mergeCell ref="C224:N224"/>
    <mergeCell ref="D225:M225"/>
    <mergeCell ref="C226:G226"/>
    <mergeCell ref="I226:M226"/>
    <mergeCell ref="D213:F213"/>
    <mergeCell ref="J213:M213"/>
    <mergeCell ref="D214:F214"/>
    <mergeCell ref="J214:M214"/>
    <mergeCell ref="D215:F215"/>
    <mergeCell ref="J215:M215"/>
    <mergeCell ref="D216:F216"/>
    <mergeCell ref="J216:M216"/>
    <mergeCell ref="C217:F217"/>
    <mergeCell ref="J217:M217"/>
    <mergeCell ref="D208:F208"/>
    <mergeCell ref="D209:F209"/>
    <mergeCell ref="J209:M209"/>
    <mergeCell ref="D210:F210"/>
    <mergeCell ref="J210:M210"/>
    <mergeCell ref="D211:F211"/>
    <mergeCell ref="J211:M211"/>
    <mergeCell ref="D212:F212"/>
    <mergeCell ref="J212:M212"/>
    <mergeCell ref="D199:F199"/>
    <mergeCell ref="D200:F200"/>
    <mergeCell ref="D201:F201"/>
    <mergeCell ref="C202:G202"/>
    <mergeCell ref="D203:F203"/>
    <mergeCell ref="D204:F204"/>
    <mergeCell ref="D205:F205"/>
    <mergeCell ref="D206:F206"/>
    <mergeCell ref="D207:F207"/>
    <mergeCell ref="D190:F190"/>
    <mergeCell ref="D191:F191"/>
    <mergeCell ref="D192:F192"/>
    <mergeCell ref="D193:F193"/>
    <mergeCell ref="D194:F194"/>
    <mergeCell ref="D195:F195"/>
    <mergeCell ref="D196:F196"/>
    <mergeCell ref="D197:F197"/>
    <mergeCell ref="D198:F198"/>
    <mergeCell ref="C185:F185"/>
    <mergeCell ref="I185:M185"/>
    <mergeCell ref="C186:F186"/>
    <mergeCell ref="I186:N186"/>
    <mergeCell ref="C187:G187"/>
    <mergeCell ref="I187:M187"/>
    <mergeCell ref="D188:F188"/>
    <mergeCell ref="I188:N188"/>
    <mergeCell ref="D189:F189"/>
    <mergeCell ref="I189:M189"/>
    <mergeCell ref="C181:G181"/>
    <mergeCell ref="I181:M181"/>
    <mergeCell ref="C182:E182"/>
    <mergeCell ref="I182:N182"/>
    <mergeCell ref="C183:E183"/>
    <mergeCell ref="I183:M183"/>
    <mergeCell ref="Q183:S183"/>
    <mergeCell ref="C184:F184"/>
    <mergeCell ref="I184:N184"/>
    <mergeCell ref="C172:F172"/>
    <mergeCell ref="J172:M172"/>
    <mergeCell ref="C173:F173"/>
    <mergeCell ref="J173:M173"/>
    <mergeCell ref="C174:F174"/>
    <mergeCell ref="C177:F177"/>
    <mergeCell ref="H177:N177"/>
    <mergeCell ref="C179:N179"/>
    <mergeCell ref="D180:M180"/>
    <mergeCell ref="J167:M167"/>
    <mergeCell ref="D168:F168"/>
    <mergeCell ref="J168:M168"/>
    <mergeCell ref="D169:F169"/>
    <mergeCell ref="J169:M169"/>
    <mergeCell ref="D170:F170"/>
    <mergeCell ref="J170:M170"/>
    <mergeCell ref="D171:F171"/>
    <mergeCell ref="J171:M171"/>
    <mergeCell ref="D159:F159"/>
    <mergeCell ref="D160:F160"/>
    <mergeCell ref="D161:F161"/>
    <mergeCell ref="D162:F162"/>
    <mergeCell ref="D163:F163"/>
    <mergeCell ref="D164:F164"/>
    <mergeCell ref="D165:F165"/>
    <mergeCell ref="D166:F166"/>
    <mergeCell ref="D167:F167"/>
    <mergeCell ref="D150:F150"/>
    <mergeCell ref="D151:F151"/>
    <mergeCell ref="D152:F152"/>
    <mergeCell ref="D153:F153"/>
    <mergeCell ref="D154:F154"/>
    <mergeCell ref="D155:F155"/>
    <mergeCell ref="D156:F156"/>
    <mergeCell ref="C157:G157"/>
    <mergeCell ref="D158:F158"/>
    <mergeCell ref="D143:F143"/>
    <mergeCell ref="I143:N143"/>
    <mergeCell ref="D144:F144"/>
    <mergeCell ref="I144:M144"/>
    <mergeCell ref="D145:F145"/>
    <mergeCell ref="D146:F146"/>
    <mergeCell ref="D147:F147"/>
    <mergeCell ref="D148:F148"/>
    <mergeCell ref="D149:F149"/>
    <mergeCell ref="Q138:S138"/>
    <mergeCell ref="C139:F139"/>
    <mergeCell ref="I139:N139"/>
    <mergeCell ref="C140:F140"/>
    <mergeCell ref="I140:M140"/>
    <mergeCell ref="C141:F141"/>
    <mergeCell ref="I141:N141"/>
    <mergeCell ref="C142:G142"/>
    <mergeCell ref="I142:M142"/>
    <mergeCell ref="C132:F132"/>
    <mergeCell ref="H132:N132"/>
    <mergeCell ref="C134:N134"/>
    <mergeCell ref="D135:M135"/>
    <mergeCell ref="C136:G136"/>
    <mergeCell ref="I136:M136"/>
    <mergeCell ref="C137:E137"/>
    <mergeCell ref="I137:N137"/>
    <mergeCell ref="C138:E138"/>
    <mergeCell ref="I138:M138"/>
    <mergeCell ref="C124:E124"/>
    <mergeCell ref="I124:M124"/>
    <mergeCell ref="Q124:S124"/>
    <mergeCell ref="C125:F125"/>
    <mergeCell ref="C126:F126"/>
    <mergeCell ref="C127:F127"/>
    <mergeCell ref="C128:F128"/>
    <mergeCell ref="J128:M128"/>
    <mergeCell ref="C129:F129"/>
    <mergeCell ref="C115:F115"/>
    <mergeCell ref="C118:F118"/>
    <mergeCell ref="H118:N118"/>
    <mergeCell ref="C120:N120"/>
    <mergeCell ref="D121:M121"/>
    <mergeCell ref="C122:G122"/>
    <mergeCell ref="I122:M122"/>
    <mergeCell ref="C123:E123"/>
    <mergeCell ref="I123:N123"/>
    <mergeCell ref="C109:E109"/>
    <mergeCell ref="I109:N109"/>
    <mergeCell ref="C110:E110"/>
    <mergeCell ref="I110:M110"/>
    <mergeCell ref="Q110:S110"/>
    <mergeCell ref="C111:F111"/>
    <mergeCell ref="C112:F112"/>
    <mergeCell ref="C113:F113"/>
    <mergeCell ref="C114:F114"/>
    <mergeCell ref="C97:F97"/>
    <mergeCell ref="C98:F98"/>
    <mergeCell ref="C100:F100"/>
    <mergeCell ref="C101:F101"/>
    <mergeCell ref="C104:F104"/>
    <mergeCell ref="H104:N104"/>
    <mergeCell ref="C106:N106"/>
    <mergeCell ref="D107:M107"/>
    <mergeCell ref="C108:G108"/>
    <mergeCell ref="I108:M108"/>
    <mergeCell ref="C92:N92"/>
    <mergeCell ref="D93:M93"/>
    <mergeCell ref="C94:G94"/>
    <mergeCell ref="I94:M94"/>
    <mergeCell ref="C95:E95"/>
    <mergeCell ref="I95:N95"/>
    <mergeCell ref="C96:E96"/>
    <mergeCell ref="I96:M96"/>
    <mergeCell ref="Q96:S96"/>
    <mergeCell ref="C82:E82"/>
    <mergeCell ref="I82:M82"/>
    <mergeCell ref="Q82:S82"/>
    <mergeCell ref="C83:F83"/>
    <mergeCell ref="C84:F84"/>
    <mergeCell ref="C86:F86"/>
    <mergeCell ref="C87:F87"/>
    <mergeCell ref="C90:F90"/>
    <mergeCell ref="H90:N90"/>
    <mergeCell ref="C73:F73"/>
    <mergeCell ref="C76:F76"/>
    <mergeCell ref="H76:N76"/>
    <mergeCell ref="C78:N78"/>
    <mergeCell ref="D79:M79"/>
    <mergeCell ref="C80:G80"/>
    <mergeCell ref="I80:M80"/>
    <mergeCell ref="C81:E81"/>
    <mergeCell ref="I81:N81"/>
    <mergeCell ref="C67:E67"/>
    <mergeCell ref="I67:N67"/>
    <mergeCell ref="C68:E68"/>
    <mergeCell ref="I68:M68"/>
    <mergeCell ref="Q68:S68"/>
    <mergeCell ref="C69:F69"/>
    <mergeCell ref="C70:F70"/>
    <mergeCell ref="C71:F71"/>
    <mergeCell ref="C72:F72"/>
    <mergeCell ref="C58:F58"/>
    <mergeCell ref="J58:M58"/>
    <mergeCell ref="C59:F59"/>
    <mergeCell ref="C62:F62"/>
    <mergeCell ref="H62:N62"/>
    <mergeCell ref="C64:N64"/>
    <mergeCell ref="D65:M65"/>
    <mergeCell ref="C66:G66"/>
    <mergeCell ref="I66:M66"/>
    <mergeCell ref="D53:F53"/>
    <mergeCell ref="J53:M53"/>
    <mergeCell ref="D54:F54"/>
    <mergeCell ref="J54:M54"/>
    <mergeCell ref="D55:F55"/>
    <mergeCell ref="J55:M55"/>
    <mergeCell ref="D56:F56"/>
    <mergeCell ref="J56:M56"/>
    <mergeCell ref="C57:F57"/>
    <mergeCell ref="J57:M57"/>
    <mergeCell ref="D46:F46"/>
    <mergeCell ref="D47:F47"/>
    <mergeCell ref="D48:F48"/>
    <mergeCell ref="D49:F49"/>
    <mergeCell ref="D50:F50"/>
    <mergeCell ref="D51:F51"/>
    <mergeCell ref="J51:M51"/>
    <mergeCell ref="D52:F52"/>
    <mergeCell ref="J52:M52"/>
    <mergeCell ref="D37:F37"/>
    <mergeCell ref="D38:F38"/>
    <mergeCell ref="D39:F39"/>
    <mergeCell ref="D40:F40"/>
    <mergeCell ref="D41:F41"/>
    <mergeCell ref="C42:G42"/>
    <mergeCell ref="D43:F43"/>
    <mergeCell ref="D44:F44"/>
    <mergeCell ref="D45:F45"/>
    <mergeCell ref="D29:F29"/>
    <mergeCell ref="I29:M29"/>
    <mergeCell ref="D30:F30"/>
    <mergeCell ref="D31:F31"/>
    <mergeCell ref="D32:F32"/>
    <mergeCell ref="D33:F33"/>
    <mergeCell ref="D34:F34"/>
    <mergeCell ref="D35:F35"/>
    <mergeCell ref="D36:F36"/>
    <mergeCell ref="C24:F24"/>
    <mergeCell ref="I24:N24"/>
    <mergeCell ref="C25:F25"/>
    <mergeCell ref="I25:M25"/>
    <mergeCell ref="C26:F26"/>
    <mergeCell ref="I26:N26"/>
    <mergeCell ref="C27:G27"/>
    <mergeCell ref="I27:M27"/>
    <mergeCell ref="D28:F28"/>
    <mergeCell ref="I28:N28"/>
    <mergeCell ref="C19:N19"/>
    <mergeCell ref="D20:M20"/>
    <mergeCell ref="C21:G21"/>
    <mergeCell ref="I21:M21"/>
    <mergeCell ref="C22:E22"/>
    <mergeCell ref="I22:N22"/>
    <mergeCell ref="C23:E23"/>
    <mergeCell ref="K23:M23"/>
    <mergeCell ref="Q23:S23"/>
    <mergeCell ref="C9:E9"/>
    <mergeCell ref="I9:M9"/>
    <mergeCell ref="Q9:S9"/>
    <mergeCell ref="C10:F10"/>
    <mergeCell ref="C11:F11"/>
    <mergeCell ref="C12:F12"/>
    <mergeCell ref="C13:F13"/>
    <mergeCell ref="C14:F14"/>
    <mergeCell ref="C17:F17"/>
    <mergeCell ref="H17:N17"/>
    <mergeCell ref="B1:N1"/>
    <mergeCell ref="B2:N2"/>
    <mergeCell ref="B3:N3"/>
    <mergeCell ref="C4:N4"/>
    <mergeCell ref="C5:N5"/>
    <mergeCell ref="D6:M6"/>
    <mergeCell ref="C7:G7"/>
    <mergeCell ref="I7:M7"/>
    <mergeCell ref="C8:E8"/>
    <mergeCell ref="I8:N8"/>
  </mergeCells>
  <conditionalFormatting sqref="G76 G17 G62 G90 G177 G222 G267 G312 G357 G402 G447 G492 G537 G582 G627">
    <cfRule type="cellIs" dxfId="106" priority="2" operator="equal">
      <formula>0</formula>
    </cfRule>
  </conditionalFormatting>
  <conditionalFormatting sqref="H17">
    <cfRule type="expression" dxfId="105" priority="3">
      <formula>G17&lt;&gt;0</formula>
    </cfRule>
  </conditionalFormatting>
  <conditionalFormatting sqref="H62">
    <cfRule type="expression" dxfId="104" priority="4">
      <formula>G62&lt;&gt;0</formula>
    </cfRule>
  </conditionalFormatting>
  <conditionalFormatting sqref="H76">
    <cfRule type="expression" dxfId="103" priority="5">
      <formula>G76&lt;&gt;0</formula>
    </cfRule>
  </conditionalFormatting>
  <conditionalFormatting sqref="H90">
    <cfRule type="expression" dxfId="102" priority="6">
      <formula>G90&lt;&gt;0</formula>
    </cfRule>
  </conditionalFormatting>
  <conditionalFormatting sqref="H177">
    <cfRule type="expression" dxfId="101" priority="7">
      <formula>G177&lt;&gt;0</formula>
    </cfRule>
  </conditionalFormatting>
  <conditionalFormatting sqref="H222">
    <cfRule type="expression" dxfId="100" priority="8">
      <formula>G222&lt;&gt;0</formula>
    </cfRule>
  </conditionalFormatting>
  <conditionalFormatting sqref="H267">
    <cfRule type="expression" dxfId="99" priority="9">
      <formula>G267&lt;&gt;0</formula>
    </cfRule>
  </conditionalFormatting>
  <conditionalFormatting sqref="H312">
    <cfRule type="expression" dxfId="98" priority="10">
      <formula>G312&lt;&gt;0</formula>
    </cfRule>
  </conditionalFormatting>
  <conditionalFormatting sqref="H357">
    <cfRule type="expression" dxfId="97" priority="11">
      <formula>G357&lt;&gt;0</formula>
    </cfRule>
  </conditionalFormatting>
  <conditionalFormatting sqref="H402">
    <cfRule type="expression" dxfId="96" priority="12">
      <formula>G402&lt;&gt;0</formula>
    </cfRule>
  </conditionalFormatting>
  <conditionalFormatting sqref="H447">
    <cfRule type="expression" dxfId="95" priority="13">
      <formula>G447&lt;&gt;0</formula>
    </cfRule>
  </conditionalFormatting>
  <conditionalFormatting sqref="H492">
    <cfRule type="expression" dxfId="94" priority="14">
      <formula>G492&lt;&gt;0</formula>
    </cfRule>
  </conditionalFormatting>
  <conditionalFormatting sqref="H537">
    <cfRule type="expression" dxfId="93" priority="15">
      <formula>G537&lt;&gt;0</formula>
    </cfRule>
  </conditionalFormatting>
  <conditionalFormatting sqref="H582">
    <cfRule type="expression" dxfId="92" priority="16">
      <formula>G582&lt;&gt;0</formula>
    </cfRule>
  </conditionalFormatting>
  <conditionalFormatting sqref="H627">
    <cfRule type="expression" dxfId="91" priority="17">
      <formula>G627&lt;&gt;0</formula>
    </cfRule>
  </conditionalFormatting>
  <conditionalFormatting sqref="G104">
    <cfRule type="cellIs" dxfId="90" priority="18" operator="equal">
      <formula>0</formula>
    </cfRule>
  </conditionalFormatting>
  <conditionalFormatting sqref="H104">
    <cfRule type="expression" dxfId="89" priority="19">
      <formula>G104&lt;&gt;0</formula>
    </cfRule>
  </conditionalFormatting>
  <conditionalFormatting sqref="G118">
    <cfRule type="cellIs" dxfId="88" priority="20" operator="equal">
      <formula>0</formula>
    </cfRule>
  </conditionalFormatting>
  <conditionalFormatting sqref="H118">
    <cfRule type="expression" dxfId="87" priority="21">
      <formula>G118&lt;&gt;0</formula>
    </cfRule>
  </conditionalFormatting>
  <conditionalFormatting sqref="G132">
    <cfRule type="cellIs" dxfId="86" priority="22" operator="equal">
      <formula>0</formula>
    </cfRule>
  </conditionalFormatting>
  <conditionalFormatting sqref="H132">
    <cfRule type="expression" dxfId="85" priority="23">
      <formula>G132&lt;&gt;0</formula>
    </cfRule>
  </conditionalFormatting>
  <dataValidations count="1">
    <dataValidation allowBlank="1" showInputMessage="1" showErrorMessage="1" error="Oupsss" sqref="N318">
      <formula1>0</formula1>
      <formula2>0</formula2>
    </dataValidation>
  </dataValidations>
  <printOptions horizontalCentered="1"/>
  <pageMargins left="0.55138888888888904" right="0.15763888888888899" top="0.72986111111111096" bottom="0.35416666666666702" header="0.15763888888888899" footer="0.15763888888888899"/>
  <pageSetup scale="54" orientation="portrait" horizontalDpi="300" verticalDpi="300"/>
  <headerFooter>
    <oddHeader>&amp;C&amp;"Arial,Bold"&amp;28</oddHeader>
    <oddFooter>&amp;L&amp;D&amp;R&amp;P/&amp;N</oddFooter>
  </headerFooter>
  <rowBreaks count="15" manualBreakCount="15">
    <brk id="19" max="16383" man="1"/>
    <brk id="64" max="16383" man="1"/>
    <brk id="78" max="16383" man="1"/>
    <brk id="120" max="16383" man="1"/>
    <brk id="134" max="16383" man="1"/>
    <brk id="179" max="16383" man="1"/>
    <brk id="224" max="16383" man="1"/>
    <brk id="269" max="16383" man="1"/>
    <brk id="314" max="16383" man="1"/>
    <brk id="359" max="16383" man="1"/>
    <brk id="404" max="16383" man="1"/>
    <brk id="449" max="16383" man="1"/>
    <brk id="494" max="16383" man="1"/>
    <brk id="539" max="16383" man="1"/>
    <brk id="584" max="16383"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B1:BJ122"/>
  <sheetViews>
    <sheetView showGridLines="0" showRowColHeaders="0" showZeros="0" zoomScale="85" zoomScaleNormal="85" workbookViewId="0">
      <selection activeCell="X1" sqref="X1"/>
    </sheetView>
  </sheetViews>
  <sheetFormatPr defaultColWidth="11.42578125" defaultRowHeight="12.75" x14ac:dyDescent="0.2"/>
  <cols>
    <col min="1" max="1" width="8" customWidth="1"/>
    <col min="2" max="2" width="2.140625" customWidth="1"/>
    <col min="3" max="3" width="21.28515625" customWidth="1"/>
    <col min="4" max="4" width="31.28515625" customWidth="1"/>
    <col min="5" max="5" width="15.42578125" customWidth="1"/>
    <col min="6" max="6" width="15.7109375" customWidth="1"/>
    <col min="7" max="7" width="17.7109375" customWidth="1"/>
    <col min="8" max="8" width="3.5703125" customWidth="1"/>
    <col min="9" max="9" width="24.7109375" customWidth="1"/>
    <col min="10" max="10" width="30.42578125" customWidth="1"/>
    <col min="11" max="11" width="15.42578125" customWidth="1"/>
    <col min="12" max="12" width="3.85546875" hidden="1" customWidth="1"/>
    <col min="13" max="13" width="15.7109375" customWidth="1"/>
    <col min="14" max="14" width="17.7109375" customWidth="1"/>
    <col min="15" max="15" width="2.140625" customWidth="1"/>
    <col min="16" max="16" width="1.5703125" style="568" customWidth="1"/>
    <col min="17" max="17" width="11.7109375" style="568" hidden="1" customWidth="1"/>
    <col min="18" max="18" width="1.85546875" style="568" hidden="1" customWidth="1"/>
    <col min="19" max="19" width="8.28515625" style="568" hidden="1" customWidth="1"/>
    <col min="20" max="20" width="2.28515625" style="568" hidden="1" customWidth="1"/>
    <col min="21" max="21" width="5" style="568" hidden="1" customWidth="1"/>
    <col min="22" max="22" width="9.140625" style="568" hidden="1" customWidth="1"/>
    <col min="23" max="23" width="20" style="568" hidden="1" customWidth="1"/>
    <col min="24" max="25" width="9.140625" style="568" customWidth="1"/>
    <col min="26" max="26" width="14.28515625" style="568" customWidth="1"/>
    <col min="27" max="27" width="2.5703125" style="568" customWidth="1"/>
    <col min="28" max="62" width="9.140625" style="568" customWidth="1"/>
    <col min="63" max="257" width="9.140625" customWidth="1"/>
  </cols>
  <sheetData>
    <row r="1" spans="2:62" ht="33.75" customHeight="1" x14ac:dyDescent="0.4">
      <c r="B1" s="1452" t="str">
        <f>IF(Q2=2,"Réconciliation des comptes","Accounts Reconciliation")</f>
        <v>Accounts Reconciliation</v>
      </c>
      <c r="C1" s="1452"/>
      <c r="D1" s="1452"/>
      <c r="E1" s="1452"/>
      <c r="F1" s="1452"/>
      <c r="G1" s="1452"/>
      <c r="H1" s="1452"/>
      <c r="I1" s="1452"/>
      <c r="J1" s="1452"/>
      <c r="K1" s="1452"/>
      <c r="L1" s="1452"/>
      <c r="M1" s="1452"/>
      <c r="N1" s="1452"/>
      <c r="O1" s="1452"/>
    </row>
    <row r="2" spans="2:62" ht="33.75" customHeight="1" x14ac:dyDescent="0.2">
      <c r="B2" s="1569">
        <f>'Data Set up'!B2:I2</f>
        <v>0</v>
      </c>
      <c r="C2" s="1569"/>
      <c r="D2" s="1569"/>
      <c r="E2" s="1569"/>
      <c r="F2" s="1569"/>
      <c r="G2" s="1569"/>
      <c r="H2" s="1569"/>
      <c r="I2" s="1569"/>
      <c r="J2" s="1569"/>
      <c r="K2" s="1569"/>
      <c r="L2" s="1569"/>
      <c r="M2" s="1569"/>
      <c r="N2" s="1569"/>
      <c r="O2" s="1569"/>
      <c r="P2" s="570"/>
      <c r="Q2" s="651">
        <f>'Data Set up'!K10</f>
        <v>1</v>
      </c>
      <c r="R2" s="570"/>
      <c r="S2" s="570"/>
    </row>
    <row r="3" spans="2:62" s="1" customFormat="1" ht="24" customHeight="1" x14ac:dyDescent="0.2">
      <c r="B3" s="1570" t="str">
        <f>IF(Q2=2,"Sommaire des comptes réconciliés","Reconciliated Accounts Summary")</f>
        <v>Reconciliated Accounts Summary</v>
      </c>
      <c r="C3" s="1570"/>
      <c r="D3" s="1570"/>
      <c r="E3" s="1570"/>
      <c r="F3" s="1570"/>
      <c r="G3" s="1570"/>
      <c r="H3" s="1570"/>
      <c r="I3" s="1570"/>
      <c r="J3" s="1570"/>
      <c r="K3" s="1570"/>
      <c r="L3" s="1570"/>
      <c r="M3" s="1570"/>
      <c r="N3" s="1570"/>
      <c r="O3" s="1570"/>
      <c r="Q3" s="573"/>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row>
    <row r="4" spans="2:62" s="1" customFormat="1" ht="24" customHeight="1" x14ac:dyDescent="0.2">
      <c r="C4" s="1571" t="str">
        <f>'Acct Detailed Reconcil'!C4:N4</f>
        <v>As of</v>
      </c>
      <c r="D4" s="1571"/>
      <c r="E4" s="1571"/>
      <c r="F4" s="1571"/>
      <c r="G4" s="1571"/>
      <c r="H4" s="1571"/>
      <c r="I4" s="1571"/>
      <c r="J4" s="1571"/>
      <c r="K4" s="1571"/>
      <c r="L4" s="1571"/>
      <c r="M4" s="1571"/>
      <c r="N4" s="1571"/>
      <c r="O4" s="574"/>
      <c r="P4" s="575"/>
      <c r="Q4" s="80" t="str">
        <f>'Data Set up'!F40&amp;" "&amp;'Data Set up'!G40&amp;" "&amp;'Data Set up'!G39</f>
        <v>31 August 2024</v>
      </c>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row>
    <row r="5" spans="2:62" s="1" customFormat="1" ht="24" customHeight="1" x14ac:dyDescent="0.2">
      <c r="C5" s="1572">
        <f>'Acct Detailed Reconcil'!C5:N5</f>
        <v>0</v>
      </c>
      <c r="D5" s="1572"/>
      <c r="E5" s="1572"/>
      <c r="F5" s="1572"/>
      <c r="G5" s="1572"/>
      <c r="H5" s="1572"/>
      <c r="I5" s="1572"/>
      <c r="J5" s="1572"/>
      <c r="K5" s="1572"/>
      <c r="L5" s="1572"/>
      <c r="M5" s="1572"/>
      <c r="N5" s="1572"/>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row>
    <row r="6" spans="2:62" s="1" customFormat="1" ht="11.25" customHeight="1" x14ac:dyDescent="0.2">
      <c r="B6" s="652"/>
      <c r="C6" s="653"/>
      <c r="D6" s="653"/>
      <c r="E6" s="653"/>
      <c r="F6" s="653"/>
      <c r="G6" s="653"/>
      <c r="H6" s="653"/>
      <c r="I6" s="653"/>
      <c r="J6" s="653"/>
      <c r="K6" s="653"/>
      <c r="L6" s="653"/>
      <c r="M6" s="653"/>
      <c r="N6" s="653"/>
      <c r="O6" s="653"/>
      <c r="P6" s="29"/>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row>
    <row r="7" spans="2:62" s="29" customFormat="1" ht="18.75" customHeight="1" x14ac:dyDescent="0.2">
      <c r="B7" s="653"/>
      <c r="C7" s="1573"/>
      <c r="D7" s="1573"/>
      <c r="E7" s="654"/>
      <c r="F7" s="655"/>
      <c r="G7" s="656"/>
      <c r="H7" s="653"/>
      <c r="I7" s="657"/>
      <c r="J7" s="654"/>
      <c r="K7" s="654"/>
      <c r="L7" s="654"/>
      <c r="M7" s="654"/>
      <c r="N7" s="658"/>
      <c r="O7" s="653"/>
      <c r="P7" s="80"/>
      <c r="W7" s="29" t="str">
        <f>'Data Set up'!$F$40&amp;" "&amp;'Data Set up'!$G$40&amp;" "&amp;'Data Set up'!$G$39</f>
        <v>31 August 2024</v>
      </c>
      <c r="X7" s="1"/>
      <c r="Y7" s="1"/>
      <c r="Z7" s="527"/>
      <c r="AA7" s="1"/>
      <c r="AB7" s="1"/>
      <c r="AC7" s="1"/>
    </row>
    <row r="8" spans="2:62" s="1" customFormat="1" ht="27" customHeight="1" x14ac:dyDescent="0.2">
      <c r="B8" s="653"/>
      <c r="C8" s="1574" t="str">
        <f>'Data Set up'!I18</f>
        <v>Other Cash in hand</v>
      </c>
      <c r="D8" s="1574"/>
      <c r="E8" s="659"/>
      <c r="F8" s="660" t="str">
        <f>LEFT('Data Set up'!H18,4)</f>
        <v>1010</v>
      </c>
      <c r="G8" s="54"/>
      <c r="H8" s="652"/>
      <c r="I8" s="1574" t="str">
        <f>'Data Set up'!I19</f>
        <v>Main Bank Account</v>
      </c>
      <c r="J8" s="1574"/>
      <c r="K8" s="659"/>
      <c r="L8" s="660"/>
      <c r="M8" s="660" t="str">
        <f>LEFT('Data Set up'!H19,4)</f>
        <v>1020</v>
      </c>
      <c r="N8" s="54"/>
      <c r="O8" s="652"/>
      <c r="P8" s="80"/>
      <c r="Q8" s="80"/>
      <c r="R8" s="80"/>
      <c r="S8" s="80"/>
      <c r="T8" s="80"/>
      <c r="U8" s="80"/>
      <c r="V8" s="80"/>
      <c r="W8" s="584">
        <f ca="1">TodayDate</f>
        <v>45154</v>
      </c>
      <c r="AC8" s="29"/>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row>
    <row r="9" spans="2:62" s="1" customFormat="1" ht="27" customHeight="1" x14ac:dyDescent="0.2">
      <c r="B9" s="653"/>
      <c r="C9" s="1575" t="str">
        <f>IF(Q2=2,"Solde d'ouverture","Opening Balance")</f>
        <v>Opening Balance</v>
      </c>
      <c r="D9" s="1575"/>
      <c r="E9" s="661">
        <f>'Acct Detailed Reconcil'!G9</f>
        <v>0</v>
      </c>
      <c r="F9" s="662"/>
      <c r="G9" s="54"/>
      <c r="H9" s="653"/>
      <c r="I9" s="1576" t="str">
        <f>IF(Q2=2,"Solde d'ouverture","Opening Balance")</f>
        <v>Opening Balance</v>
      </c>
      <c r="J9" s="1576"/>
      <c r="K9" s="663">
        <f>'Acct Detailed Reconcil'!G23</f>
        <v>0</v>
      </c>
      <c r="L9" s="662"/>
      <c r="N9" s="54"/>
      <c r="O9" s="653"/>
      <c r="P9" s="80"/>
      <c r="Q9" s="80"/>
      <c r="R9" s="80"/>
      <c r="S9" s="80"/>
      <c r="T9" s="80"/>
      <c r="U9" s="80"/>
      <c r="V9" s="80"/>
      <c r="W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row>
    <row r="10" spans="2:62" s="1" customFormat="1" ht="27" customHeight="1" x14ac:dyDescent="0.2">
      <c r="B10" s="653"/>
      <c r="C10" s="664"/>
      <c r="D10" s="665"/>
      <c r="E10" s="666"/>
      <c r="F10" s="662"/>
      <c r="G10" s="54"/>
      <c r="H10" s="653"/>
      <c r="I10" s="1577" t="str">
        <f>IF(Q2=2,"Montant non-comptabilisé de l'exercice précédent","Previous Year's non-accounted Amount")</f>
        <v>Previous Year's non-accounted Amount</v>
      </c>
      <c r="J10" s="1577"/>
      <c r="K10" s="663">
        <f>'Acct Detailed Reconcil'!G57</f>
        <v>0</v>
      </c>
      <c r="L10" s="662"/>
      <c r="N10" s="54"/>
      <c r="O10" s="653"/>
      <c r="P10" s="80"/>
      <c r="Q10" s="80"/>
      <c r="R10" s="80"/>
      <c r="S10" s="80"/>
      <c r="T10" s="80"/>
      <c r="U10" s="80"/>
      <c r="V10" s="80"/>
      <c r="W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row>
    <row r="11" spans="2:62" s="1" customFormat="1" ht="27" customHeight="1" x14ac:dyDescent="0.2">
      <c r="B11" s="653"/>
      <c r="C11" s="1577" t="str">
        <f>IF(Q2=2,"De l'onglet 'Journal des revenus'","From 'Revenue Jrnl' tab")</f>
        <v>From 'Revenue Jrnl' tab</v>
      </c>
      <c r="D11" s="1577"/>
      <c r="E11" s="667">
        <f>'Acct Detailed Reconcil'!G10</f>
        <v>0</v>
      </c>
      <c r="G11" s="54"/>
      <c r="H11" s="653"/>
      <c r="I11" s="1577" t="str">
        <f>IF(Q2=2,"De l'onglet 'Journal des revenus'","From 'Revenue Jrnl' tab")</f>
        <v>From 'Revenue Jrnl' tab</v>
      </c>
      <c r="J11" s="1577"/>
      <c r="K11" s="661">
        <f>'Acct Detailed Reconcil'!G24</f>
        <v>0</v>
      </c>
      <c r="N11" s="54"/>
      <c r="O11" s="653"/>
      <c r="P11" s="80"/>
      <c r="Q11" s="80"/>
      <c r="R11" s="80"/>
      <c r="S11" s="80"/>
      <c r="T11" s="80"/>
      <c r="U11" s="80"/>
      <c r="V11" s="80"/>
      <c r="W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row>
    <row r="12" spans="2:62" s="1" customFormat="1" ht="27" customHeight="1" x14ac:dyDescent="0.2">
      <c r="B12" s="653"/>
      <c r="C12" s="1577" t="str">
        <f>IF(Q2=2,"De l'onglet 'Journal des dépenses'","From 'Expense Jrnl' tab")</f>
        <v>From 'Expense Jrnl' tab</v>
      </c>
      <c r="D12" s="1577"/>
      <c r="E12" s="667">
        <f>'Acct Detailed Reconcil'!G11</f>
        <v>0</v>
      </c>
      <c r="G12" s="54"/>
      <c r="H12" s="653"/>
      <c r="I12" s="1577" t="str">
        <f>IF(Q2=2,"De l'onglet 'Journal des dépenses'","From 'Expense Jrnl' tab")</f>
        <v>From 'Expense Jrnl' tab</v>
      </c>
      <c r="J12" s="1577"/>
      <c r="K12" s="661">
        <f>'Acct Detailed Reconcil'!G25</f>
        <v>0</v>
      </c>
      <c r="N12" s="54"/>
      <c r="O12" s="653"/>
      <c r="P12" s="80"/>
      <c r="Q12" s="80"/>
      <c r="R12" s="80"/>
      <c r="S12" s="80"/>
      <c r="T12" s="80"/>
      <c r="U12" s="80"/>
      <c r="V12" s="80"/>
      <c r="W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row>
    <row r="13" spans="2:62" s="1" customFormat="1" ht="27" customHeight="1" x14ac:dyDescent="0.2">
      <c r="B13" s="653"/>
      <c r="C13" s="1578" t="str">
        <f>IF(Q2=2,"Total Net","Net Total")</f>
        <v>Net Total</v>
      </c>
      <c r="D13" s="1578"/>
      <c r="E13" s="668">
        <f>'Acct Detailed Reconcil'!G14</f>
        <v>0</v>
      </c>
      <c r="F13" s="1579" t="str">
        <f>IF(Q2=2,"Total net reporté au compte "&amp;F8&amp;" 
page 6 ACC-9","Net Total Fwd'd to "&amp;F8&amp;" 
page 6 ACC-9")</f>
        <v>Net Total Fwd'd to 1010 
page 6 ACC-9</v>
      </c>
      <c r="G13" s="1579"/>
      <c r="H13" s="669"/>
      <c r="I13" s="1578" t="str">
        <f>IF(Q2=2,"Total Net","Net Total")</f>
        <v>Net Total</v>
      </c>
      <c r="J13" s="1578"/>
      <c r="K13" s="668">
        <f>'Acct Detailed Reconcil'!G59</f>
        <v>0</v>
      </c>
      <c r="L13" s="1580" t="str">
        <f>IF(Q2=2,"Total net reporté au compte " &amp; M8 &amp; " 
page 6 ACC-9","Net Total Fwd'd to " &amp; M8 &amp; " 
page 6 ACC-9")</f>
        <v>Net Total Fwd'd to 1020 
page 6 ACC-9</v>
      </c>
      <c r="M13" s="1580"/>
      <c r="N13" s="1580"/>
      <c r="O13" s="653"/>
      <c r="P13" s="80"/>
      <c r="Q13" s="80"/>
      <c r="R13" s="80"/>
      <c r="S13" s="80"/>
      <c r="T13" s="80"/>
      <c r="U13" s="80"/>
      <c r="V13" s="80"/>
      <c r="W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row>
    <row r="14" spans="2:62" s="1" customFormat="1" ht="27" customHeight="1" x14ac:dyDescent="0.2">
      <c r="B14" s="653"/>
      <c r="C14" s="670"/>
      <c r="D14" s="80"/>
      <c r="E14" s="80"/>
      <c r="F14" s="80"/>
      <c r="G14" s="671"/>
      <c r="H14" s="672"/>
      <c r="I14" s="1581" t="str">
        <f>IF(Q2=2,"Solde à l'état de compte bancaire","Bank Statement Balance")</f>
        <v>Bank Statement Balance</v>
      </c>
      <c r="J14" s="1581"/>
      <c r="K14" s="673">
        <f>'Acct Detailed Reconcil'!N23</f>
        <v>0</v>
      </c>
      <c r="L14" s="1582"/>
      <c r="M14" s="1582"/>
      <c r="N14" s="1582"/>
      <c r="O14" s="653"/>
      <c r="P14" s="80"/>
      <c r="Q14" s="80"/>
      <c r="R14" s="80"/>
      <c r="S14" s="80"/>
      <c r="T14" s="80"/>
      <c r="U14" s="80"/>
      <c r="V14" s="80"/>
      <c r="W14" s="80"/>
      <c r="X14" s="1583"/>
      <c r="Y14" s="1583"/>
      <c r="Z14" s="674"/>
      <c r="AA14" s="1584"/>
      <c r="AB14" s="1584"/>
      <c r="AC14" s="1584"/>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row>
    <row r="15" spans="2:62" s="1" customFormat="1" ht="27" customHeight="1" x14ac:dyDescent="0.2">
      <c r="B15" s="653"/>
      <c r="C15" s="670"/>
      <c r="D15" s="80"/>
      <c r="E15" s="80"/>
      <c r="F15" s="80"/>
      <c r="G15" s="671"/>
      <c r="H15" s="653"/>
      <c r="I15" s="1585" t="str">
        <f>IF(Q2=2,"Revenus non-réconciliés","Unreconciled Revenues")</f>
        <v>Unreconciled Revenues</v>
      </c>
      <c r="J15" s="1585"/>
      <c r="K15" s="675">
        <f>'Acct Detailed Reconcil'!N25</f>
        <v>0</v>
      </c>
      <c r="N15" s="54"/>
      <c r="O15" s="653"/>
      <c r="P15" s="80"/>
      <c r="Q15" s="80"/>
      <c r="R15" s="80"/>
      <c r="S15" s="80"/>
      <c r="T15" s="80"/>
      <c r="U15" s="80"/>
      <c r="V15" s="80"/>
      <c r="W15" s="80"/>
      <c r="X15" s="1586"/>
      <c r="Y15" s="1586"/>
      <c r="Z15" s="589"/>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row>
    <row r="16" spans="2:62" s="1" customFormat="1" ht="27" customHeight="1" x14ac:dyDescent="0.2">
      <c r="B16" s="653"/>
      <c r="C16" s="670"/>
      <c r="D16" s="80"/>
      <c r="E16" s="80"/>
      <c r="F16" s="80"/>
      <c r="G16" s="671"/>
      <c r="H16" s="653"/>
      <c r="I16" s="1577" t="str">
        <f>IF(Q2=2,"Dépenses non-réconciliées","Unreconciled Expenses")</f>
        <v>Unreconciled Expenses</v>
      </c>
      <c r="J16" s="1577"/>
      <c r="K16" s="661">
        <f>'Acct Detailed Reconcil'!N27</f>
        <v>0</v>
      </c>
      <c r="L16" s="1587" t="str">
        <f>IF('Acct Detailed Reconcil'!G62=0,IF($Q$2=2,"Équilibré","Balanced"),IF($Q$2=2,"Non équilibré","Unbalanced"))</f>
        <v>Balanced</v>
      </c>
      <c r="M16" s="1587"/>
      <c r="N16" s="1587"/>
      <c r="O16" s="653"/>
      <c r="P16" s="80"/>
      <c r="Q16" s="80"/>
      <c r="R16" s="80"/>
      <c r="S16" s="80"/>
      <c r="T16" s="80"/>
      <c r="U16" s="80"/>
      <c r="V16" s="80"/>
      <c r="W16" s="80"/>
      <c r="X16" s="1586"/>
      <c r="Y16" s="1586"/>
      <c r="Z16" s="589"/>
      <c r="AA16" s="1588"/>
      <c r="AB16" s="1588"/>
      <c r="AC16" s="1588"/>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row>
    <row r="17" spans="2:62" s="1" customFormat="1" ht="27" customHeight="1" x14ac:dyDescent="0.2">
      <c r="B17" s="653"/>
      <c r="C17" s="676"/>
      <c r="D17" s="677"/>
      <c r="E17" s="677"/>
      <c r="F17" s="677"/>
      <c r="G17" s="678"/>
      <c r="H17" s="653"/>
      <c r="I17" s="1578" t="str">
        <f>IF(Q2=2,"Total Net","Net Total")</f>
        <v>Net Total</v>
      </c>
      <c r="J17" s="1578"/>
      <c r="K17" s="668">
        <f>'Acct Detailed Reconcil'!N29</f>
        <v>0</v>
      </c>
      <c r="L17" s="1587"/>
      <c r="M17" s="1587"/>
      <c r="N17" s="1587"/>
      <c r="O17" s="653"/>
      <c r="P17" s="80"/>
      <c r="Q17" s="80"/>
      <c r="R17" s="80"/>
      <c r="S17" s="80"/>
      <c r="T17" s="80"/>
      <c r="U17" s="80"/>
      <c r="V17" s="80"/>
      <c r="W17" s="80"/>
      <c r="X17" s="1589"/>
      <c r="Y17" s="1589"/>
      <c r="Z17" s="589"/>
      <c r="AA17" s="1588"/>
      <c r="AB17" s="1588"/>
      <c r="AC17" s="1588"/>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row>
    <row r="18" spans="2:62" s="1" customFormat="1" ht="11.25" customHeight="1" x14ac:dyDescent="0.2">
      <c r="B18" s="653"/>
      <c r="C18" s="679"/>
      <c r="D18" s="653"/>
      <c r="E18" s="680"/>
      <c r="F18" s="681"/>
      <c r="G18" s="681"/>
      <c r="H18" s="653"/>
      <c r="I18" s="653"/>
      <c r="J18" s="653"/>
      <c r="K18" s="653"/>
      <c r="L18" s="653"/>
      <c r="M18" s="653"/>
      <c r="N18" s="653"/>
      <c r="O18" s="653"/>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row>
    <row r="19" spans="2:62" s="432" customFormat="1" ht="11.25" customHeight="1" x14ac:dyDescent="0.2">
      <c r="B19" s="652"/>
      <c r="C19" s="679"/>
      <c r="D19" s="653"/>
      <c r="E19" s="680"/>
      <c r="F19" s="681"/>
      <c r="G19" s="681"/>
      <c r="H19" s="653"/>
      <c r="I19" s="653"/>
      <c r="J19" s="653"/>
      <c r="K19" s="653"/>
      <c r="L19" s="653"/>
      <c r="M19" s="653"/>
      <c r="N19" s="653"/>
      <c r="O19" s="653"/>
      <c r="P19" s="29"/>
      <c r="Q19" s="431"/>
      <c r="R19" s="431"/>
      <c r="S19" s="80"/>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1"/>
      <c r="BD19" s="431"/>
      <c r="BE19" s="431"/>
      <c r="BF19" s="431"/>
      <c r="BG19" s="431"/>
      <c r="BH19" s="431"/>
      <c r="BI19" s="431"/>
      <c r="BJ19" s="431"/>
    </row>
    <row r="20" spans="2:62" s="29" customFormat="1" ht="18.75" customHeight="1" x14ac:dyDescent="0.2">
      <c r="B20" s="653"/>
      <c r="C20" s="682"/>
      <c r="D20" s="683"/>
      <c r="E20" s="684"/>
      <c r="F20" s="685"/>
      <c r="G20" s="686"/>
      <c r="H20" s="653"/>
      <c r="I20" s="687"/>
      <c r="J20" s="592"/>
      <c r="K20" s="592"/>
      <c r="L20" s="592"/>
      <c r="M20" s="592"/>
      <c r="N20" s="688"/>
      <c r="O20" s="653"/>
      <c r="P20" s="80"/>
    </row>
    <row r="21" spans="2:62" s="1" customFormat="1" ht="27" customHeight="1" x14ac:dyDescent="0.2">
      <c r="B21" s="653"/>
      <c r="C21" s="1574" t="str">
        <f>'Data Set up'!I20</f>
        <v>Canteen</v>
      </c>
      <c r="D21" s="1574"/>
      <c r="E21" s="659"/>
      <c r="F21" s="660" t="str">
        <f>LEFT('Data Set up'!H20,4)</f>
        <v>1030</v>
      </c>
      <c r="G21" s="689"/>
      <c r="H21" s="652"/>
      <c r="I21" s="1574" t="str">
        <f>'Data Set up'!I21</f>
        <v>Petty Cash</v>
      </c>
      <c r="J21" s="1574"/>
      <c r="K21" s="659"/>
      <c r="L21" s="690"/>
      <c r="M21" s="660" t="str">
        <f>LEFT('Data Set up'!H21,4)</f>
        <v>1040</v>
      </c>
      <c r="N21" s="689"/>
      <c r="O21" s="652"/>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row>
    <row r="22" spans="2:62" s="1" customFormat="1" ht="27" customHeight="1" x14ac:dyDescent="0.2">
      <c r="B22" s="653"/>
      <c r="C22" s="1576" t="str">
        <f>IF(Q2=2,"Solde d'ouverture","Opening Balance")</f>
        <v>Opening Balance</v>
      </c>
      <c r="D22" s="1576"/>
      <c r="E22" s="663">
        <f>'Acct Detailed Reconcil'!G68</f>
        <v>0</v>
      </c>
      <c r="F22" s="662"/>
      <c r="G22" s="54"/>
      <c r="H22" s="653"/>
      <c r="I22" s="1576" t="str">
        <f>IF(Q2=2,"Solde d'ouverture","Opening Balance")</f>
        <v>Opening Balance</v>
      </c>
      <c r="J22" s="1576"/>
      <c r="K22" s="663">
        <f>'Acct Detailed Reconcil'!G82</f>
        <v>0</v>
      </c>
      <c r="L22" s="662"/>
      <c r="N22" s="54"/>
      <c r="O22" s="653"/>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row>
    <row r="23" spans="2:62" s="1" customFormat="1" ht="27" customHeight="1" x14ac:dyDescent="0.2">
      <c r="B23" s="653"/>
      <c r="C23" s="1577"/>
      <c r="D23" s="1577"/>
      <c r="E23" s="691"/>
      <c r="F23" s="662"/>
      <c r="G23" s="54"/>
      <c r="H23" s="653"/>
      <c r="I23" s="1577"/>
      <c r="J23" s="1577"/>
      <c r="K23" s="691"/>
      <c r="L23" s="662"/>
      <c r="N23" s="54"/>
      <c r="O23" s="653"/>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row>
    <row r="24" spans="2:62" s="1" customFormat="1" ht="27" customHeight="1" x14ac:dyDescent="0.2">
      <c r="B24" s="653"/>
      <c r="C24" s="1577" t="str">
        <f>IF(Q2=2,"De l'onglet 'Journal des revenus'","From 'Revenue Jrnl' tab")</f>
        <v>From 'Revenue Jrnl' tab</v>
      </c>
      <c r="D24" s="1577"/>
      <c r="E24" s="661">
        <f>'Acct Detailed Reconcil'!G69</f>
        <v>0</v>
      </c>
      <c r="G24" s="54"/>
      <c r="H24" s="653"/>
      <c r="I24" s="1577" t="str">
        <f>IF(Q2=2,"De l'onglet 'Journal des revenus'","From 'Revenue Jrnl' tab")</f>
        <v>From 'Revenue Jrnl' tab</v>
      </c>
      <c r="J24" s="1577"/>
      <c r="K24" s="661">
        <f>'Acct Detailed Reconcil'!G83</f>
        <v>0</v>
      </c>
      <c r="N24" s="54"/>
      <c r="O24" s="653"/>
      <c r="P24" s="692"/>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row>
    <row r="25" spans="2:62" s="1" customFormat="1" ht="27" customHeight="1" x14ac:dyDescent="0.2">
      <c r="B25" s="653"/>
      <c r="C25" s="1577" t="str">
        <f>IF(Q2=2,"De l'onglet 'Journal des dépenses'","From 'Expense Jrnl' tab")</f>
        <v>From 'Expense Jrnl' tab</v>
      </c>
      <c r="D25" s="1577"/>
      <c r="E25" s="661">
        <f>'Acct Detailed Reconcil'!G70</f>
        <v>0</v>
      </c>
      <c r="G25" s="54"/>
      <c r="H25" s="653"/>
      <c r="I25" s="1577" t="str">
        <f>IF(Q2=2,"De l'onglet 'Journal des dépenses'","From 'Expense Jrnl' tab")</f>
        <v>From 'Expense Jrnl' tab</v>
      </c>
      <c r="J25" s="1577"/>
      <c r="K25" s="661">
        <f>'Acct Detailed Reconcil'!G84</f>
        <v>0</v>
      </c>
      <c r="N25" s="54"/>
      <c r="O25" s="653"/>
      <c r="P25" s="145"/>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row>
    <row r="26" spans="2:62" s="1" customFormat="1" ht="27" customHeight="1" x14ac:dyDescent="0.2">
      <c r="B26" s="653"/>
      <c r="C26" s="1578" t="str">
        <f>IF(Q2=2,"Total Net","Net Total")</f>
        <v>Net Total</v>
      </c>
      <c r="D26" s="1578"/>
      <c r="E26" s="668">
        <f>'Acct Detailed Reconcil'!G73</f>
        <v>0</v>
      </c>
      <c r="F26" s="1580" t="str">
        <f>IF(Q2=2,"Total net reporté au compte " &amp; F21 &amp; " 
page 6 ACC-9","Net Total Fwd'd to " &amp; F21 &amp; " 
page 6 ACC-9")</f>
        <v>Net Total Fwd'd to 1030 
page 6 ACC-9</v>
      </c>
      <c r="G26" s="1580"/>
      <c r="H26" s="669"/>
      <c r="I26" s="1578" t="str">
        <f>IF(Q2=2,"Total Net","Net Total")</f>
        <v>Net Total</v>
      </c>
      <c r="J26" s="1578"/>
      <c r="K26" s="668">
        <f>'Acct Detailed Reconcil'!G87</f>
        <v>0</v>
      </c>
      <c r="M26" s="1590" t="str">
        <f>IF(Q2=2,"Total net reporté au compte " &amp; M21 &amp; " 
page 6 ACC-9","Net Total Fwd'd to " &amp; M21 &amp; " 
page 6 ACC-9")</f>
        <v>Net Total Fwd'd to 1040 
page 6 ACC-9</v>
      </c>
      <c r="N26" s="1590"/>
      <c r="O26" s="653"/>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row>
    <row r="27" spans="2:62" s="1" customFormat="1" ht="27" customHeight="1" x14ac:dyDescent="0.2">
      <c r="B27" s="653"/>
      <c r="C27" s="1581" t="str">
        <f>IF(Q2=2,"Solde de l'argent comptant","Cash Balance")</f>
        <v>Cash Balance</v>
      </c>
      <c r="D27" s="1581"/>
      <c r="E27" s="693">
        <f>'Acct Detailed Reconcil'!N68</f>
        <v>0</v>
      </c>
      <c r="F27" s="1582"/>
      <c r="G27" s="1582"/>
      <c r="H27" s="672"/>
      <c r="I27" s="1581" t="str">
        <f>IF(Q2=2,"Solde à l'état de réconciliation","Reconciliation Statement Balance")</f>
        <v>Reconciliation Statement Balance</v>
      </c>
      <c r="J27" s="1581"/>
      <c r="K27" s="693">
        <f>'Acct Detailed Reconcil'!N82</f>
        <v>0</v>
      </c>
      <c r="M27" s="1582"/>
      <c r="N27" s="1582"/>
      <c r="O27" s="653"/>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row>
    <row r="28" spans="2:62" s="1" customFormat="1" ht="27" customHeight="1" x14ac:dyDescent="0.2">
      <c r="B28" s="653"/>
      <c r="C28" s="1577"/>
      <c r="D28" s="1577"/>
      <c r="E28" s="694"/>
      <c r="G28" s="54"/>
      <c r="H28" s="653"/>
      <c r="I28" s="1577"/>
      <c r="J28" s="1577"/>
      <c r="K28" s="694"/>
      <c r="N28" s="54"/>
      <c r="O28" s="653"/>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row>
    <row r="29" spans="2:62" s="1" customFormat="1" ht="27" customHeight="1" x14ac:dyDescent="0.2">
      <c r="B29" s="653"/>
      <c r="C29" s="1577"/>
      <c r="D29" s="1577"/>
      <c r="E29" s="694"/>
      <c r="F29" s="1587" t="str">
        <f>IF('Acct Detailed Reconcil'!G76=0,IF($Q$2=2,"Équilibré","Balanced"),IF($Q$2=2,"Non équilibré","Unbalanced"))</f>
        <v>Balanced</v>
      </c>
      <c r="G29" s="1587"/>
      <c r="H29" s="653"/>
      <c r="I29" s="1577"/>
      <c r="J29" s="1577"/>
      <c r="K29" s="694"/>
      <c r="M29" s="1587" t="str">
        <f>IF('Acct Detailed Reconcil'!G90=0,IF($Q$2=2,"Équilibré","Balanced"),IF($Q$2=2,"Non équilibré","Unbalanced"))</f>
        <v>Balanced</v>
      </c>
      <c r="N29" s="1587"/>
      <c r="O29" s="653"/>
      <c r="P29" s="144"/>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row>
    <row r="30" spans="2:62" s="1" customFormat="1" ht="27" customHeight="1" x14ac:dyDescent="0.2">
      <c r="B30" s="653"/>
      <c r="C30" s="1578" t="str">
        <f>IF(Q2=2,"Total Net","Net Total")</f>
        <v>Net Total</v>
      </c>
      <c r="D30" s="1578"/>
      <c r="E30" s="668">
        <f>'Acct Detailed Reconcil'!N68</f>
        <v>0</v>
      </c>
      <c r="F30" s="1587"/>
      <c r="G30" s="1587"/>
      <c r="H30" s="653"/>
      <c r="I30" s="1578" t="str">
        <f>IF(Q2=2,"Total Net","Net Total")</f>
        <v>Net Total</v>
      </c>
      <c r="J30" s="1578"/>
      <c r="K30" s="668">
        <f>'Acct Detailed Reconcil'!N87</f>
        <v>0</v>
      </c>
      <c r="L30" s="677"/>
      <c r="M30" s="1587"/>
      <c r="N30" s="1587"/>
      <c r="O30" s="653"/>
      <c r="P30" s="144"/>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2:62" s="1" customFormat="1" ht="11.25" customHeight="1" x14ac:dyDescent="0.2">
      <c r="B31" s="653"/>
      <c r="C31" s="695"/>
      <c r="D31" s="696"/>
      <c r="E31" s="697"/>
      <c r="F31" s="681"/>
      <c r="G31" s="681"/>
      <c r="H31" s="653"/>
      <c r="I31" s="679"/>
      <c r="J31" s="653"/>
      <c r="K31" s="698"/>
      <c r="L31" s="679"/>
      <c r="M31" s="681"/>
      <c r="N31" s="681"/>
      <c r="O31" s="653"/>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2:62" s="1" customFormat="1" ht="11.25" customHeight="1" x14ac:dyDescent="0.2">
      <c r="B32" s="653"/>
      <c r="C32" s="679"/>
      <c r="D32" s="653"/>
      <c r="E32" s="698"/>
      <c r="F32" s="681"/>
      <c r="G32" s="681"/>
      <c r="H32" s="653"/>
      <c r="I32" s="679"/>
      <c r="J32" s="653"/>
      <c r="K32" s="698"/>
      <c r="L32" s="679"/>
      <c r="M32" s="681"/>
      <c r="N32" s="681"/>
      <c r="O32" s="653"/>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row>
    <row r="33" spans="2:62" s="29" customFormat="1" ht="18.75" customHeight="1" x14ac:dyDescent="0.2">
      <c r="B33" s="653"/>
      <c r="C33" s="682"/>
      <c r="D33" s="683"/>
      <c r="E33" s="684"/>
      <c r="F33" s="685"/>
      <c r="G33" s="686"/>
      <c r="H33" s="653"/>
      <c r="I33" s="687"/>
      <c r="J33" s="592"/>
      <c r="K33" s="592"/>
      <c r="L33" s="592"/>
      <c r="M33" s="592"/>
      <c r="N33" s="688"/>
      <c r="O33" s="653"/>
      <c r="P33" s="80"/>
    </row>
    <row r="34" spans="2:62" s="1" customFormat="1" ht="27" customHeight="1" x14ac:dyDescent="0.2">
      <c r="B34" s="653"/>
      <c r="C34" s="1574" t="str">
        <f>'Data Set up'!I22</f>
        <v>Available (Rename)</v>
      </c>
      <c r="D34" s="1574"/>
      <c r="E34" s="659"/>
      <c r="F34" s="660" t="str">
        <f>LEFT('Data Set up'!H22,4)</f>
        <v>1050</v>
      </c>
      <c r="G34" s="689"/>
      <c r="H34" s="652"/>
      <c r="I34" s="1574" t="str">
        <f>'Data Set up'!I23</f>
        <v>Available (Rename)</v>
      </c>
      <c r="J34" s="1574"/>
      <c r="K34" s="659"/>
      <c r="L34" s="690"/>
      <c r="M34" s="660" t="str">
        <f>LEFT('Data Set up'!H23,4)</f>
        <v>1060</v>
      </c>
      <c r="N34" s="689"/>
      <c r="O34" s="652"/>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row>
    <row r="35" spans="2:62" s="1" customFormat="1" ht="27" customHeight="1" x14ac:dyDescent="0.2">
      <c r="B35" s="653"/>
      <c r="C35" s="1576" t="str">
        <f>IF(Q2=2,"Solde d'ouverture","Opening Balance")</f>
        <v>Opening Balance</v>
      </c>
      <c r="D35" s="1576"/>
      <c r="E35" s="663">
        <f>'Acct Detailed Reconcil'!G96</f>
        <v>0</v>
      </c>
      <c r="F35" s="662"/>
      <c r="G35" s="54"/>
      <c r="H35" s="653"/>
      <c r="I35" s="1576" t="str">
        <f>IF(Q2=2,"Solde d'ouverture","Opening Balance")</f>
        <v>Opening Balance</v>
      </c>
      <c r="J35" s="1576"/>
      <c r="K35" s="663">
        <f>'Acct Detailed Reconcil'!G110</f>
        <v>0</v>
      </c>
      <c r="L35" s="662"/>
      <c r="N35" s="54"/>
      <c r="O35" s="653"/>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row>
    <row r="36" spans="2:62" s="1" customFormat="1" ht="27" customHeight="1" x14ac:dyDescent="0.2">
      <c r="B36" s="653"/>
      <c r="C36" s="1577"/>
      <c r="D36" s="1577"/>
      <c r="E36" s="691"/>
      <c r="F36" s="662"/>
      <c r="G36" s="54"/>
      <c r="H36" s="653"/>
      <c r="I36" s="1577"/>
      <c r="J36" s="1577"/>
      <c r="K36" s="691"/>
      <c r="L36" s="662"/>
      <c r="N36" s="54"/>
      <c r="O36" s="653"/>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row>
    <row r="37" spans="2:62" s="1" customFormat="1" ht="27" customHeight="1" x14ac:dyDescent="0.2">
      <c r="B37" s="653"/>
      <c r="C37" s="1577" t="str">
        <f>IF(Q2=2,"De l'onglet 'Journal des revenus'","From 'Revenue Jrnl' tab")</f>
        <v>From 'Revenue Jrnl' tab</v>
      </c>
      <c r="D37" s="1577"/>
      <c r="E37" s="661">
        <f>'Acct Detailed Reconcil'!G97</f>
        <v>0</v>
      </c>
      <c r="G37" s="54"/>
      <c r="H37" s="653"/>
      <c r="I37" s="1577" t="str">
        <f>IF(Q2=2,"De l'onglet 'Journal des revenus'","From 'Revenue Jrnl' tab")</f>
        <v>From 'Revenue Jrnl' tab</v>
      </c>
      <c r="J37" s="1577"/>
      <c r="K37" s="661">
        <f>'Acct Detailed Reconcil'!G111</f>
        <v>0</v>
      </c>
      <c r="N37" s="54"/>
      <c r="O37" s="653"/>
      <c r="P37" s="692"/>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row>
    <row r="38" spans="2:62" s="1" customFormat="1" ht="27" customHeight="1" x14ac:dyDescent="0.2">
      <c r="B38" s="653"/>
      <c r="C38" s="1577" t="str">
        <f>IF(Q2=2,"De l'onglet 'Journal des dépenses'","From 'Expense Jrnl' tab")</f>
        <v>From 'Expense Jrnl' tab</v>
      </c>
      <c r="D38" s="1577"/>
      <c r="E38" s="661">
        <f>'Acct Detailed Reconcil'!G98</f>
        <v>0</v>
      </c>
      <c r="G38" s="54"/>
      <c r="H38" s="653"/>
      <c r="I38" s="1577" t="str">
        <f>IF(Q2=2,"De l'onglet 'Journal des dépenses'","From 'Expense Jrnl' tab")</f>
        <v>From 'Expense Jrnl' tab</v>
      </c>
      <c r="J38" s="1577"/>
      <c r="K38" s="661">
        <f>'Acct Detailed Reconcil'!G112</f>
        <v>0</v>
      </c>
      <c r="N38" s="54"/>
      <c r="O38" s="653"/>
      <c r="P38" s="145"/>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row>
    <row r="39" spans="2:62" s="1" customFormat="1" ht="27" customHeight="1" x14ac:dyDescent="0.2">
      <c r="B39" s="653"/>
      <c r="C39" s="1578" t="str">
        <f>IF(Q2=2,"Total Net","Net Total")</f>
        <v>Net Total</v>
      </c>
      <c r="D39" s="1578"/>
      <c r="E39" s="668">
        <f>'Acct Detailed Reconcil'!G101</f>
        <v>0</v>
      </c>
      <c r="F39" s="1580" t="str">
        <f>IF(Q2=2,"Total net reporté au compte " &amp; F34 &amp; " 
page 6 ACC-9","Net Total Fwd'd to " &amp; F34 &amp; " 
page 6 ACC-9")</f>
        <v>Net Total Fwd'd to 1050 
page 6 ACC-9</v>
      </c>
      <c r="G39" s="1580"/>
      <c r="H39" s="669"/>
      <c r="I39" s="1578" t="str">
        <f>IF(Q2=2,"Total Net","Net Total")</f>
        <v>Net Total</v>
      </c>
      <c r="J39" s="1578"/>
      <c r="K39" s="668">
        <f>'Acct Detailed Reconcil'!G115</f>
        <v>0</v>
      </c>
      <c r="M39" s="1590" t="str">
        <f>IF(Q2=2,"Total net reporté au compte " &amp; M34 &amp; " 
page 6 ACC-9","Net Total Fwd'd to " &amp; M34 &amp; " 
page 6 ACC-9")</f>
        <v>Net Total Fwd'd to 1060 
page 6 ACC-9</v>
      </c>
      <c r="N39" s="1590"/>
      <c r="O39" s="653"/>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row>
    <row r="40" spans="2:62" s="1" customFormat="1" ht="27" customHeight="1" x14ac:dyDescent="0.2">
      <c r="B40" s="653"/>
      <c r="C40" s="1581" t="str">
        <f>IF(Q2=2,"Solde de l'argent comptant","Cash Balance")</f>
        <v>Cash Balance</v>
      </c>
      <c r="D40" s="1581"/>
      <c r="E40" s="693">
        <f>'Acct Detailed Reconcil'!N96</f>
        <v>0</v>
      </c>
      <c r="F40" s="1582"/>
      <c r="G40" s="1582"/>
      <c r="H40" s="672"/>
      <c r="I40" s="1581" t="str">
        <f>IF(Q2=2,"Solde à l'état de réconciliation","Reconciliation Statement Balance")</f>
        <v>Reconciliation Statement Balance</v>
      </c>
      <c r="J40" s="1581"/>
      <c r="K40" s="693">
        <f>'Acct Detailed Reconcil'!N110</f>
        <v>0</v>
      </c>
      <c r="M40" s="1582"/>
      <c r="N40" s="1582"/>
      <c r="O40" s="653"/>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row>
    <row r="41" spans="2:62" s="1" customFormat="1" ht="27" customHeight="1" x14ac:dyDescent="0.2">
      <c r="B41" s="653"/>
      <c r="C41" s="1577"/>
      <c r="D41" s="1577"/>
      <c r="E41" s="694"/>
      <c r="G41" s="54"/>
      <c r="H41" s="653"/>
      <c r="I41" s="1577"/>
      <c r="J41" s="1577"/>
      <c r="K41" s="694"/>
      <c r="N41" s="54"/>
      <c r="O41" s="653"/>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row>
    <row r="42" spans="2:62" s="1" customFormat="1" ht="27" customHeight="1" x14ac:dyDescent="0.2">
      <c r="B42" s="653"/>
      <c r="C42" s="1577"/>
      <c r="D42" s="1577"/>
      <c r="E42" s="694"/>
      <c r="F42" s="1587" t="str">
        <f>IF('Acct Detailed Reconcil'!G104=0,IF($Q$2=2,"Équilibré","Balanced"),IF($Q$2=2,"Non équilibré","Unbalanced"))</f>
        <v>Balanced</v>
      </c>
      <c r="G42" s="1587"/>
      <c r="H42" s="653"/>
      <c r="I42" s="1577"/>
      <c r="J42" s="1577"/>
      <c r="K42" s="694"/>
      <c r="M42" s="1587" t="str">
        <f>IF('Acct Detailed Reconcil'!G118=0,IF($Q$2=2,"Équilibré","Balanced"),IF($Q$2=2,"Non équilibré","Unbalanced"))</f>
        <v>Balanced</v>
      </c>
      <c r="N42" s="1587"/>
      <c r="O42" s="653"/>
      <c r="P42" s="144"/>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row>
    <row r="43" spans="2:62" s="1" customFormat="1" ht="27" customHeight="1" x14ac:dyDescent="0.2">
      <c r="B43" s="653"/>
      <c r="C43" s="1578" t="str">
        <f>IF(Q2=2,"Total Net","Net Total")</f>
        <v>Net Total</v>
      </c>
      <c r="D43" s="1578"/>
      <c r="E43" s="668">
        <f>'Acct Detailed Reconcil'!N101</f>
        <v>0</v>
      </c>
      <c r="F43" s="1587"/>
      <c r="G43" s="1587"/>
      <c r="H43" s="653"/>
      <c r="I43" s="1578" t="str">
        <f>IF(Q2=2,"Total Net","Net Total")</f>
        <v>Net Total</v>
      </c>
      <c r="J43" s="1578"/>
      <c r="K43" s="668">
        <f>'Acct Detailed Reconcil'!N115</f>
        <v>0</v>
      </c>
      <c r="L43" s="677"/>
      <c r="M43" s="1587"/>
      <c r="N43" s="1587"/>
      <c r="O43" s="653"/>
      <c r="P43" s="144"/>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row>
    <row r="44" spans="2:62" s="1" customFormat="1" ht="11.25" customHeight="1" x14ac:dyDescent="0.2">
      <c r="B44" s="653"/>
      <c r="C44" s="679"/>
      <c r="D44" s="653"/>
      <c r="E44" s="698"/>
      <c r="F44" s="681"/>
      <c r="G44" s="681"/>
      <c r="H44" s="653"/>
      <c r="I44" s="679"/>
      <c r="J44" s="653"/>
      <c r="K44" s="698"/>
      <c r="L44" s="679"/>
      <c r="M44" s="681"/>
      <c r="N44" s="681"/>
      <c r="O44" s="653"/>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row>
    <row r="45" spans="2:62" s="1" customFormat="1" ht="11.25" customHeight="1" x14ac:dyDescent="0.2">
      <c r="B45" s="652"/>
      <c r="C45" s="679"/>
      <c r="D45" s="653"/>
      <c r="E45" s="698"/>
      <c r="F45" s="681"/>
      <c r="G45" s="681"/>
      <c r="H45" s="653"/>
      <c r="I45" s="679"/>
      <c r="J45" s="653"/>
      <c r="K45" s="698"/>
      <c r="L45" s="679"/>
      <c r="M45" s="681"/>
      <c r="N45" s="681"/>
      <c r="O45" s="653"/>
      <c r="P45" s="29"/>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row>
    <row r="46" spans="2:62" s="29" customFormat="1" ht="18.75" customHeight="1" x14ac:dyDescent="0.2">
      <c r="B46" s="653"/>
      <c r="C46" s="687"/>
      <c r="D46" s="592"/>
      <c r="E46" s="699"/>
      <c r="F46" s="592"/>
      <c r="G46" s="688"/>
      <c r="H46" s="653"/>
      <c r="I46" s="657"/>
      <c r="J46" s="654"/>
      <c r="K46" s="700"/>
      <c r="L46" s="654"/>
      <c r="M46" s="654"/>
      <c r="N46" s="658"/>
      <c r="O46" s="653"/>
      <c r="P46" s="80"/>
    </row>
    <row r="47" spans="2:62" s="1" customFormat="1" ht="27" customHeight="1" x14ac:dyDescent="0.2">
      <c r="B47" s="653"/>
      <c r="C47" s="1574" t="str">
        <f>'Data Set up'!I24</f>
        <v>Available (Rename)</v>
      </c>
      <c r="D47" s="1574"/>
      <c r="E47" s="659"/>
      <c r="F47" s="660" t="str">
        <f>LEFT('Data Set up'!H24,4)</f>
        <v>1070</v>
      </c>
      <c r="G47" s="701"/>
      <c r="H47" s="652"/>
      <c r="I47" s="1574" t="str">
        <f>'Data Set up'!I25</f>
        <v>Investments GICs</v>
      </c>
      <c r="J47" s="1574"/>
      <c r="K47" s="659"/>
      <c r="L47" s="660"/>
      <c r="M47" s="660" t="str">
        <f>LEFT('Data Set up'!H25,4)</f>
        <v>1210</v>
      </c>
      <c r="N47" s="54"/>
      <c r="O47" s="652"/>
      <c r="P47" s="80"/>
      <c r="Q47" s="80"/>
      <c r="R47" s="80"/>
      <c r="S47" s="208"/>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row>
    <row r="48" spans="2:62" s="1" customFormat="1" ht="27" customHeight="1" x14ac:dyDescent="0.2">
      <c r="B48" s="653"/>
      <c r="C48" s="1576" t="str">
        <f>IF(Q2=2,"Solde d'ouverture","Opening Balance")</f>
        <v>Opening Balance</v>
      </c>
      <c r="D48" s="1576"/>
      <c r="E48" s="663">
        <f>'Acct Detailed Reconcil'!G124</f>
        <v>0</v>
      </c>
      <c r="F48" s="662"/>
      <c r="G48" s="54"/>
      <c r="H48" s="653"/>
      <c r="I48" s="1576" t="str">
        <f>IF(Q2=2,"Solde d'ouverture","Opening Balance")</f>
        <v>Opening Balance</v>
      </c>
      <c r="J48" s="1576"/>
      <c r="K48" s="663">
        <f>'Acct Detailed Reconcil'!G138</f>
        <v>0</v>
      </c>
      <c r="L48" s="662"/>
      <c r="N48" s="54"/>
      <c r="O48" s="653"/>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row>
    <row r="49" spans="2:62" s="1" customFormat="1" ht="27" customHeight="1" x14ac:dyDescent="0.2">
      <c r="B49" s="653"/>
      <c r="C49" s="1577"/>
      <c r="D49" s="1577"/>
      <c r="E49" s="691"/>
      <c r="F49" s="662"/>
      <c r="G49" s="54"/>
      <c r="H49" s="653"/>
      <c r="I49" s="1577" t="str">
        <f>IF(Q2=2,"Montant non-comptabilisé de l'exercice précédent","Previous Year's non-accounted Amount")</f>
        <v>Previous Year's non-accounted Amount</v>
      </c>
      <c r="J49" s="1577"/>
      <c r="K49" s="663">
        <f>'Acct Detailed Reconcil'!G172</f>
        <v>0</v>
      </c>
      <c r="L49" s="662"/>
      <c r="N49" s="54"/>
      <c r="O49" s="653"/>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row>
    <row r="50" spans="2:62" s="1" customFormat="1" ht="27" customHeight="1" x14ac:dyDescent="0.2">
      <c r="B50" s="653"/>
      <c r="C50" s="1577" t="str">
        <f>IF(Q2=2,"De l'onglet 'Journal des revenus'","From 'Revenue Jrnl' tab")</f>
        <v>From 'Revenue Jrnl' tab</v>
      </c>
      <c r="D50" s="1577"/>
      <c r="E50" s="661">
        <f>'Acct Detailed Reconcil'!G125</f>
        <v>0</v>
      </c>
      <c r="G50" s="54"/>
      <c r="H50" s="653"/>
      <c r="I50" s="1577" t="str">
        <f>IF(Q2=2,"De l'onglet 'Journal des revenus'","From 'Revenue Jrnl' tab")</f>
        <v>From 'Revenue Jrnl' tab</v>
      </c>
      <c r="J50" s="1577"/>
      <c r="K50" s="661">
        <f>'Acct Detailed Reconcil'!G139</f>
        <v>0</v>
      </c>
      <c r="N50" s="54"/>
      <c r="O50" s="653"/>
      <c r="P50" s="692"/>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row>
    <row r="51" spans="2:62" s="1" customFormat="1" ht="27" customHeight="1" x14ac:dyDescent="0.2">
      <c r="B51" s="669"/>
      <c r="C51" s="1577" t="str">
        <f>IF(Q2=2,"De l'onglet 'Journal des dépenses'","From 'Expense Jrnl' tab")</f>
        <v>From 'Expense Jrnl' tab</v>
      </c>
      <c r="D51" s="1577"/>
      <c r="E51" s="661">
        <f>'Acct Detailed Reconcil'!G126</f>
        <v>0</v>
      </c>
      <c r="G51" s="54"/>
      <c r="H51" s="653"/>
      <c r="I51" s="1577" t="str">
        <f>IF(Q2=2,"De l'onglet 'Journal des dépenses'","From 'Expense Jrnl' tab")</f>
        <v>From 'Expense Jrnl' tab</v>
      </c>
      <c r="J51" s="1577"/>
      <c r="K51" s="661">
        <f>'Acct Detailed Reconcil'!G140</f>
        <v>0</v>
      </c>
      <c r="N51" s="54"/>
      <c r="O51" s="653"/>
      <c r="P51" s="145"/>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row>
    <row r="52" spans="2:62" s="16" customFormat="1" ht="27" customHeight="1" x14ac:dyDescent="0.2">
      <c r="B52" s="653"/>
      <c r="C52" s="1578" t="str">
        <f>IF(Q2=2,"Total Net","Net Total")</f>
        <v>Net Total</v>
      </c>
      <c r="D52" s="1578"/>
      <c r="E52" s="668">
        <f>'Acct Detailed Reconcil'!G129</f>
        <v>0</v>
      </c>
      <c r="F52" s="1580" t="str">
        <f>IF(Q2=2,"Total net reporté au compte " &amp; F47 &amp; " 
page 6 ACC-9","Net Total Fwd'd to " &amp; F47 &amp; " 
page 6 ACC-9")</f>
        <v>Net Total Fwd'd to 1070 
page 6 ACC-9</v>
      </c>
      <c r="G52" s="1580"/>
      <c r="H52" s="669"/>
      <c r="I52" s="1578" t="str">
        <f>IF(Q2=2,"Total Net","Net Total")</f>
        <v>Net Total</v>
      </c>
      <c r="J52" s="1578"/>
      <c r="K52" s="668">
        <f>'Acct Detailed Reconcil'!G174</f>
        <v>0</v>
      </c>
      <c r="L52" s="1580" t="str">
        <f>IF($Q$2=2,"Total net reporté au compte " &amp; M47 &amp; " 
page 6 ACC-9","Net Total Fwd'd to " &amp; M47 &amp; " 
page 6 ACC-9")</f>
        <v>Net Total Fwd'd to 1210 
page 6 ACC-9</v>
      </c>
      <c r="M52" s="1580"/>
      <c r="N52" s="1580"/>
      <c r="O52" s="653"/>
      <c r="P52" s="80"/>
      <c r="Q52" s="145"/>
      <c r="R52" s="145"/>
      <c r="S52" s="340"/>
      <c r="T52" s="145"/>
      <c r="U52" s="209"/>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row>
    <row r="53" spans="2:62" s="1" customFormat="1" ht="27" customHeight="1" x14ac:dyDescent="0.2">
      <c r="B53" s="653"/>
      <c r="C53" s="1591" t="str">
        <f>IF(Q2=2,"Solde à l'état de compte bancaire","Bank Statement Balance")</f>
        <v>Bank Statement Balance</v>
      </c>
      <c r="D53" s="1591"/>
      <c r="E53" s="693">
        <f>'Acct Detailed Reconcil'!N124</f>
        <v>0</v>
      </c>
      <c r="F53" s="1582"/>
      <c r="G53" s="1582"/>
      <c r="H53" s="669"/>
      <c r="I53" s="1581" t="str">
        <f>IF(Q2=2,"Solde à l'état de compte bancaire","Bank Statement Balance")</f>
        <v>Bank Statement Balance</v>
      </c>
      <c r="J53" s="1581"/>
      <c r="K53" s="673">
        <f>'Acct Detailed Reconcil'!N138</f>
        <v>0</v>
      </c>
      <c r="L53" s="1582"/>
      <c r="M53" s="1582"/>
      <c r="N53" s="1582"/>
      <c r="O53" s="669"/>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row>
    <row r="54" spans="2:62" s="1" customFormat="1" ht="27" customHeight="1" x14ac:dyDescent="0.2">
      <c r="B54" s="653"/>
      <c r="C54" s="1577"/>
      <c r="D54" s="1577"/>
      <c r="E54" s="694"/>
      <c r="G54" s="54"/>
      <c r="H54" s="653"/>
      <c r="I54" s="1585" t="str">
        <f>IF(Q2=2,"Revenus non-réconciliés","Unreconciled Revenues")</f>
        <v>Unreconciled Revenues</v>
      </c>
      <c r="J54" s="1585"/>
      <c r="K54" s="675">
        <f>'Acct Detailed Reconcil'!N140</f>
        <v>0</v>
      </c>
      <c r="M54" s="1590"/>
      <c r="N54" s="1590"/>
      <c r="O54" s="653"/>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row>
    <row r="55" spans="2:62" s="1" customFormat="1" ht="27" customHeight="1" x14ac:dyDescent="0.2">
      <c r="B55" s="653"/>
      <c r="C55" s="1577"/>
      <c r="D55" s="1577"/>
      <c r="E55" s="694"/>
      <c r="F55" s="1587" t="str">
        <f>IF('Acct Detailed Reconcil'!G132=0,IF($Q$2=2,"Équilibré","Balanced"),IF($Q$2=2,"Non équilibré","Unbalanced"))</f>
        <v>Balanced</v>
      </c>
      <c r="G55" s="1587"/>
      <c r="H55" s="653"/>
      <c r="I55" s="1577" t="str">
        <f>IF(Q2=2,"Dépenses non-réconciliées","Unreconciled Expenses")</f>
        <v>Unreconciled Expenses</v>
      </c>
      <c r="J55" s="1577"/>
      <c r="K55" s="661">
        <f>'Acct Detailed Reconcil'!N142</f>
        <v>0</v>
      </c>
      <c r="L55" s="1587" t="str">
        <f>IF('Acct Detailed Reconcil'!G177=0,IF($Q$2=2,"Équilibré","Balanced"),IF($Q$2=2,"Non équilibré","Unbalanced"))</f>
        <v>Balanced</v>
      </c>
      <c r="M55" s="1587" t="str">
        <f>IF(EXACT(K52,K56),IF($Q$2=2,"Équilibré","Balanced"),IF($Q$2=2,"Non équilibré","Unbalanced"))</f>
        <v>Balanced</v>
      </c>
      <c r="N55" s="1587"/>
      <c r="O55" s="653"/>
      <c r="P55" s="144"/>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row>
    <row r="56" spans="2:62" s="1" customFormat="1" ht="27" customHeight="1" x14ac:dyDescent="0.2">
      <c r="B56" s="653"/>
      <c r="C56" s="1578" t="str">
        <f>IF(Q2=2,"Total Net","Net Total")</f>
        <v>Net Total</v>
      </c>
      <c r="D56" s="1578"/>
      <c r="E56" s="668">
        <f>'Acct Detailed Reconcil'!N129</f>
        <v>0</v>
      </c>
      <c r="F56" s="1587"/>
      <c r="G56" s="1587"/>
      <c r="H56" s="653"/>
      <c r="I56" s="1578" t="str">
        <f>IF(Q2=2,"Total Net","Net Total")</f>
        <v>Net Total</v>
      </c>
      <c r="J56" s="1578"/>
      <c r="K56" s="668">
        <f>'Acct Detailed Reconcil'!N144</f>
        <v>0</v>
      </c>
      <c r="L56" s="1587"/>
      <c r="M56" s="1587"/>
      <c r="N56" s="1587"/>
      <c r="O56" s="653"/>
      <c r="P56" s="144"/>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row>
    <row r="57" spans="2:62" s="1" customFormat="1" ht="11.25" customHeight="1" x14ac:dyDescent="0.2">
      <c r="B57" s="653"/>
      <c r="C57" s="695"/>
      <c r="D57" s="696"/>
      <c r="E57" s="697"/>
      <c r="F57" s="681"/>
      <c r="G57" s="681"/>
      <c r="H57" s="653"/>
      <c r="I57" s="679"/>
      <c r="J57" s="653"/>
      <c r="K57" s="698"/>
      <c r="L57" s="679"/>
      <c r="M57" s="681"/>
      <c r="N57" s="681"/>
      <c r="O57" s="653"/>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row>
    <row r="58" spans="2:62" s="1" customFormat="1" ht="11.25" customHeight="1" x14ac:dyDescent="0.2">
      <c r="B58" s="652"/>
      <c r="C58" s="679"/>
      <c r="D58" s="653"/>
      <c r="E58" s="698"/>
      <c r="F58" s="681"/>
      <c r="G58" s="681"/>
      <c r="H58" s="653"/>
      <c r="I58" s="679"/>
      <c r="J58" s="653"/>
      <c r="K58" s="698"/>
      <c r="L58" s="679"/>
      <c r="M58" s="681"/>
      <c r="N58" s="681"/>
      <c r="O58" s="653"/>
      <c r="P58" s="29"/>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row>
    <row r="59" spans="2:62" s="29" customFormat="1" ht="18.75" customHeight="1" x14ac:dyDescent="0.2">
      <c r="B59" s="653"/>
      <c r="C59" s="687"/>
      <c r="D59" s="592"/>
      <c r="E59" s="699"/>
      <c r="F59" s="592"/>
      <c r="G59" s="688"/>
      <c r="H59" s="653"/>
      <c r="I59" s="687"/>
      <c r="J59" s="592"/>
      <c r="K59" s="699"/>
      <c r="L59" s="592"/>
      <c r="M59" s="592"/>
      <c r="N59" s="688"/>
      <c r="O59" s="653"/>
      <c r="P59" s="80"/>
    </row>
    <row r="60" spans="2:62" s="1" customFormat="1" ht="27" customHeight="1" x14ac:dyDescent="0.2">
      <c r="B60" s="653"/>
      <c r="C60" s="1574" t="str">
        <f>'Data Set up'!I26</f>
        <v>Investments (Mutual Funds and such)</v>
      </c>
      <c r="D60" s="1574"/>
      <c r="E60" s="659"/>
      <c r="F60" s="660" t="str">
        <f>LEFT('Data Set up'!H26,4)</f>
        <v>1220</v>
      </c>
      <c r="G60" s="689"/>
      <c r="H60" s="652"/>
      <c r="I60" s="1574" t="str">
        <f>'Data Set up'!I27</f>
        <v>Available (Rename)</v>
      </c>
      <c r="J60" s="1574"/>
      <c r="K60" s="659"/>
      <c r="L60" s="690"/>
      <c r="M60" s="660" t="str">
        <f>LEFT('Data Set up'!H27,4)</f>
        <v>1230</v>
      </c>
      <c r="N60" s="689"/>
      <c r="O60" s="652"/>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row>
    <row r="61" spans="2:62" s="1" customFormat="1" ht="27" customHeight="1" x14ac:dyDescent="0.2">
      <c r="B61" s="653"/>
      <c r="C61" s="1576" t="str">
        <f>IF(Q2=2,"Solde d'ouverture","Opening Balance")</f>
        <v>Opening Balance</v>
      </c>
      <c r="D61" s="1576"/>
      <c r="E61" s="663">
        <f>'Acct Detailed Reconcil'!G183</f>
        <v>0</v>
      </c>
      <c r="F61" s="662"/>
      <c r="G61" s="54"/>
      <c r="H61" s="653"/>
      <c r="I61" s="1576" t="str">
        <f>IF(Q2=2,"Solde d'ouverture","Opening Balance")</f>
        <v>Opening Balance</v>
      </c>
      <c r="J61" s="1576"/>
      <c r="K61" s="663">
        <f>'Acct Detailed Reconcil'!G228</f>
        <v>0</v>
      </c>
      <c r="L61" s="662"/>
      <c r="N61" s="54"/>
      <c r="O61" s="653"/>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row>
    <row r="62" spans="2:62" s="1" customFormat="1" ht="27" customHeight="1" x14ac:dyDescent="0.2">
      <c r="B62" s="653"/>
      <c r="C62" s="1577" t="str">
        <f>IF(Q2=2,"Montant non-comptabilisé de l'exercice précédent","Previous Year's non-accounted Amount")</f>
        <v>Previous Year's non-accounted Amount</v>
      </c>
      <c r="D62" s="1577"/>
      <c r="E62" s="663">
        <f>'Acct Detailed Reconcil'!G217</f>
        <v>0</v>
      </c>
      <c r="F62" s="662"/>
      <c r="G62" s="54"/>
      <c r="H62" s="653"/>
      <c r="I62" s="1577" t="str">
        <f>IF(Q2=2,"Montant non-comptabilisé de l'exercice précédent","Previous Year's non-accounted Amount")</f>
        <v>Previous Year's non-accounted Amount</v>
      </c>
      <c r="J62" s="1577"/>
      <c r="K62" s="663">
        <f>'Acct Detailed Reconcil'!G262</f>
        <v>0</v>
      </c>
      <c r="L62" s="662"/>
      <c r="N62" s="54"/>
      <c r="O62" s="653"/>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row>
    <row r="63" spans="2:62" s="1" customFormat="1" ht="27" customHeight="1" x14ac:dyDescent="0.2">
      <c r="B63" s="653"/>
      <c r="C63" s="1577" t="str">
        <f>IF(Q2=2,"De l'onglet 'Journal des revenus'","From 'Revenue Jrnl' tab")</f>
        <v>From 'Revenue Jrnl' tab</v>
      </c>
      <c r="D63" s="1577"/>
      <c r="E63" s="661">
        <f>'Acct Detailed Reconcil'!G184</f>
        <v>0</v>
      </c>
      <c r="G63" s="54"/>
      <c r="H63" s="653"/>
      <c r="I63" s="1577" t="str">
        <f>IF(Q2=2,"De l'onglet 'Journal des revenus'","From 'Revenue Jrnl' tab")</f>
        <v>From 'Revenue Jrnl' tab</v>
      </c>
      <c r="J63" s="1577"/>
      <c r="K63" s="661">
        <f>'Acct Detailed Reconcil'!G229</f>
        <v>0</v>
      </c>
      <c r="N63" s="54"/>
      <c r="O63" s="653"/>
      <c r="P63" s="692"/>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row>
    <row r="64" spans="2:62" s="1" customFormat="1" ht="27" customHeight="1" x14ac:dyDescent="0.2">
      <c r="B64" s="653"/>
      <c r="C64" s="1577" t="str">
        <f>IF(Q2=2,"De l'onglet 'Journal des dépenses'","From 'Expense Jrnl' tab")</f>
        <v>From 'Expense Jrnl' tab</v>
      </c>
      <c r="D64" s="1577"/>
      <c r="E64" s="661">
        <f>'Acct Detailed Reconcil'!G185</f>
        <v>0</v>
      </c>
      <c r="G64" s="54"/>
      <c r="H64" s="653"/>
      <c r="I64" s="1577" t="str">
        <f>IF(Q2=2,"De l'onglet 'Journal des dépenses'","From 'Expense Jrnl' tab")</f>
        <v>From 'Expense Jrnl' tab</v>
      </c>
      <c r="J64" s="1577"/>
      <c r="K64" s="661">
        <f>'Acct Detailed Reconcil'!G230</f>
        <v>0</v>
      </c>
      <c r="N64" s="54"/>
      <c r="O64" s="653"/>
      <c r="P64" s="145"/>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row>
    <row r="65" spans="2:62" s="1" customFormat="1" ht="27" customHeight="1" x14ac:dyDescent="0.2">
      <c r="B65" s="653"/>
      <c r="C65" s="1578" t="str">
        <f>IF(Q2=2,"Total Net","Net Total")</f>
        <v>Net Total</v>
      </c>
      <c r="D65" s="1578"/>
      <c r="E65" s="668">
        <f>'Acct Detailed Reconcil'!G219</f>
        <v>0</v>
      </c>
      <c r="F65" s="1580" t="str">
        <f>IF(Q2=2,"Total net reporté au compte " &amp; F60 &amp; " 
page 6 ACC-9","Net Total Fwd'd to " &amp; F60 &amp; " 
page 6 ACC-9")</f>
        <v>Net Total Fwd'd to 1220 
page 6 ACC-9</v>
      </c>
      <c r="G65" s="1580"/>
      <c r="H65" s="669"/>
      <c r="I65" s="1578" t="str">
        <f>IF(Q2=2,"Total Net","Net Total")</f>
        <v>Net Total</v>
      </c>
      <c r="J65" s="1578"/>
      <c r="K65" s="668">
        <f>'Acct Detailed Reconcil'!G264</f>
        <v>0</v>
      </c>
      <c r="M65" s="1580" t="str">
        <f>IF(Q2=2,"Total net reporté au compte " &amp; M60 &amp; " 
page 6 ACC-9","Net Total Fwd'd to " &amp; M60 &amp; " 
page 6 ACC-9")</f>
        <v>Net Total Fwd'd to 1230 
page 6 ACC-9</v>
      </c>
      <c r="N65" s="1580"/>
      <c r="O65" s="653"/>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row>
    <row r="66" spans="2:62" s="1" customFormat="1" ht="27" customHeight="1" x14ac:dyDescent="0.2">
      <c r="B66" s="653"/>
      <c r="C66" s="1591" t="str">
        <f>IF(Q2=2,"Solde à l'état de compte bancaire","Bank Statement Balance")</f>
        <v>Bank Statement Balance</v>
      </c>
      <c r="D66" s="1591"/>
      <c r="E66" s="693">
        <f>'Acct Detailed Reconcil'!N183</f>
        <v>0</v>
      </c>
      <c r="F66" s="1592"/>
      <c r="G66" s="1592"/>
      <c r="H66" s="672"/>
      <c r="I66" s="1581" t="str">
        <f>IF(Q2=2,"Solde à l'état de compte bancaire","Bank Statement Balance")</f>
        <v>Bank Statement Balance</v>
      </c>
      <c r="J66" s="1581"/>
      <c r="K66" s="693">
        <f>'Acct Detailed Reconcil'!N228</f>
        <v>0</v>
      </c>
      <c r="M66" s="1592"/>
      <c r="N66" s="1592"/>
      <c r="O66" s="653"/>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row>
    <row r="67" spans="2:62" s="1" customFormat="1" ht="27" customHeight="1" x14ac:dyDescent="0.2">
      <c r="B67" s="653"/>
      <c r="C67" s="1577" t="str">
        <f>IF(Q2=2,"Revenus non-réconciliés","Unreconciled Revenues")</f>
        <v>Unreconciled Revenues</v>
      </c>
      <c r="D67" s="1577"/>
      <c r="E67" s="661">
        <f>'Acct Detailed Reconcil'!N185</f>
        <v>0</v>
      </c>
      <c r="G67" s="54"/>
      <c r="H67" s="653"/>
      <c r="I67" s="1577" t="str">
        <f>IF(Q2=2,"Revenus non-réconciliés","Unreconciled Revenues")</f>
        <v>Unreconciled Revenues</v>
      </c>
      <c r="J67" s="1577"/>
      <c r="K67" s="661">
        <f>'Acct Detailed Reconcil'!N230</f>
        <v>0</v>
      </c>
      <c r="N67" s="54"/>
      <c r="O67" s="653"/>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row>
    <row r="68" spans="2:62" s="1" customFormat="1" ht="27" customHeight="1" x14ac:dyDescent="0.2">
      <c r="B68" s="653"/>
      <c r="C68" s="1577" t="str">
        <f>IF(Q2=2,"Dépenses non-réconciliées","Unreconciled Expenses")</f>
        <v>Unreconciled Expenses</v>
      </c>
      <c r="D68" s="1577"/>
      <c r="E68" s="661">
        <f>'Acct Detailed Reconcil'!N187</f>
        <v>0</v>
      </c>
      <c r="F68" s="1587" t="str">
        <f>IF('Acct Detailed Reconcil'!G222=0,IF($Q$2=2,"Équilibré","Balanced"),IF($Q$2=2,"Non équilibré","Unbalanced"))</f>
        <v>Balanced</v>
      </c>
      <c r="G68" s="1587"/>
      <c r="H68" s="653"/>
      <c r="I68" s="1577" t="str">
        <f>IF(Q2=2,"Dépenses non-réconciliées","Unreconciled Expenses")</f>
        <v>Unreconciled Expenses</v>
      </c>
      <c r="J68" s="1577"/>
      <c r="K68" s="661">
        <f>'Acct Detailed Reconcil'!N232</f>
        <v>0</v>
      </c>
      <c r="M68" s="1587" t="str">
        <f>IF('Acct Detailed Reconcil'!G267=0,IF($Q$2=2,"Équilibré","Balanced"),IF($Q$2=2,"Non équilibré","Unbalanced"))</f>
        <v>Balanced</v>
      </c>
      <c r="N68" s="1587"/>
      <c r="O68" s="653"/>
      <c r="P68" s="144"/>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row>
    <row r="69" spans="2:62" s="1" customFormat="1" ht="27" customHeight="1" x14ac:dyDescent="0.2">
      <c r="B69" s="653"/>
      <c r="C69" s="1578" t="str">
        <f>IF(Q2=2,"Total Net","Net Total")</f>
        <v>Net Total</v>
      </c>
      <c r="D69" s="1578"/>
      <c r="E69" s="668">
        <f>'Acct Detailed Reconcil'!N189</f>
        <v>0</v>
      </c>
      <c r="F69" s="1587"/>
      <c r="G69" s="1587"/>
      <c r="H69" s="653"/>
      <c r="I69" s="1578" t="str">
        <f>IF(Q2=2,"Total Net","Net Total")</f>
        <v>Net Total</v>
      </c>
      <c r="J69" s="1578"/>
      <c r="K69" s="668">
        <f>'Acct Detailed Reconcil'!N234</f>
        <v>0</v>
      </c>
      <c r="L69" s="677"/>
      <c r="M69" s="1587"/>
      <c r="N69" s="1587"/>
      <c r="O69" s="653"/>
      <c r="P69" s="144"/>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row>
    <row r="70" spans="2:62" s="1" customFormat="1" ht="11.25" customHeight="1" x14ac:dyDescent="0.2">
      <c r="B70" s="653"/>
      <c r="C70" s="695"/>
      <c r="D70" s="696"/>
      <c r="E70" s="697"/>
      <c r="F70" s="681"/>
      <c r="G70" s="681"/>
      <c r="H70" s="653"/>
      <c r="I70" s="679"/>
      <c r="J70" s="653"/>
      <c r="K70" s="698"/>
      <c r="L70" s="679"/>
      <c r="M70" s="681"/>
      <c r="N70" s="681"/>
      <c r="O70" s="653"/>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row>
    <row r="71" spans="2:62" s="1" customFormat="1" ht="11.25" customHeight="1" x14ac:dyDescent="0.2">
      <c r="B71" s="652"/>
      <c r="C71" s="679"/>
      <c r="D71" s="653"/>
      <c r="E71" s="698"/>
      <c r="F71" s="681"/>
      <c r="G71" s="681"/>
      <c r="H71" s="653"/>
      <c r="I71" s="679"/>
      <c r="J71" s="653"/>
      <c r="K71" s="698"/>
      <c r="L71" s="679"/>
      <c r="M71" s="681"/>
      <c r="N71" s="681"/>
      <c r="O71" s="653"/>
      <c r="P71" s="29"/>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row>
    <row r="72" spans="2:62" s="29" customFormat="1" ht="18.75" customHeight="1" x14ac:dyDescent="0.2">
      <c r="B72" s="653"/>
      <c r="C72" s="687"/>
      <c r="D72" s="592"/>
      <c r="E72" s="699"/>
      <c r="F72" s="592"/>
      <c r="G72" s="688"/>
      <c r="H72" s="653"/>
      <c r="I72" s="687"/>
      <c r="J72" s="592"/>
      <c r="K72" s="699"/>
      <c r="L72" s="1"/>
      <c r="M72" s="592"/>
      <c r="N72" s="688"/>
      <c r="O72" s="653"/>
      <c r="P72" s="80"/>
    </row>
    <row r="73" spans="2:62" s="1" customFormat="1" ht="27" customHeight="1" x14ac:dyDescent="0.2">
      <c r="B73" s="653"/>
      <c r="C73" s="1574" t="str">
        <f>'Data Set up'!I28</f>
        <v>Available (Rename)</v>
      </c>
      <c r="D73" s="1574"/>
      <c r="E73" s="659"/>
      <c r="F73" s="660" t="str">
        <f>LEFT('Data Set up'!H28,4)</f>
        <v>1240</v>
      </c>
      <c r="G73" s="689"/>
      <c r="H73" s="652"/>
      <c r="I73" s="1574" t="str">
        <f>'Data Set up'!I30</f>
        <v>Bank Credit Card</v>
      </c>
      <c r="J73" s="1574"/>
      <c r="K73" s="659"/>
      <c r="L73" s="690"/>
      <c r="M73" s="660" t="str">
        <f>LEFT('Data Set up'!H30,4)</f>
        <v>2010</v>
      </c>
      <c r="N73" s="701"/>
      <c r="O73" s="652"/>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row>
    <row r="74" spans="2:62" s="1" customFormat="1" ht="27" customHeight="1" x14ac:dyDescent="0.2">
      <c r="B74" s="653"/>
      <c r="C74" s="1576" t="str">
        <f>IF(Q2=2,"Solde d'ouverture","Opening Balance")</f>
        <v>Opening Balance</v>
      </c>
      <c r="D74" s="1576"/>
      <c r="E74" s="663">
        <f>'Acct Detailed Reconcil'!G273</f>
        <v>0</v>
      </c>
      <c r="F74" s="662"/>
      <c r="G74" s="54"/>
      <c r="H74" s="653"/>
      <c r="I74" s="1576" t="str">
        <f>IF(Q2=2,"Solde d'ouverture","Opening Balance")</f>
        <v>Opening Balance</v>
      </c>
      <c r="J74" s="1576"/>
      <c r="K74" s="663">
        <f>'Acct Detailed Reconcil'!G318</f>
        <v>0</v>
      </c>
      <c r="M74" s="662"/>
      <c r="N74" s="54"/>
      <c r="O74" s="653"/>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row>
    <row r="75" spans="2:62" s="1" customFormat="1" ht="27" customHeight="1" x14ac:dyDescent="0.2">
      <c r="B75" s="653"/>
      <c r="C75" s="1577" t="str">
        <f>IF(Q2=2,"Montant non-comptabilisé de l'exercice précédent","Previous Year's non-accounted Amount")</f>
        <v>Previous Year's non-accounted Amount</v>
      </c>
      <c r="D75" s="1577"/>
      <c r="E75" s="663">
        <f>'Acct Detailed Reconcil'!G307</f>
        <v>0</v>
      </c>
      <c r="F75" s="662"/>
      <c r="G75" s="54"/>
      <c r="H75" s="653"/>
      <c r="I75" s="1577" t="str">
        <f>IF(Q2=2,"Montant non-comptabilisé de l'exercice précédent","Previous Year's non-accounted Amount")</f>
        <v>Previous Year's non-accounted Amount</v>
      </c>
      <c r="J75" s="1577"/>
      <c r="K75" s="663">
        <f>'Acct Detailed Reconcil'!G352</f>
        <v>0</v>
      </c>
      <c r="M75" s="662"/>
      <c r="N75" s="54"/>
      <c r="O75" s="653"/>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row>
    <row r="76" spans="2:62" s="1" customFormat="1" ht="27" customHeight="1" x14ac:dyDescent="0.2">
      <c r="B76" s="653"/>
      <c r="C76" s="1577" t="str">
        <f>IF(Q2=2,"De l'onglet 'Journal des revenus'","From 'Revenue Jrnl' tab")</f>
        <v>From 'Revenue Jrnl' tab</v>
      </c>
      <c r="D76" s="1577"/>
      <c r="E76" s="661">
        <f>'Acct Detailed Reconcil'!G274</f>
        <v>0</v>
      </c>
      <c r="G76" s="54"/>
      <c r="H76" s="653"/>
      <c r="I76" s="1577" t="str">
        <f>IF(Q2=2,"De l'onglet 'Journal des revenus'","From 'Revenue Jrnl' tab")</f>
        <v>From 'Revenue Jrnl' tab</v>
      </c>
      <c r="J76" s="1577"/>
      <c r="K76" s="661">
        <f>'Acct Detailed Reconcil'!G319</f>
        <v>0</v>
      </c>
      <c r="N76" s="54"/>
      <c r="O76" s="653"/>
      <c r="P76" s="692"/>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row>
    <row r="77" spans="2:62" s="1" customFormat="1" ht="27" customHeight="1" x14ac:dyDescent="0.2">
      <c r="B77" s="653"/>
      <c r="C77" s="1577" t="str">
        <f>IF(Q2=2,"De l'onglet 'Journal des dépenses'","From 'Expense Jrnl' tab")</f>
        <v>From 'Expense Jrnl' tab</v>
      </c>
      <c r="D77" s="1577"/>
      <c r="E77" s="661">
        <f>'Acct Detailed Reconcil'!G275</f>
        <v>0</v>
      </c>
      <c r="G77" s="54"/>
      <c r="H77" s="653"/>
      <c r="I77" s="1577" t="str">
        <f>IF(Q2=2,"De l'onglet 'Journal des dépenses'","From 'Expense Jrnl' tab")</f>
        <v>From 'Expense Jrnl' tab</v>
      </c>
      <c r="J77" s="1577"/>
      <c r="K77" s="661">
        <f>'Acct Detailed Reconcil'!G320</f>
        <v>0</v>
      </c>
      <c r="N77" s="54"/>
      <c r="O77" s="653"/>
      <c r="P77" s="145"/>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row>
    <row r="78" spans="2:62" s="1" customFormat="1" ht="27" customHeight="1" x14ac:dyDescent="0.2">
      <c r="B78" s="653"/>
      <c r="C78" s="1578" t="str">
        <f>IF(Q2=2,"Total Net","Net Total")</f>
        <v>Net Total</v>
      </c>
      <c r="D78" s="1578"/>
      <c r="E78" s="668">
        <f>'Acct Detailed Reconcil'!G309</f>
        <v>0</v>
      </c>
      <c r="F78" s="1580" t="str">
        <f>IF(Q2=2,"Total net reporté au compte " &amp; F73 &amp; " 
page 6 ACC-9","Net Total Fwd'd to " &amp; F73 &amp; " 
page 6 ACC-9")</f>
        <v>Net Total Fwd'd to 1240 
page 6 ACC-9</v>
      </c>
      <c r="G78" s="1580"/>
      <c r="H78" s="669"/>
      <c r="I78" s="1578" t="str">
        <f>IF(Q2=2,"Total Net","Net Total")</f>
        <v>Net Total</v>
      </c>
      <c r="J78" s="1578"/>
      <c r="K78" s="668">
        <f>'Acct Detailed Reconcil'!G354</f>
        <v>0</v>
      </c>
      <c r="M78" s="1580" t="str">
        <f>IF(Q2=2,"Total net reporté au compte " &amp; M73 &amp; " 
page 6 ACC-9","Net Total Fwd'd to " &amp; M73 &amp; " 
page 6 ACC-9")</f>
        <v>Net Total Fwd'd to 2010 
page 6 ACC-9</v>
      </c>
      <c r="N78" s="1580"/>
      <c r="O78" s="653"/>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row>
    <row r="79" spans="2:62" s="1" customFormat="1" ht="27" customHeight="1" x14ac:dyDescent="0.2">
      <c r="B79" s="653"/>
      <c r="C79" s="1581" t="str">
        <f>IF(Q2=2,"Solde à l'état de compte bancaire","Bank Statement Balance")</f>
        <v>Bank Statement Balance</v>
      </c>
      <c r="D79" s="1581"/>
      <c r="E79" s="693">
        <f>'Acct Detailed Reconcil'!N273</f>
        <v>0</v>
      </c>
      <c r="F79" s="1592"/>
      <c r="G79" s="1592"/>
      <c r="H79" s="672"/>
      <c r="I79" s="1581" t="str">
        <f>IF(Q2=2,"Solde à l'état de compte bancaire","Bank Statement Balance")</f>
        <v>Bank Statement Balance</v>
      </c>
      <c r="J79" s="1581"/>
      <c r="K79" s="693">
        <f>'Acct Detailed Reconcil'!N318</f>
        <v>0</v>
      </c>
      <c r="M79" s="1592"/>
      <c r="N79" s="1592"/>
      <c r="O79" s="653"/>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row>
    <row r="80" spans="2:62" s="1" customFormat="1" ht="27" customHeight="1" x14ac:dyDescent="0.2">
      <c r="B80" s="653"/>
      <c r="C80" s="1577" t="str">
        <f>IF(Q2=2,"Revenus non-réconciliés","Unreconciled Revenues")</f>
        <v>Unreconciled Revenues</v>
      </c>
      <c r="D80" s="1577"/>
      <c r="E80" s="661">
        <f>'Acct Detailed Reconcil'!N275</f>
        <v>0</v>
      </c>
      <c r="G80" s="54"/>
      <c r="H80" s="653"/>
      <c r="I80" s="1577" t="str">
        <f>IF(Q2=2,"Remboursements non-réconciliés","Unreconciled Reimbursements")</f>
        <v>Unreconciled Reimbursements</v>
      </c>
      <c r="J80" s="1577"/>
      <c r="K80" s="661">
        <f>'Acct Detailed Reconcil'!N320</f>
        <v>0</v>
      </c>
      <c r="N80" s="54"/>
      <c r="O80" s="653"/>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row>
    <row r="81" spans="2:62" s="1" customFormat="1" ht="27" customHeight="1" x14ac:dyDescent="0.2">
      <c r="B81" s="653"/>
      <c r="C81" s="1577" t="str">
        <f>IF(Q2=2,"Dépenses non-réconciliées","Unreconciled Expenses")</f>
        <v>Unreconciled Expenses</v>
      </c>
      <c r="D81" s="1577"/>
      <c r="E81" s="661">
        <f>'Acct Detailed Reconcil'!N277</f>
        <v>0</v>
      </c>
      <c r="F81" s="1593" t="str">
        <f>IF('Acct Detailed Reconcil'!G312=0,IF($Q$2=2,"Équilibré","Balanced"),IF($Q$2=2,"Non équilibré","Unbalanced"))</f>
        <v>Balanced</v>
      </c>
      <c r="G81" s="1593"/>
      <c r="H81" s="653"/>
      <c r="I81" s="1577" t="str">
        <f>IF(Q2=2,"Dépenses non-réconciliées","Unreconciled Expenses")</f>
        <v>Unreconciled Expenses</v>
      </c>
      <c r="J81" s="1577"/>
      <c r="K81" s="661">
        <f>'Acct Detailed Reconcil'!N322</f>
        <v>0</v>
      </c>
      <c r="M81" s="1587" t="str">
        <f>IF('Acct Detailed Reconcil'!G357=0,IF($Q$2=2,"Équilibré","Balanced"),IF($Q$2=2,"Non équilibré","Unbalanced"))</f>
        <v>Balanced</v>
      </c>
      <c r="N81" s="1587"/>
      <c r="O81" s="653"/>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row>
    <row r="82" spans="2:62" s="1" customFormat="1" ht="27" customHeight="1" x14ac:dyDescent="0.2">
      <c r="B82" s="653"/>
      <c r="C82" s="1578" t="str">
        <f>IF(Q2=2,"Total Net","Net Total")</f>
        <v>Net Total</v>
      </c>
      <c r="D82" s="1578"/>
      <c r="E82" s="668">
        <f>'Acct Detailed Reconcil'!N279</f>
        <v>0</v>
      </c>
      <c r="F82" s="1593"/>
      <c r="G82" s="1593"/>
      <c r="H82" s="653"/>
      <c r="I82" s="1578" t="str">
        <f>IF(Q2=2,"Total Net","Net Total")</f>
        <v>Net Total</v>
      </c>
      <c r="J82" s="1578"/>
      <c r="K82" s="668">
        <f>'Acct Detailed Reconcil'!N324</f>
        <v>0</v>
      </c>
      <c r="M82" s="1587"/>
      <c r="N82" s="1587"/>
      <c r="O82" s="653"/>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row>
    <row r="83" spans="2:62" s="1" customFormat="1" ht="11.25" customHeight="1" x14ac:dyDescent="0.2">
      <c r="B83" s="653"/>
      <c r="C83" s="653"/>
      <c r="D83" s="653"/>
      <c r="E83" s="702"/>
      <c r="F83" s="679"/>
      <c r="G83" s="653"/>
      <c r="H83" s="653"/>
      <c r="I83" s="653"/>
      <c r="J83" s="653"/>
      <c r="K83" s="702"/>
      <c r="L83" s="679"/>
      <c r="M83" s="653"/>
      <c r="N83" s="653"/>
      <c r="O83" s="653"/>
      <c r="P83" s="568"/>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row>
    <row r="84" spans="2:62" s="1" customFormat="1" ht="11.25" customHeight="1" x14ac:dyDescent="0.2">
      <c r="B84" s="652"/>
      <c r="C84" s="679"/>
      <c r="D84" s="653"/>
      <c r="E84" s="698"/>
      <c r="F84" s="681"/>
      <c r="G84" s="681"/>
      <c r="H84" s="653"/>
      <c r="I84" s="679"/>
      <c r="J84" s="653"/>
      <c r="K84" s="698"/>
      <c r="L84" s="679"/>
      <c r="M84" s="681"/>
      <c r="N84" s="681"/>
      <c r="O84" s="653"/>
      <c r="P84" s="29"/>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row>
    <row r="85" spans="2:62" s="29" customFormat="1" ht="18.75" customHeight="1" x14ac:dyDescent="0.2">
      <c r="B85" s="653"/>
      <c r="C85" s="687"/>
      <c r="D85" s="592"/>
      <c r="E85" s="699"/>
      <c r="F85" s="592"/>
      <c r="G85" s="688"/>
      <c r="H85" s="653"/>
      <c r="I85" s="687"/>
      <c r="J85" s="592"/>
      <c r="K85" s="699"/>
      <c r="L85" s="1"/>
      <c r="M85" s="592"/>
      <c r="N85" s="688"/>
      <c r="O85" s="653"/>
      <c r="P85" s="80"/>
    </row>
    <row r="86" spans="2:62" s="1" customFormat="1" ht="27" customHeight="1" x14ac:dyDescent="0.2">
      <c r="B86" s="653"/>
      <c r="C86" s="1574" t="str">
        <f>'Data Set up'!I31</f>
        <v>Available (Rename)</v>
      </c>
      <c r="D86" s="1574"/>
      <c r="E86" s="659"/>
      <c r="F86" s="660" t="str">
        <f>LEFT('Data Set up'!H31,4)</f>
        <v>2020</v>
      </c>
      <c r="G86" s="689"/>
      <c r="H86" s="652"/>
      <c r="I86" s="1574" t="str">
        <f>'Data Set up'!I32</f>
        <v>Available (Rename)</v>
      </c>
      <c r="J86" s="1574"/>
      <c r="K86" s="659"/>
      <c r="L86" s="690"/>
      <c r="M86" s="660" t="str">
        <f>LEFT('Data Set up'!H32,4)</f>
        <v>2030</v>
      </c>
      <c r="N86" s="701"/>
      <c r="O86" s="652"/>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row>
    <row r="87" spans="2:62" s="1" customFormat="1" ht="27" customHeight="1" x14ac:dyDescent="0.2">
      <c r="B87" s="653"/>
      <c r="C87" s="1576" t="str">
        <f>IF(Q2=2,"Solde d'ouverture","Opening Balance")</f>
        <v>Opening Balance</v>
      </c>
      <c r="D87" s="1576"/>
      <c r="E87" s="663">
        <f>'Acct Detailed Reconcil'!G363</f>
        <v>0</v>
      </c>
      <c r="F87" s="662"/>
      <c r="G87" s="54"/>
      <c r="H87" s="653"/>
      <c r="I87" s="1576" t="str">
        <f>IF(Q2=2,"Solde d'ouverture","Opening Balance")</f>
        <v>Opening Balance</v>
      </c>
      <c r="J87" s="1576"/>
      <c r="K87" s="663">
        <f>'Acct Detailed Reconcil'!G408</f>
        <v>0</v>
      </c>
      <c r="M87" s="662"/>
      <c r="N87" s="54"/>
      <c r="O87" s="653"/>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row>
    <row r="88" spans="2:62" s="1" customFormat="1" ht="27" customHeight="1" x14ac:dyDescent="0.2">
      <c r="B88" s="653"/>
      <c r="C88" s="1577" t="str">
        <f>IF(Q2=2,"Montant non-comptabilisé de l'exercice précédent","Previous Year's non-accounted Amount")</f>
        <v>Previous Year's non-accounted Amount</v>
      </c>
      <c r="D88" s="1577"/>
      <c r="E88" s="663">
        <f>'Acct Detailed Reconcil'!G397</f>
        <v>0</v>
      </c>
      <c r="F88" s="662"/>
      <c r="G88" s="54"/>
      <c r="H88" s="653"/>
      <c r="I88" s="1577" t="str">
        <f>IF(Q2=2,"Montant non-comptabilisé de l'exercice précédent","Previous Year's non-accounted Amount")</f>
        <v>Previous Year's non-accounted Amount</v>
      </c>
      <c r="J88" s="1577"/>
      <c r="K88" s="663">
        <f>'Acct Detailed Reconcil'!G442</f>
        <v>0</v>
      </c>
      <c r="M88" s="662"/>
      <c r="N88" s="54"/>
      <c r="O88" s="653"/>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row>
    <row r="89" spans="2:62" s="1" customFormat="1" ht="27" customHeight="1" x14ac:dyDescent="0.2">
      <c r="B89" s="653"/>
      <c r="C89" s="1577" t="str">
        <f>IF(Q2=2,"De l'onglet 'Journal des revenus'","From 'Revenue Jrnl' tab")</f>
        <v>From 'Revenue Jrnl' tab</v>
      </c>
      <c r="D89" s="1577"/>
      <c r="E89" s="661">
        <f>'Acct Detailed Reconcil'!G364</f>
        <v>0</v>
      </c>
      <c r="G89" s="54"/>
      <c r="H89" s="653"/>
      <c r="I89" s="1577" t="str">
        <f>IF(Q2=2,"De l'onglet 'Journal des revenus'","From 'Revenue Jrnl' tab")</f>
        <v>From 'Revenue Jrnl' tab</v>
      </c>
      <c r="J89" s="1577"/>
      <c r="K89" s="661">
        <f>'Acct Detailed Reconcil'!G409</f>
        <v>0</v>
      </c>
      <c r="N89" s="54"/>
      <c r="O89" s="653"/>
      <c r="P89" s="692"/>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row>
    <row r="90" spans="2:62" s="1" customFormat="1" ht="27" customHeight="1" x14ac:dyDescent="0.2">
      <c r="B90" s="653"/>
      <c r="C90" s="1577" t="str">
        <f>IF(Q2=2,"De l'onglet 'Journal des dépenses'","From 'Expense Jrnl' tab")</f>
        <v>From 'Expense Jrnl' tab</v>
      </c>
      <c r="D90" s="1577"/>
      <c r="E90" s="661">
        <f>'Acct Detailed Reconcil'!G365</f>
        <v>0</v>
      </c>
      <c r="G90" s="54"/>
      <c r="H90" s="653"/>
      <c r="I90" s="1577" t="str">
        <f>IF(Q2=2,"De l'onglet 'Journal des dépenses'","From 'Expense Jrnl' tab")</f>
        <v>From 'Expense Jrnl' tab</v>
      </c>
      <c r="J90" s="1577"/>
      <c r="K90" s="661">
        <f>'Acct Detailed Reconcil'!G410</f>
        <v>0</v>
      </c>
      <c r="N90" s="54"/>
      <c r="O90" s="653"/>
      <c r="P90" s="145"/>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row>
    <row r="91" spans="2:62" s="1" customFormat="1" ht="27" customHeight="1" x14ac:dyDescent="0.2">
      <c r="B91" s="653"/>
      <c r="C91" s="1578" t="str">
        <f>IF(Q2=2,"Total Net","Net Total")</f>
        <v>Net Total</v>
      </c>
      <c r="D91" s="1578"/>
      <c r="E91" s="668">
        <f>'Acct Detailed Reconcil'!G399</f>
        <v>0</v>
      </c>
      <c r="F91" s="1580" t="str">
        <f>IF(Q2=2,"Total net reporté au compte " &amp; F86 &amp; " 
page 6 ACC-9","Net Total Fwd'd to " &amp; F86 &amp; " 
page 6 ACC-9")</f>
        <v>Net Total Fwd'd to 2020 
page 6 ACC-9</v>
      </c>
      <c r="G91" s="1580"/>
      <c r="H91" s="669"/>
      <c r="I91" s="1578" t="str">
        <f>IF(Q2=2,"Total Net","Net Total")</f>
        <v>Net Total</v>
      </c>
      <c r="J91" s="1578"/>
      <c r="K91" s="668">
        <f>'Acct Detailed Reconcil'!G444</f>
        <v>0</v>
      </c>
      <c r="M91" s="1580" t="str">
        <f>IF(Q2=2,"Total net reporté au compte " &amp; M86 &amp; " 
page 6 ACC-9","Net Total Fwd'd to " &amp; M86 &amp; " 
page 6 ACC-9")</f>
        <v>Net Total Fwd'd to 2030 
page 6 ACC-9</v>
      </c>
      <c r="N91" s="1580"/>
      <c r="O91" s="653"/>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row>
    <row r="92" spans="2:62" s="1" customFormat="1" ht="27" customHeight="1" x14ac:dyDescent="0.2">
      <c r="B92" s="653"/>
      <c r="C92" s="1581" t="str">
        <f>IF(Q2=2,"Solde à l'état de compte bancaire","Bank Statement Balance")</f>
        <v>Bank Statement Balance</v>
      </c>
      <c r="D92" s="1581"/>
      <c r="E92" s="693">
        <f>'Acct Detailed Reconcil'!N363</f>
        <v>0</v>
      </c>
      <c r="F92" s="1592"/>
      <c r="G92" s="1592"/>
      <c r="H92" s="672"/>
      <c r="I92" s="1581" t="str">
        <f>IF(Q2=2,"Solde à l'état de compte bancaire","Bank Statement Balance")</f>
        <v>Bank Statement Balance</v>
      </c>
      <c r="J92" s="1581"/>
      <c r="K92" s="693">
        <f>'Acct Detailed Reconcil'!N52</f>
        <v>0</v>
      </c>
      <c r="M92" s="1592"/>
      <c r="N92" s="1592"/>
      <c r="O92" s="653"/>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row>
    <row r="93" spans="2:62" s="1" customFormat="1" ht="27" customHeight="1" x14ac:dyDescent="0.2">
      <c r="B93" s="653"/>
      <c r="C93" s="1577" t="str">
        <f>IF(Q2=2,"Revenus non-réconciliés","Unreconciled Revenues")</f>
        <v>Unreconciled Revenues</v>
      </c>
      <c r="D93" s="1577"/>
      <c r="E93" s="661">
        <f>'Acct Detailed Reconcil'!N365</f>
        <v>0</v>
      </c>
      <c r="G93" s="54"/>
      <c r="H93" s="653"/>
      <c r="I93" s="1577" t="str">
        <f>IF(Q2=2,"Remboursements non-réconciliés","Unreconciled Reimbursements")</f>
        <v>Unreconciled Reimbursements</v>
      </c>
      <c r="J93" s="1577"/>
      <c r="K93" s="661">
        <f>'Acct Detailed Reconcil'!N410</f>
        <v>0</v>
      </c>
      <c r="N93" s="54"/>
      <c r="O93" s="653"/>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row>
    <row r="94" spans="2:62" s="1" customFormat="1" ht="27" customHeight="1" x14ac:dyDescent="0.2">
      <c r="B94" s="653"/>
      <c r="C94" s="1577" t="str">
        <f>IF(Q2=2,"Dépenses non-réconciliées","Unreconciled Expenses")</f>
        <v>Unreconciled Expenses</v>
      </c>
      <c r="D94" s="1577"/>
      <c r="E94" s="661">
        <f>'Acct Detailed Reconcil'!N367</f>
        <v>0</v>
      </c>
      <c r="F94" s="1587" t="str">
        <f>IF('Acct Detailed Reconcil'!G402=0,IF($Q$2=2,"Équilibré","Balanced"),IF($Q$2=2,"Non équilibré","Unbalanced"))</f>
        <v>Balanced</v>
      </c>
      <c r="G94" s="1587"/>
      <c r="H94" s="653"/>
      <c r="I94" s="1577" t="str">
        <f>IF(Q2=2,"Dépenses non-réconciliées","Unreconciled Expenses")</f>
        <v>Unreconciled Expenses</v>
      </c>
      <c r="J94" s="1577"/>
      <c r="K94" s="661">
        <f>'Acct Detailed Reconcil'!N412</f>
        <v>0</v>
      </c>
      <c r="M94" s="1587" t="str">
        <f>IF('Acct Detailed Reconcil'!G447=0,IF($Q$2=2,"Équilibré","Balanced"),IF($Q$2=2,"Non équilibré","Unbalanced"))</f>
        <v>Balanced</v>
      </c>
      <c r="N94" s="1587"/>
      <c r="O94" s="653"/>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row>
    <row r="95" spans="2:62" s="1" customFormat="1" ht="27" customHeight="1" x14ac:dyDescent="0.2">
      <c r="B95" s="653"/>
      <c r="C95" s="1578" t="str">
        <f>IF(Q2=2,"Total Net","Net Total")</f>
        <v>Net Total</v>
      </c>
      <c r="D95" s="1578"/>
      <c r="E95" s="668">
        <f>'Acct Detailed Reconcil'!N369</f>
        <v>0</v>
      </c>
      <c r="F95" s="1587"/>
      <c r="G95" s="1587"/>
      <c r="H95" s="653"/>
      <c r="I95" s="1578" t="str">
        <f>IF(Q2=2,"Total Net","Net Total")</f>
        <v>Net Total</v>
      </c>
      <c r="J95" s="1578"/>
      <c r="K95" s="668">
        <f>'Acct Detailed Reconcil'!N414</f>
        <v>0</v>
      </c>
      <c r="M95" s="1587"/>
      <c r="N95" s="1587"/>
      <c r="O95" s="653"/>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row>
    <row r="96" spans="2:62" s="1" customFormat="1" ht="11.25" customHeight="1" x14ac:dyDescent="0.2">
      <c r="B96" s="653"/>
      <c r="C96" s="653"/>
      <c r="D96" s="653"/>
      <c r="E96" s="702"/>
      <c r="F96" s="679"/>
      <c r="G96" s="653"/>
      <c r="H96" s="653"/>
      <c r="I96" s="653"/>
      <c r="J96" s="653"/>
      <c r="K96" s="702"/>
      <c r="L96" s="679"/>
      <c r="M96" s="653"/>
      <c r="N96" s="653"/>
      <c r="O96" s="653"/>
      <c r="P96" s="568"/>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row>
    <row r="97" spans="2:62" s="1" customFormat="1" ht="11.25" customHeight="1" x14ac:dyDescent="0.2">
      <c r="B97" s="652"/>
      <c r="C97" s="679"/>
      <c r="D97" s="653"/>
      <c r="E97" s="698"/>
      <c r="F97" s="681"/>
      <c r="G97" s="681"/>
      <c r="H97" s="653"/>
      <c r="I97" s="679"/>
      <c r="J97" s="653"/>
      <c r="K97" s="698"/>
      <c r="L97" s="679"/>
      <c r="M97" s="681"/>
      <c r="N97" s="681"/>
      <c r="O97" s="653"/>
      <c r="P97" s="29"/>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row>
    <row r="98" spans="2:62" s="29" customFormat="1" ht="18.75" customHeight="1" x14ac:dyDescent="0.2">
      <c r="B98" s="653"/>
      <c r="C98" s="687"/>
      <c r="D98" s="592"/>
      <c r="E98" s="699"/>
      <c r="F98" s="592"/>
      <c r="G98" s="688"/>
      <c r="H98" s="653"/>
      <c r="I98" s="687"/>
      <c r="J98" s="592"/>
      <c r="K98" s="699"/>
      <c r="L98" s="1"/>
      <c r="M98" s="592"/>
      <c r="N98" s="688"/>
      <c r="O98" s="653"/>
      <c r="P98" s="80"/>
    </row>
    <row r="99" spans="2:62" s="1" customFormat="1" ht="27" customHeight="1" x14ac:dyDescent="0.2">
      <c r="B99" s="653"/>
      <c r="C99" s="1574" t="str">
        <f>'Data Set up'!I33</f>
        <v>Available (Rename)</v>
      </c>
      <c r="D99" s="1574"/>
      <c r="E99" s="659"/>
      <c r="F99" s="660" t="str">
        <f>LEFT('Data Set up'!H33,4)</f>
        <v>2040</v>
      </c>
      <c r="G99" s="689"/>
      <c r="H99" s="652"/>
      <c r="I99" s="1574" t="str">
        <f>'Data Set up'!I34</f>
        <v>Available (Rename)</v>
      </c>
      <c r="J99" s="1574"/>
      <c r="K99" s="659"/>
      <c r="L99" s="690"/>
      <c r="M99" s="660" t="str">
        <f>LEFT('Data Set up'!H34,4)</f>
        <v>2210</v>
      </c>
      <c r="N99" s="701"/>
      <c r="O99" s="652"/>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row>
    <row r="100" spans="2:62" s="1" customFormat="1" ht="27" customHeight="1" x14ac:dyDescent="0.2">
      <c r="B100" s="653"/>
      <c r="C100" s="1576" t="str">
        <f>IF(Q2=2,"Solde d'ouverture","Opening Balance")</f>
        <v>Opening Balance</v>
      </c>
      <c r="D100" s="1576"/>
      <c r="E100" s="663">
        <f>'Acct Detailed Reconcil'!G453</f>
        <v>0</v>
      </c>
      <c r="F100" s="662"/>
      <c r="G100" s="54"/>
      <c r="H100" s="653"/>
      <c r="I100" s="1576" t="str">
        <f>IF(Q2=2,"Solde d'ouverture","Opening Balance")</f>
        <v>Opening Balance</v>
      </c>
      <c r="J100" s="1576"/>
      <c r="K100" s="663">
        <f>'Acct Detailed Reconcil'!G498</f>
        <v>0</v>
      </c>
      <c r="M100" s="662"/>
      <c r="N100" s="54"/>
      <c r="O100" s="653"/>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row>
    <row r="101" spans="2:62" s="1" customFormat="1" ht="27" customHeight="1" x14ac:dyDescent="0.2">
      <c r="B101" s="653"/>
      <c r="C101" s="1577" t="str">
        <f>IF(Q2=2,"Montant non-comptabilisé de l'exercice précédent","Previous Year's non-accounted Amount")</f>
        <v>Previous Year's non-accounted Amount</v>
      </c>
      <c r="D101" s="1577"/>
      <c r="E101" s="663">
        <f>'Acct Detailed Reconcil'!G487</f>
        <v>0</v>
      </c>
      <c r="F101" s="662"/>
      <c r="G101" s="54"/>
      <c r="H101" s="653"/>
      <c r="I101" s="1577" t="str">
        <f>IF(Q2=2,"Montant non-comptabilisé de l'exercice précédent","Previous Year's non-accounted Amount")</f>
        <v>Previous Year's non-accounted Amount</v>
      </c>
      <c r="J101" s="1577"/>
      <c r="K101" s="663">
        <f>'Acct Detailed Reconcil'!G532</f>
        <v>0</v>
      </c>
      <c r="M101" s="662"/>
      <c r="N101" s="54"/>
      <c r="O101" s="653"/>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row>
    <row r="102" spans="2:62" s="1" customFormat="1" ht="27" customHeight="1" x14ac:dyDescent="0.2">
      <c r="B102" s="653"/>
      <c r="C102" s="1577" t="str">
        <f>IF(Q2=2,"De l'onglet 'Journal des revenus'","From 'Revenue Jrnl' tab")</f>
        <v>From 'Revenue Jrnl' tab</v>
      </c>
      <c r="D102" s="1577"/>
      <c r="E102" s="661">
        <f>'Acct Detailed Reconcil'!G454</f>
        <v>0</v>
      </c>
      <c r="G102" s="54"/>
      <c r="H102" s="653"/>
      <c r="I102" s="1577" t="str">
        <f>IF(Q2=2,"De l'onglet 'Journal des revenus'","From 'Revenue Jrnl' tab")</f>
        <v>From 'Revenue Jrnl' tab</v>
      </c>
      <c r="J102" s="1577"/>
      <c r="K102" s="661">
        <f>'Acct Detailed Reconcil'!G499</f>
        <v>0</v>
      </c>
      <c r="N102" s="54"/>
      <c r="O102" s="653"/>
      <c r="P102" s="692"/>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row>
    <row r="103" spans="2:62" s="1" customFormat="1" ht="27" customHeight="1" x14ac:dyDescent="0.2">
      <c r="B103" s="653"/>
      <c r="C103" s="1577" t="str">
        <f>IF(Q2=2,"De l'onglet 'Journal des dépenses'","From 'Expense Jrnl' tab")</f>
        <v>From 'Expense Jrnl' tab</v>
      </c>
      <c r="D103" s="1577"/>
      <c r="E103" s="661">
        <f>'Acct Detailed Reconcil'!G455</f>
        <v>0</v>
      </c>
      <c r="G103" s="54"/>
      <c r="H103" s="653"/>
      <c r="I103" s="1577" t="str">
        <f>IF(Q2=2,"De l'onglet 'Journal des dépenses'","From 'Expense Jrnl' tab")</f>
        <v>From 'Expense Jrnl' tab</v>
      </c>
      <c r="J103" s="1577"/>
      <c r="K103" s="661">
        <f>'Acct Detailed Reconcil'!G500</f>
        <v>0</v>
      </c>
      <c r="N103" s="54"/>
      <c r="O103" s="653"/>
      <c r="P103" s="145"/>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row>
    <row r="104" spans="2:62" s="1" customFormat="1" ht="27" customHeight="1" x14ac:dyDescent="0.2">
      <c r="B104" s="653"/>
      <c r="C104" s="1578" t="str">
        <f>IF(Q2=2,"Total Net","Net Total")</f>
        <v>Net Total</v>
      </c>
      <c r="D104" s="1578"/>
      <c r="E104" s="668">
        <f>'Acct Detailed Reconcil'!G489</f>
        <v>0</v>
      </c>
      <c r="F104" s="1580" t="str">
        <f>IF(Q2=2,"Total net reporté au compte " &amp; F99 &amp; " 
page 6 ACC-9","Net Total Fwd'd to " &amp; F99 &amp; " 
page 6 ACC-9")</f>
        <v>Net Total Fwd'd to 2040 
page 6 ACC-9</v>
      </c>
      <c r="G104" s="1580"/>
      <c r="H104" s="669"/>
      <c r="I104" s="1578" t="str">
        <f>IF(Q2=2,"Total Net","Net Total")</f>
        <v>Net Total</v>
      </c>
      <c r="J104" s="1578"/>
      <c r="K104" s="668">
        <f>'Acct Detailed Reconcil'!G534</f>
        <v>0</v>
      </c>
      <c r="M104" s="1580" t="str">
        <f>IF(Q2=2,"Total net reporté au compte " &amp; M99 &amp; " 
page 6 ACC-9","Net Total Fwd'd to " &amp; M99 &amp; " 
page 6 ACC-9")</f>
        <v>Net Total Fwd'd to 2210 
page 6 ACC-9</v>
      </c>
      <c r="N104" s="1580"/>
      <c r="O104" s="653"/>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row>
    <row r="105" spans="2:62" s="1" customFormat="1" ht="27" customHeight="1" x14ac:dyDescent="0.2">
      <c r="B105" s="653"/>
      <c r="C105" s="1581" t="str">
        <f>IF(Q2=2,"Solde à l'état de compte bancaire","Bank Statement Balance")</f>
        <v>Bank Statement Balance</v>
      </c>
      <c r="D105" s="1581"/>
      <c r="E105" s="693">
        <f>'Acct Detailed Reconcil'!N453</f>
        <v>0</v>
      </c>
      <c r="F105" s="1592"/>
      <c r="G105" s="1592"/>
      <c r="H105" s="672"/>
      <c r="I105" s="1581" t="str">
        <f>IF(Q2=2,"Solde à l'état de compte bancaire","Bank Statement Balance")</f>
        <v>Bank Statement Balance</v>
      </c>
      <c r="J105" s="1581"/>
      <c r="K105" s="693">
        <f>'Acct Detailed Reconcil'!N498</f>
        <v>0</v>
      </c>
      <c r="M105" s="1592"/>
      <c r="N105" s="1592"/>
      <c r="O105" s="653"/>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row>
    <row r="106" spans="2:62" s="1" customFormat="1" ht="27" customHeight="1" x14ac:dyDescent="0.2">
      <c r="B106" s="653"/>
      <c r="C106" s="1577" t="str">
        <f>IF(Q2=2,"Revenus non-réconciliés","Unreconciled Revenues")</f>
        <v>Unreconciled Revenues</v>
      </c>
      <c r="D106" s="1577"/>
      <c r="E106" s="661">
        <f>'Acct Detailed Reconcil'!N455</f>
        <v>0</v>
      </c>
      <c r="G106" s="54"/>
      <c r="H106" s="653"/>
      <c r="I106" s="1577" t="str">
        <f>IF(Q2=2,"Remboursements non-réconciliés","Unreconciled Reimbursements")</f>
        <v>Unreconciled Reimbursements</v>
      </c>
      <c r="J106" s="1577"/>
      <c r="K106" s="661">
        <f>'Acct Detailed Reconcil'!N500</f>
        <v>0</v>
      </c>
      <c r="N106" s="54"/>
      <c r="O106" s="653"/>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row>
    <row r="107" spans="2:62" s="1" customFormat="1" ht="27" customHeight="1" x14ac:dyDescent="0.2">
      <c r="B107" s="653"/>
      <c r="C107" s="1577" t="str">
        <f>IF(Q2=2,"Dépenses non-réconciliées","Unreconciled Expenses")</f>
        <v>Unreconciled Expenses</v>
      </c>
      <c r="D107" s="1577"/>
      <c r="E107" s="661">
        <f>'Acct Detailed Reconcil'!N457</f>
        <v>0</v>
      </c>
      <c r="F107" s="1587" t="str">
        <f>IF('Acct Detailed Reconcil'!G492=0,IF($Q$2=2,"Équilibré","Balanced"),IF($Q$2=2,"Non équilibré","Unbalanced"))</f>
        <v>Balanced</v>
      </c>
      <c r="G107" s="1587"/>
      <c r="H107" s="653"/>
      <c r="I107" s="1577" t="str">
        <f>IF(Q2=2,"Dépenses non-réconciliées","Unreconciled Expenses")</f>
        <v>Unreconciled Expenses</v>
      </c>
      <c r="J107" s="1577"/>
      <c r="K107" s="661">
        <f>'Acct Detailed Reconcil'!N502</f>
        <v>0</v>
      </c>
      <c r="M107" s="1587" t="str">
        <f>IF('Acct Detailed Reconcil'!G537=0,IF($Q$2=2,"Équilibré","Balanced"),IF($Q$2=2,"Non équilibré","Unbalanced"))</f>
        <v>Balanced</v>
      </c>
      <c r="N107" s="1587"/>
      <c r="O107" s="653"/>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row>
    <row r="108" spans="2:62" s="1" customFormat="1" ht="27" customHeight="1" x14ac:dyDescent="0.2">
      <c r="B108" s="653"/>
      <c r="C108" s="1578" t="str">
        <f>IF(Q2=2,"Total Net","Net Total")</f>
        <v>Net Total</v>
      </c>
      <c r="D108" s="1578"/>
      <c r="E108" s="668">
        <f>'Acct Detailed Reconcil'!N459</f>
        <v>0</v>
      </c>
      <c r="F108" s="1587"/>
      <c r="G108" s="1587"/>
      <c r="H108" s="653"/>
      <c r="I108" s="1578" t="str">
        <f>IF(Q2=2,"Total Net","Net Total")</f>
        <v>Net Total</v>
      </c>
      <c r="J108" s="1578"/>
      <c r="K108" s="668">
        <f>'Acct Detailed Reconcil'!N504</f>
        <v>0</v>
      </c>
      <c r="M108" s="1587"/>
      <c r="N108" s="1587"/>
      <c r="O108" s="653"/>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row>
    <row r="109" spans="2:62" s="1" customFormat="1" ht="11.25" customHeight="1" x14ac:dyDescent="0.2">
      <c r="B109" s="653"/>
      <c r="C109" s="653"/>
      <c r="D109" s="653"/>
      <c r="E109" s="702"/>
      <c r="F109" s="679"/>
      <c r="G109" s="653"/>
      <c r="H109" s="653"/>
      <c r="I109" s="653"/>
      <c r="J109" s="653"/>
      <c r="K109" s="702"/>
      <c r="L109" s="679"/>
      <c r="M109" s="653"/>
      <c r="N109" s="653"/>
      <c r="O109" s="653"/>
      <c r="P109" s="568"/>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row>
    <row r="110" spans="2:62" s="1" customFormat="1" ht="11.25" customHeight="1" x14ac:dyDescent="0.2">
      <c r="B110" s="652"/>
      <c r="C110" s="679"/>
      <c r="D110" s="653"/>
      <c r="E110" s="698"/>
      <c r="F110" s="681"/>
      <c r="G110" s="681"/>
      <c r="H110" s="653"/>
      <c r="I110" s="679"/>
      <c r="J110" s="653"/>
      <c r="K110" s="698"/>
      <c r="L110" s="679"/>
      <c r="M110" s="681"/>
      <c r="N110" s="681"/>
      <c r="O110" s="653"/>
      <c r="P110" s="29"/>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row>
    <row r="111" spans="2:62" s="29" customFormat="1" ht="18.75" customHeight="1" x14ac:dyDescent="0.2">
      <c r="B111" s="653"/>
      <c r="C111" s="687"/>
      <c r="D111" s="592"/>
      <c r="E111" s="699"/>
      <c r="F111" s="592"/>
      <c r="G111" s="688"/>
      <c r="H111" s="653"/>
      <c r="I111" s="687"/>
      <c r="J111" s="592"/>
      <c r="K111" s="699"/>
      <c r="L111" s="1"/>
      <c r="M111" s="592"/>
      <c r="N111" s="688"/>
      <c r="O111" s="653"/>
      <c r="P111" s="80"/>
    </row>
    <row r="112" spans="2:62" s="1" customFormat="1" ht="27" customHeight="1" x14ac:dyDescent="0.2">
      <c r="B112" s="653"/>
      <c r="C112" s="1574" t="str">
        <f>'Data Set up'!I35</f>
        <v>Mortgage</v>
      </c>
      <c r="D112" s="1574"/>
      <c r="E112" s="659"/>
      <c r="F112" s="660" t="str">
        <f>LEFT('Data Set up'!H35,4)</f>
        <v>2220</v>
      </c>
      <c r="G112" s="689"/>
      <c r="H112" s="652"/>
      <c r="I112" s="1574" t="str">
        <f>'Data Set up'!I36</f>
        <v>Available (Rename)</v>
      </c>
      <c r="J112" s="1574"/>
      <c r="K112" s="659"/>
      <c r="L112" s="690"/>
      <c r="M112" s="660" t="str">
        <f>LEFT('Data Set up'!H36,4)</f>
        <v>2230</v>
      </c>
      <c r="N112" s="701"/>
      <c r="O112" s="652"/>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row>
    <row r="113" spans="2:62" s="1" customFormat="1" ht="27" customHeight="1" x14ac:dyDescent="0.2">
      <c r="B113" s="653"/>
      <c r="C113" s="1576" t="str">
        <f>IF(Q2=2,"Solde d'ouverture","Opening Balance")</f>
        <v>Opening Balance</v>
      </c>
      <c r="D113" s="1576"/>
      <c r="E113" s="663">
        <f>'Acct Detailed Reconcil'!G543</f>
        <v>0</v>
      </c>
      <c r="F113" s="662"/>
      <c r="G113" s="54"/>
      <c r="H113" s="653"/>
      <c r="I113" s="1576" t="str">
        <f>IF(Q2=2,"Solde d'ouverture","Opening Balance")</f>
        <v>Opening Balance</v>
      </c>
      <c r="J113" s="1576"/>
      <c r="K113" s="663">
        <f>'Acct Detailed Reconcil'!G588</f>
        <v>0</v>
      </c>
      <c r="M113" s="662"/>
      <c r="N113" s="54"/>
      <c r="O113" s="653"/>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row>
    <row r="114" spans="2:62" s="1" customFormat="1" ht="27" customHeight="1" x14ac:dyDescent="0.2">
      <c r="B114" s="653"/>
      <c r="C114" s="1577" t="str">
        <f>IF(Q2=2,"Montant non-comptabilisé de l'exercice précédent","Previous Year's non-accounted Amount")</f>
        <v>Previous Year's non-accounted Amount</v>
      </c>
      <c r="D114" s="1577"/>
      <c r="E114" s="663">
        <f>'Acct Detailed Reconcil'!G577</f>
        <v>0</v>
      </c>
      <c r="F114" s="662"/>
      <c r="G114" s="54"/>
      <c r="H114" s="653"/>
      <c r="I114" s="1577" t="str">
        <f>IF(Q2=2,"Montant non-comptabilisé de l'exercice précédent","Previous Year's non-accounted Amount")</f>
        <v>Previous Year's non-accounted Amount</v>
      </c>
      <c r="J114" s="1577"/>
      <c r="K114" s="663">
        <f>'Acct Detailed Reconcil'!G622</f>
        <v>0</v>
      </c>
      <c r="M114" s="662"/>
      <c r="N114" s="54"/>
      <c r="O114" s="653"/>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row>
    <row r="115" spans="2:62" s="1" customFormat="1" ht="27" customHeight="1" x14ac:dyDescent="0.2">
      <c r="B115" s="653"/>
      <c r="C115" s="1577" t="str">
        <f>IF(Q2=2,"De l'onglet 'Journal des revenus'","From 'Revenue Jrnl' tab")</f>
        <v>From 'Revenue Jrnl' tab</v>
      </c>
      <c r="D115" s="1577"/>
      <c r="E115" s="661">
        <f>'Acct Detailed Reconcil'!G544</f>
        <v>0</v>
      </c>
      <c r="G115" s="54"/>
      <c r="H115" s="653"/>
      <c r="I115" s="1577" t="str">
        <f>IF(Q2=2,"De l'onglet 'Journal des revenus'","From 'Revenue Jrnl' tab")</f>
        <v>From 'Revenue Jrnl' tab</v>
      </c>
      <c r="J115" s="1577"/>
      <c r="K115" s="661">
        <f>'Acct Detailed Reconcil'!G589</f>
        <v>0</v>
      </c>
      <c r="N115" s="54"/>
      <c r="O115" s="653"/>
      <c r="P115" s="692"/>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row>
    <row r="116" spans="2:62" s="1" customFormat="1" ht="27" customHeight="1" x14ac:dyDescent="0.2">
      <c r="B116" s="653"/>
      <c r="C116" s="1577" t="str">
        <f>IF(Q2=2,"De l'onglet 'Journal des dépenses'","From 'Expense Jrnl' tab")</f>
        <v>From 'Expense Jrnl' tab</v>
      </c>
      <c r="D116" s="1577"/>
      <c r="E116" s="661">
        <f>'Acct Detailed Reconcil'!G545</f>
        <v>0</v>
      </c>
      <c r="G116" s="54"/>
      <c r="H116" s="653"/>
      <c r="I116" s="1577" t="str">
        <f>IF(Q2=2,"De l'onglet 'Journal des dépenses'","From 'Expense Jrnl' tab")</f>
        <v>From 'Expense Jrnl' tab</v>
      </c>
      <c r="J116" s="1577"/>
      <c r="K116" s="661">
        <f>'Acct Detailed Reconcil'!G590</f>
        <v>0</v>
      </c>
      <c r="N116" s="54"/>
      <c r="O116" s="653"/>
      <c r="P116" s="145"/>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row>
    <row r="117" spans="2:62" s="1" customFormat="1" ht="27" customHeight="1" x14ac:dyDescent="0.2">
      <c r="B117" s="653"/>
      <c r="C117" s="1578" t="str">
        <f>IF(Q2=2,"Total Net","Net Total")</f>
        <v>Net Total</v>
      </c>
      <c r="D117" s="1578"/>
      <c r="E117" s="668">
        <f>'Acct Detailed Reconcil'!G579</f>
        <v>0</v>
      </c>
      <c r="F117" s="1580" t="str">
        <f>IF(Q2=2,"Total net reporté au compte " &amp; F112 &amp; " 
page 6 ACC-9","Net Total Fwd'd to " &amp; F112 &amp; " 
page 6 ACC-9")</f>
        <v>Net Total Fwd'd to 2220 
page 6 ACC-9</v>
      </c>
      <c r="G117" s="1580"/>
      <c r="H117" s="669"/>
      <c r="I117" s="1578" t="str">
        <f>IF(Q2=2,"Total Net","Net Total")</f>
        <v>Net Total</v>
      </c>
      <c r="J117" s="1578"/>
      <c r="K117" s="668">
        <f>'Acct Detailed Reconcil'!G624</f>
        <v>0</v>
      </c>
      <c r="M117" s="1580" t="str">
        <f>IF(Q2=2,"Total net reporté au compte " &amp; M112 &amp; " 
page 6 ACC-9","Net Total Fwd'd to " &amp; M112 &amp; " 
page 6 ACC-9")</f>
        <v>Net Total Fwd'd to 2230 
page 6 ACC-9</v>
      </c>
      <c r="N117" s="1580"/>
      <c r="O117" s="653"/>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row>
    <row r="118" spans="2:62" s="1" customFormat="1" ht="27" customHeight="1" x14ac:dyDescent="0.2">
      <c r="B118" s="653"/>
      <c r="C118" s="1581" t="str">
        <f>IF(Q2=2,"Solde à l'état de compte bancaire","Bank Statement Balance")</f>
        <v>Bank Statement Balance</v>
      </c>
      <c r="D118" s="1581"/>
      <c r="E118" s="693">
        <f>'Acct Detailed Reconcil'!N543</f>
        <v>0</v>
      </c>
      <c r="F118" s="1592"/>
      <c r="G118" s="1592"/>
      <c r="H118" s="672"/>
      <c r="I118" s="1581" t="str">
        <f>IF(Q2=2,"Solde à l'état de compte bancaire","Bank Statement Balance")</f>
        <v>Bank Statement Balance</v>
      </c>
      <c r="J118" s="1581"/>
      <c r="K118" s="693">
        <f>'Acct Detailed Reconcil'!N588</f>
        <v>0</v>
      </c>
      <c r="M118" s="1592"/>
      <c r="N118" s="1592"/>
      <c r="O118" s="653"/>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row>
    <row r="119" spans="2:62" s="1" customFormat="1" ht="27" customHeight="1" x14ac:dyDescent="0.2">
      <c r="B119" s="653"/>
      <c r="C119" s="1577" t="str">
        <f>IF(Q2=2,"Revenus non-réconciliés","Unreconciled Revenues")</f>
        <v>Unreconciled Revenues</v>
      </c>
      <c r="D119" s="1577"/>
      <c r="E119" s="661">
        <f>'Acct Detailed Reconcil'!N545</f>
        <v>0</v>
      </c>
      <c r="G119" s="54"/>
      <c r="H119" s="653"/>
      <c r="I119" s="1577" t="str">
        <f>IF(Q2=2,"Remboursements non-réconciliés","Unreconciled Reimbursements")</f>
        <v>Unreconciled Reimbursements</v>
      </c>
      <c r="J119" s="1577"/>
      <c r="K119" s="661">
        <f>'Acct Detailed Reconcil'!N590</f>
        <v>0</v>
      </c>
      <c r="N119" s="54"/>
      <c r="O119" s="653"/>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row>
    <row r="120" spans="2:62" s="1" customFormat="1" ht="27" customHeight="1" x14ac:dyDescent="0.2">
      <c r="B120" s="653"/>
      <c r="C120" s="1577" t="str">
        <f>IF(Q2=2,"Dépenses non-réconciliées","Unreconciled Expenses")</f>
        <v>Unreconciled Expenses</v>
      </c>
      <c r="D120" s="1577"/>
      <c r="E120" s="661">
        <f>'Acct Detailed Reconcil'!N547</f>
        <v>0</v>
      </c>
      <c r="F120" s="1587" t="str">
        <f>IF('Acct Detailed Reconcil'!G582=0,IF($Q$2=2,"Équilibré","Balanced"),IF($Q$2=2,"Non équilibré","Unbalanced"))</f>
        <v>Balanced</v>
      </c>
      <c r="G120" s="1587"/>
      <c r="H120" s="653"/>
      <c r="I120" s="1577" t="str">
        <f>IF(Q2=2,"Dépenses non-réconciliées","Unreconciled Expenses")</f>
        <v>Unreconciled Expenses</v>
      </c>
      <c r="J120" s="1577"/>
      <c r="K120" s="661">
        <f>'Acct Detailed Reconcil'!N592</f>
        <v>0</v>
      </c>
      <c r="M120" s="1587" t="str">
        <f>IF('Acct Detailed Reconcil'!G627=0,IF($Q$2=2,"Équilibré","Balanced"),IF($Q$2=2,"Non équilibré","Unbalanced"))</f>
        <v>Balanced</v>
      </c>
      <c r="N120" s="1587"/>
      <c r="O120" s="653"/>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row>
    <row r="121" spans="2:62" s="1" customFormat="1" ht="27" customHeight="1" x14ac:dyDescent="0.2">
      <c r="B121" s="653"/>
      <c r="C121" s="1578" t="str">
        <f>IF(Q2=2,"Total Net","Net Total")</f>
        <v>Net Total</v>
      </c>
      <c r="D121" s="1578"/>
      <c r="E121" s="668">
        <f>'Acct Detailed Reconcil'!N549</f>
        <v>0</v>
      </c>
      <c r="F121" s="1587"/>
      <c r="G121" s="1587"/>
      <c r="H121" s="653"/>
      <c r="I121" s="1578" t="str">
        <f>IF(Q2=2,"Total Net","Net Total")</f>
        <v>Net Total</v>
      </c>
      <c r="J121" s="1578"/>
      <c r="K121" s="668">
        <f>'Acct Detailed Reconcil'!N594</f>
        <v>0</v>
      </c>
      <c r="M121" s="1587"/>
      <c r="N121" s="1587"/>
      <c r="O121" s="653"/>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row>
    <row r="122" spans="2:62" s="1" customFormat="1" ht="11.25" customHeight="1" x14ac:dyDescent="0.2">
      <c r="B122" s="653"/>
      <c r="C122" s="653"/>
      <c r="D122" s="653"/>
      <c r="E122" s="702"/>
      <c r="F122" s="679"/>
      <c r="G122" s="653"/>
      <c r="H122" s="653"/>
      <c r="I122" s="653"/>
      <c r="J122" s="653"/>
      <c r="K122" s="702"/>
      <c r="L122" s="679"/>
      <c r="M122" s="653"/>
      <c r="N122" s="653"/>
      <c r="O122" s="653"/>
      <c r="P122" s="568"/>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row>
  </sheetData>
  <sheetProtection algorithmName="SHA-512" hashValue="/VJ+vOLRSECqs626iODlKRtPx15BzbIPvRmVRD3SWKf0WwUzQfg+OojL8KXMxxmeBKaIap1lx9BheZaHLbdaKg==" saltValue="Doa1zevzQDywg60sptrnfA==" spinCount="100000" sheet="1" objects="1" scenarios="1" selectLockedCells="1" selectUnlockedCells="1"/>
  <protectedRanges>
    <protectedRange sqref="G5" name="Range3_1"/>
    <protectedRange sqref="J5" name="Range4_1"/>
    <protectedRange sqref="P6" name="Range13_1"/>
    <protectedRange sqref="E22:E23 K22:K23 E113:E114 K113:K114 E48:E49 E61:E62 K61:K62 E74:E75 K74:K75 K48:K49 K9:K10 E87:E88 K87:K88 E100:E101 K100:K101 E35:E36 K35:K36" name="Range17_1_1"/>
    <protectedRange sqref="C7" name="Range11_7"/>
    <protectedRange sqref="C8" name="Range11_31"/>
    <protectedRange sqref="E9:E10" name="Range17_31"/>
  </protectedRanges>
  <mergeCells count="240">
    <mergeCell ref="M117:N117"/>
    <mergeCell ref="C118:D118"/>
    <mergeCell ref="F118:G118"/>
    <mergeCell ref="I118:J118"/>
    <mergeCell ref="M118:N118"/>
    <mergeCell ref="C119:D119"/>
    <mergeCell ref="I119:J119"/>
    <mergeCell ref="C120:D120"/>
    <mergeCell ref="F120:G121"/>
    <mergeCell ref="I120:J120"/>
    <mergeCell ref="M120:N121"/>
    <mergeCell ref="C121:D121"/>
    <mergeCell ref="I121:J121"/>
    <mergeCell ref="C114:D114"/>
    <mergeCell ref="I114:J114"/>
    <mergeCell ref="C115:D115"/>
    <mergeCell ref="I115:J115"/>
    <mergeCell ref="C116:D116"/>
    <mergeCell ref="I116:J116"/>
    <mergeCell ref="C117:D117"/>
    <mergeCell ref="F117:G117"/>
    <mergeCell ref="I117:J117"/>
    <mergeCell ref="C107:D107"/>
    <mergeCell ref="F107:G108"/>
    <mergeCell ref="I107:J107"/>
    <mergeCell ref="M107:N108"/>
    <mergeCell ref="C108:D108"/>
    <mergeCell ref="I108:J108"/>
    <mergeCell ref="C112:D112"/>
    <mergeCell ref="I112:J112"/>
    <mergeCell ref="C113:D113"/>
    <mergeCell ref="I113:J113"/>
    <mergeCell ref="C104:D104"/>
    <mergeCell ref="F104:G104"/>
    <mergeCell ref="I104:J104"/>
    <mergeCell ref="M104:N104"/>
    <mergeCell ref="C105:D105"/>
    <mergeCell ref="F105:G105"/>
    <mergeCell ref="I105:J105"/>
    <mergeCell ref="M105:N105"/>
    <mergeCell ref="C106:D106"/>
    <mergeCell ref="I106:J106"/>
    <mergeCell ref="C99:D99"/>
    <mergeCell ref="I99:J99"/>
    <mergeCell ref="C100:D100"/>
    <mergeCell ref="I100:J100"/>
    <mergeCell ref="C101:D101"/>
    <mergeCell ref="I101:J101"/>
    <mergeCell ref="C102:D102"/>
    <mergeCell ref="I102:J102"/>
    <mergeCell ref="C103:D103"/>
    <mergeCell ref="I103:J103"/>
    <mergeCell ref="M91:N91"/>
    <mergeCell ref="C92:D92"/>
    <mergeCell ref="F92:G92"/>
    <mergeCell ref="I92:J92"/>
    <mergeCell ref="M92:N92"/>
    <mergeCell ref="C93:D93"/>
    <mergeCell ref="I93:J93"/>
    <mergeCell ref="C94:D94"/>
    <mergeCell ref="F94:G95"/>
    <mergeCell ref="I94:J94"/>
    <mergeCell ref="M94:N95"/>
    <mergeCell ref="C95:D95"/>
    <mergeCell ref="I95:J95"/>
    <mergeCell ref="C88:D88"/>
    <mergeCell ref="I88:J88"/>
    <mergeCell ref="C89:D89"/>
    <mergeCell ref="I89:J89"/>
    <mergeCell ref="C90:D90"/>
    <mergeCell ref="I90:J90"/>
    <mergeCell ref="C91:D91"/>
    <mergeCell ref="F91:G91"/>
    <mergeCell ref="I91:J91"/>
    <mergeCell ref="C81:D81"/>
    <mergeCell ref="F81:G82"/>
    <mergeCell ref="I81:J81"/>
    <mergeCell ref="M81:N82"/>
    <mergeCell ref="C82:D82"/>
    <mergeCell ref="I82:J82"/>
    <mergeCell ref="C86:D86"/>
    <mergeCell ref="I86:J86"/>
    <mergeCell ref="C87:D87"/>
    <mergeCell ref="I87:J87"/>
    <mergeCell ref="C78:D78"/>
    <mergeCell ref="F78:G78"/>
    <mergeCell ref="I78:J78"/>
    <mergeCell ref="M78:N78"/>
    <mergeCell ref="C79:D79"/>
    <mergeCell ref="F79:G79"/>
    <mergeCell ref="I79:J79"/>
    <mergeCell ref="M79:N79"/>
    <mergeCell ref="C80:D80"/>
    <mergeCell ref="I80:J80"/>
    <mergeCell ref="C73:D73"/>
    <mergeCell ref="I73:J73"/>
    <mergeCell ref="C74:D74"/>
    <mergeCell ref="I74:J74"/>
    <mergeCell ref="C75:D75"/>
    <mergeCell ref="I75:J75"/>
    <mergeCell ref="C76:D76"/>
    <mergeCell ref="I76:J76"/>
    <mergeCell ref="C77:D77"/>
    <mergeCell ref="I77:J77"/>
    <mergeCell ref="M65:N65"/>
    <mergeCell ref="C66:D66"/>
    <mergeCell ref="F66:G66"/>
    <mergeCell ref="I66:J66"/>
    <mergeCell ref="M66:N66"/>
    <mergeCell ref="C67:D67"/>
    <mergeCell ref="I67:J67"/>
    <mergeCell ref="C68:D68"/>
    <mergeCell ref="F68:G69"/>
    <mergeCell ref="I68:J68"/>
    <mergeCell ref="M68:N69"/>
    <mergeCell ref="C69:D69"/>
    <mergeCell ref="I69:J69"/>
    <mergeCell ref="C62:D62"/>
    <mergeCell ref="I62:J62"/>
    <mergeCell ref="C63:D63"/>
    <mergeCell ref="I63:J63"/>
    <mergeCell ref="C64:D64"/>
    <mergeCell ref="I64:J64"/>
    <mergeCell ref="C65:D65"/>
    <mergeCell ref="F65:G65"/>
    <mergeCell ref="I65:J65"/>
    <mergeCell ref="C55:D55"/>
    <mergeCell ref="F55:G56"/>
    <mergeCell ref="I55:J55"/>
    <mergeCell ref="L55:N56"/>
    <mergeCell ref="C56:D56"/>
    <mergeCell ref="I56:J56"/>
    <mergeCell ref="C60:D60"/>
    <mergeCell ref="I60:J60"/>
    <mergeCell ref="C61:D61"/>
    <mergeCell ref="I61:J61"/>
    <mergeCell ref="C52:D52"/>
    <mergeCell ref="F52:G52"/>
    <mergeCell ref="I52:J52"/>
    <mergeCell ref="L52:N52"/>
    <mergeCell ref="C53:D53"/>
    <mergeCell ref="F53:G53"/>
    <mergeCell ref="I53:J53"/>
    <mergeCell ref="L53:N53"/>
    <mergeCell ref="C54:D54"/>
    <mergeCell ref="I54:J54"/>
    <mergeCell ref="M54:N54"/>
    <mergeCell ref="C47:D47"/>
    <mergeCell ref="I47:J47"/>
    <mergeCell ref="C48:D48"/>
    <mergeCell ref="I48:J48"/>
    <mergeCell ref="C49:D49"/>
    <mergeCell ref="I49:J49"/>
    <mergeCell ref="C50:D50"/>
    <mergeCell ref="I50:J50"/>
    <mergeCell ref="C51:D51"/>
    <mergeCell ref="I51:J51"/>
    <mergeCell ref="M39:N39"/>
    <mergeCell ref="C40:D40"/>
    <mergeCell ref="F40:G40"/>
    <mergeCell ref="I40:J40"/>
    <mergeCell ref="M40:N40"/>
    <mergeCell ref="C41:D41"/>
    <mergeCell ref="I41:J41"/>
    <mergeCell ref="C42:D42"/>
    <mergeCell ref="F42:G43"/>
    <mergeCell ref="I42:J42"/>
    <mergeCell ref="M42:N43"/>
    <mergeCell ref="C43:D43"/>
    <mergeCell ref="I43:J43"/>
    <mergeCell ref="C36:D36"/>
    <mergeCell ref="I36:J36"/>
    <mergeCell ref="C37:D37"/>
    <mergeCell ref="I37:J37"/>
    <mergeCell ref="C38:D38"/>
    <mergeCell ref="I38:J38"/>
    <mergeCell ref="C39:D39"/>
    <mergeCell ref="F39:G39"/>
    <mergeCell ref="I39:J39"/>
    <mergeCell ref="C29:D29"/>
    <mergeCell ref="F29:G30"/>
    <mergeCell ref="I29:J29"/>
    <mergeCell ref="M29:N30"/>
    <mergeCell ref="C30:D30"/>
    <mergeCell ref="I30:J30"/>
    <mergeCell ref="C34:D34"/>
    <mergeCell ref="I34:J34"/>
    <mergeCell ref="C35:D35"/>
    <mergeCell ref="I35:J35"/>
    <mergeCell ref="C26:D26"/>
    <mergeCell ref="F26:G26"/>
    <mergeCell ref="I26:J26"/>
    <mergeCell ref="M26:N26"/>
    <mergeCell ref="C27:D27"/>
    <mergeCell ref="F27:G27"/>
    <mergeCell ref="I27:J27"/>
    <mergeCell ref="M27:N27"/>
    <mergeCell ref="C28:D28"/>
    <mergeCell ref="I28:J28"/>
    <mergeCell ref="C21:D21"/>
    <mergeCell ref="I21:J21"/>
    <mergeCell ref="C22:D22"/>
    <mergeCell ref="I22:J22"/>
    <mergeCell ref="C23:D23"/>
    <mergeCell ref="I23:J23"/>
    <mergeCell ref="C24:D24"/>
    <mergeCell ref="I24:J24"/>
    <mergeCell ref="C25:D25"/>
    <mergeCell ref="I25:J25"/>
    <mergeCell ref="I14:J14"/>
    <mergeCell ref="L14:N14"/>
    <mergeCell ref="X14:Y14"/>
    <mergeCell ref="AA14:AC14"/>
    <mergeCell ref="I15:J15"/>
    <mergeCell ref="X15:Y15"/>
    <mergeCell ref="I16:J16"/>
    <mergeCell ref="L16:N17"/>
    <mergeCell ref="X16:Y16"/>
    <mergeCell ref="AA16:AC17"/>
    <mergeCell ref="I17:J17"/>
    <mergeCell ref="X17:Y17"/>
    <mergeCell ref="I10:J10"/>
    <mergeCell ref="C11:D11"/>
    <mergeCell ref="I11:J11"/>
    <mergeCell ref="C12:D12"/>
    <mergeCell ref="I12:J12"/>
    <mergeCell ref="C13:D13"/>
    <mergeCell ref="F13:G13"/>
    <mergeCell ref="I13:J13"/>
    <mergeCell ref="L13:N13"/>
    <mergeCell ref="B1:O1"/>
    <mergeCell ref="B2:O2"/>
    <mergeCell ref="B3:O3"/>
    <mergeCell ref="C4:N4"/>
    <mergeCell ref="C5:N5"/>
    <mergeCell ref="C7:D7"/>
    <mergeCell ref="C8:D8"/>
    <mergeCell ref="I8:J8"/>
    <mergeCell ref="C9:D9"/>
    <mergeCell ref="I9:J9"/>
  </mergeCells>
  <conditionalFormatting sqref="AA16">
    <cfRule type="cellIs" dxfId="84" priority="2" operator="equal">
      <formula>"Unbalanced"</formula>
    </cfRule>
  </conditionalFormatting>
  <conditionalFormatting sqref="F81 L16">
    <cfRule type="cellIs" dxfId="83" priority="3" operator="equal">
      <formula>"Non équilibré"</formula>
    </cfRule>
    <cfRule type="cellIs" dxfId="82" priority="4" operator="equal">
      <formula>"Unbalanced"</formula>
    </cfRule>
  </conditionalFormatting>
  <conditionalFormatting sqref="F29">
    <cfRule type="cellIs" dxfId="81" priority="5" operator="equal">
      <formula>"Non équilibré"</formula>
    </cfRule>
    <cfRule type="cellIs" dxfId="80" priority="6" operator="equal">
      <formula>"Unbalanced"</formula>
    </cfRule>
  </conditionalFormatting>
  <conditionalFormatting sqref="M29">
    <cfRule type="cellIs" dxfId="79" priority="7" operator="equal">
      <formula>"Non équilibré"</formula>
    </cfRule>
    <cfRule type="cellIs" dxfId="78" priority="8" operator="equal">
      <formula>"Unbalanced"</formula>
    </cfRule>
  </conditionalFormatting>
  <conditionalFormatting sqref="L55">
    <cfRule type="cellIs" dxfId="77" priority="9" operator="equal">
      <formula>"Non équilibré"</formula>
    </cfRule>
    <cfRule type="cellIs" dxfId="76" priority="10" operator="equal">
      <formula>"Unbalanced"</formula>
    </cfRule>
  </conditionalFormatting>
  <conditionalFormatting sqref="F68">
    <cfRule type="cellIs" dxfId="75" priority="11" operator="equal">
      <formula>"Non équilibré"</formula>
    </cfRule>
    <cfRule type="cellIs" dxfId="74" priority="12" operator="equal">
      <formula>"Unbalanced"</formula>
    </cfRule>
  </conditionalFormatting>
  <conditionalFormatting sqref="M68">
    <cfRule type="cellIs" dxfId="73" priority="13" operator="equal">
      <formula>"Non équilibré"</formula>
    </cfRule>
    <cfRule type="cellIs" dxfId="72" priority="14" operator="equal">
      <formula>"Unbalanced"</formula>
    </cfRule>
  </conditionalFormatting>
  <conditionalFormatting sqref="M81">
    <cfRule type="cellIs" dxfId="71" priority="15" operator="equal">
      <formula>"Non équilibré"</formula>
    </cfRule>
    <cfRule type="cellIs" dxfId="70" priority="16" operator="equal">
      <formula>"Unbalanced"</formula>
    </cfRule>
  </conditionalFormatting>
  <conditionalFormatting sqref="F94">
    <cfRule type="cellIs" dxfId="69" priority="17" operator="equal">
      <formula>"Non équilibré"</formula>
    </cfRule>
    <cfRule type="cellIs" dxfId="68" priority="18" operator="equal">
      <formula>"Unbalanced"</formula>
    </cfRule>
  </conditionalFormatting>
  <conditionalFormatting sqref="M94">
    <cfRule type="cellIs" dxfId="67" priority="19" operator="equal">
      <formula>"Non équilibré"</formula>
    </cfRule>
    <cfRule type="cellIs" dxfId="66" priority="20" operator="equal">
      <formula>"Unbalanced"</formula>
    </cfRule>
  </conditionalFormatting>
  <conditionalFormatting sqref="F107">
    <cfRule type="cellIs" dxfId="65" priority="21" operator="equal">
      <formula>"Non équilibré"</formula>
    </cfRule>
    <cfRule type="cellIs" dxfId="64" priority="22" operator="equal">
      <formula>"Unbalanced"</formula>
    </cfRule>
  </conditionalFormatting>
  <conditionalFormatting sqref="M107">
    <cfRule type="cellIs" dxfId="63" priority="23" operator="equal">
      <formula>"Non équilibré"</formula>
    </cfRule>
    <cfRule type="cellIs" dxfId="62" priority="24" operator="equal">
      <formula>"Unbalanced"</formula>
    </cfRule>
  </conditionalFormatting>
  <conditionalFormatting sqref="F120">
    <cfRule type="cellIs" dxfId="61" priority="25" operator="equal">
      <formula>"Non équilibré"</formula>
    </cfRule>
    <cfRule type="cellIs" dxfId="60" priority="26" operator="equal">
      <formula>"Unbalanced"</formula>
    </cfRule>
  </conditionalFormatting>
  <conditionalFormatting sqref="M120">
    <cfRule type="cellIs" dxfId="59" priority="27" operator="equal">
      <formula>"Non équilibré"</formula>
    </cfRule>
    <cfRule type="cellIs" dxfId="58" priority="28" operator="equal">
      <formula>"Unbalanced"</formula>
    </cfRule>
  </conditionalFormatting>
  <conditionalFormatting sqref="F42">
    <cfRule type="cellIs" dxfId="57" priority="29" operator="equal">
      <formula>"Non équilibré"</formula>
    </cfRule>
    <cfRule type="cellIs" dxfId="56" priority="30" operator="equal">
      <formula>"Unbalanced"</formula>
    </cfRule>
  </conditionalFormatting>
  <conditionalFormatting sqref="M42">
    <cfRule type="cellIs" dxfId="55" priority="31" operator="equal">
      <formula>"Non équilibré"</formula>
    </cfRule>
    <cfRule type="cellIs" dxfId="54" priority="32" operator="equal">
      <formula>"Unbalanced"</formula>
    </cfRule>
  </conditionalFormatting>
  <conditionalFormatting sqref="F55">
    <cfRule type="cellIs" dxfId="53" priority="33" operator="equal">
      <formula>"Non équilibré"</formula>
    </cfRule>
    <cfRule type="cellIs" dxfId="52" priority="34" operator="equal">
      <formula>"Unbalanced"</formula>
    </cfRule>
  </conditionalFormatting>
  <printOptions horizontalCentered="1"/>
  <pageMargins left="0.55138888888888904" right="0.15763888888888899" top="0.31527777777777799" bottom="0.35416666666666702" header="0.15763888888888899" footer="0.15763888888888899"/>
  <pageSetup scale="45" orientation="portrait" horizontalDpi="300" verticalDpi="300"/>
  <headerFooter>
    <oddHeader>&amp;C&amp;"Arial,Bold"&amp;28</oddHeader>
    <oddFooter>&amp;L&amp;D&amp;R&amp;P/&amp;N</oddFooter>
  </headerFooter>
  <rowBreaks count="1" manualBreakCount="1">
    <brk id="70" max="16383" man="1"/>
  </row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5" tint="-0.499984740745262"/>
    <pageSetUpPr fitToPage="1"/>
  </sheetPr>
  <dimension ref="A1:AMJ228"/>
  <sheetViews>
    <sheetView showGridLines="0" showRowColHeaders="0" showZeros="0" zoomScale="85" zoomScaleNormal="85" zoomScalePageLayoutView="70" workbookViewId="0">
      <pane ySplit="8" topLeftCell="A9" activePane="bottomLeft" state="frozen"/>
      <selection pane="bottomLeft" activeCell="G15" sqref="G15"/>
    </sheetView>
  </sheetViews>
  <sheetFormatPr defaultColWidth="11.42578125" defaultRowHeight="12.75" x14ac:dyDescent="0.2"/>
  <cols>
    <col min="1" max="1" width="8.85546875" style="1" customWidth="1"/>
    <col min="2" max="2" width="6.5703125" style="703" customWidth="1"/>
    <col min="3" max="3" width="6.5703125" style="142" customWidth="1"/>
    <col min="4" max="4" width="8.85546875" style="142" customWidth="1"/>
    <col min="5" max="5" width="66.28515625" style="704" customWidth="1"/>
    <col min="6" max="6" width="37.85546875" style="705" customWidth="1"/>
    <col min="7" max="7" width="16.7109375" style="705" customWidth="1"/>
    <col min="8" max="8" width="19.140625" style="706" customWidth="1"/>
    <col min="9" max="9" width="19.140625" style="703" customWidth="1"/>
    <col min="10" max="10" width="19.140625" style="706" customWidth="1"/>
    <col min="11" max="11" width="1.42578125" style="1" customWidth="1"/>
    <col min="12" max="12" width="2.7109375" style="1" hidden="1" customWidth="1"/>
    <col min="13" max="13" width="16.28515625" style="1" customWidth="1"/>
    <col min="14" max="14" width="24.140625" style="1" customWidth="1"/>
    <col min="15" max="15" width="2.7109375" style="1" customWidth="1"/>
    <col min="16" max="16" width="36.85546875" style="1" hidden="1" customWidth="1"/>
    <col min="17" max="245" width="9.140625" style="1" customWidth="1"/>
    <col min="246" max="1024" width="11.42578125" style="1"/>
  </cols>
  <sheetData>
    <row r="1" spans="2:16" ht="33.75" customHeight="1" x14ac:dyDescent="0.4">
      <c r="B1" s="1452" t="str">
        <f>IF(K1=2,"Suivi du budget","Budget Tracker")</f>
        <v>Budget Tracker</v>
      </c>
      <c r="C1" s="1452"/>
      <c r="D1" s="1452"/>
      <c r="E1" s="1452"/>
      <c r="F1" s="1452"/>
      <c r="G1" s="1452"/>
      <c r="H1" s="1452"/>
      <c r="I1" s="1452"/>
      <c r="J1" s="1452"/>
      <c r="K1" s="152">
        <f>'Data Set up'!K10</f>
        <v>1</v>
      </c>
      <c r="L1" s="707" t="str">
        <f>IF(H60=H142,"Y","N")</f>
        <v>Y</v>
      </c>
      <c r="M1" s="1594" t="str">
        <f>IF(K1=2,"Totaux","Total")</f>
        <v>Total</v>
      </c>
      <c r="N1" s="1594"/>
      <c r="O1" s="708"/>
    </row>
    <row r="2" spans="2:16" ht="33.75" customHeight="1" x14ac:dyDescent="0.2">
      <c r="B2" s="1569">
        <f>'Data Set up'!B2:I2</f>
        <v>0</v>
      </c>
      <c r="C2" s="1569"/>
      <c r="D2" s="1569"/>
      <c r="E2" s="1569"/>
      <c r="F2" s="1569"/>
      <c r="G2" s="1569"/>
      <c r="H2" s="1569"/>
      <c r="I2" s="1569"/>
      <c r="J2" s="1569"/>
      <c r="K2" s="152"/>
      <c r="L2" s="1595" t="str">
        <f>IF(K1=2,"Revenus","Revenues")</f>
        <v>Revenues</v>
      </c>
      <c r="M2" s="1595"/>
      <c r="N2" s="1449">
        <f>H60</f>
        <v>0</v>
      </c>
      <c r="O2" s="708"/>
    </row>
    <row r="3" spans="2:16" ht="33" customHeight="1" x14ac:dyDescent="0.2">
      <c r="B3" s="1454" t="str">
        <f>'Acct Detailed Reconcil'!B3:O3</f>
        <v>Reconciliated Accounts Details</v>
      </c>
      <c r="C3" s="1454"/>
      <c r="D3" s="1454"/>
      <c r="E3" s="1454"/>
      <c r="F3" s="1454"/>
      <c r="G3" s="1454"/>
      <c r="H3" s="1454"/>
      <c r="I3" s="1454"/>
      <c r="J3" s="1454"/>
      <c r="L3" s="1595" t="str">
        <f>IF(K1=2,"Dépenses","Expenses")</f>
        <v>Expenses</v>
      </c>
      <c r="M3" s="1595"/>
      <c r="N3" s="1449">
        <f>H142</f>
        <v>0</v>
      </c>
      <c r="O3" s="708"/>
    </row>
    <row r="4" spans="2:16" ht="8.25" customHeight="1" x14ac:dyDescent="0.2">
      <c r="B4" s="709"/>
      <c r="F4" s="710"/>
      <c r="G4" s="711"/>
      <c r="H4" s="1596"/>
      <c r="I4" s="1596"/>
      <c r="J4" s="1596"/>
    </row>
    <row r="5" spans="2:16" s="1" customFormat="1" ht="12" hidden="1" customHeight="1" x14ac:dyDescent="0.2">
      <c r="E5" s="710"/>
      <c r="F5" s="710"/>
      <c r="G5" s="711"/>
      <c r="H5" s="148"/>
      <c r="I5" s="703"/>
      <c r="J5" s="712"/>
    </row>
    <row r="6" spans="2:16" s="713" customFormat="1" ht="35.25" customHeight="1" x14ac:dyDescent="0.2">
      <c r="B6" s="1597" t="s">
        <v>372</v>
      </c>
      <c r="C6" s="1597"/>
      <c r="D6" s="714"/>
      <c r="E6" s="715"/>
      <c r="F6" s="716" t="s">
        <v>373</v>
      </c>
      <c r="G6" s="717"/>
      <c r="H6" s="718"/>
      <c r="I6" s="1598" t="str">
        <f>IF(K1=2,"Inscrivez votre budget approuvé dans cette colonne","Fill in your approved budget in this column")</f>
        <v>Fill in your approved budget in this column</v>
      </c>
      <c r="J6" s="1598"/>
      <c r="L6" s="1599" t="str">
        <f>IF($K$1=2,IF(H60=H142,"BUDGET ÉQUILIBRÉ","BUDGET NON ÉQUILIBRÉ"),IF(H60=H142,"BALANCED BUDGET","UNBALANCED BUDGET"))</f>
        <v>BALANCED BUDGET</v>
      </c>
      <c r="M6" s="1599"/>
      <c r="N6" s="1599"/>
      <c r="O6" s="1599"/>
    </row>
    <row r="7" spans="2:16" s="80" customFormat="1" ht="39" customHeight="1" x14ac:dyDescent="0.2">
      <c r="B7" s="719" t="str">
        <f>IF(K1=2,"Catégories","ACC
Descr")</f>
        <v>ACC
Descr</v>
      </c>
      <c r="C7" s="720" t="s">
        <v>374</v>
      </c>
      <c r="D7" s="720"/>
      <c r="E7" s="720" t="s">
        <v>375</v>
      </c>
      <c r="F7" s="720" t="str">
        <f>IF(K1=2,"Détails (exemples)","Details (examples)")</f>
        <v>Details (examples)</v>
      </c>
      <c r="G7" s="720"/>
      <c r="H7" s="721" t="str">
        <f>IF(K1=2,"Budget 
(cette année)","Budget
(this year)")</f>
        <v>Budget
(this year)</v>
      </c>
      <c r="I7" s="720" t="str">
        <f>IF(K1=2,"Réel 
(cette année)","Actuals
(this year)")</f>
        <v>Actuals
(this year)</v>
      </c>
      <c r="J7" s="722" t="str">
        <f>IF(K1=2,"Différentiel","Differential")</f>
        <v>Differential</v>
      </c>
      <c r="L7" s="1599"/>
      <c r="M7" s="1599"/>
      <c r="N7" s="1599"/>
      <c r="O7" s="1599"/>
    </row>
    <row r="8" spans="2:16" s="80" customFormat="1" ht="23.25" customHeight="1" x14ac:dyDescent="0.2">
      <c r="B8" s="1600"/>
      <c r="C8" s="1600"/>
      <c r="D8" s="1600"/>
      <c r="E8" s="1600"/>
      <c r="F8" s="1600"/>
      <c r="G8" s="1600"/>
      <c r="H8" s="1600"/>
      <c r="I8" s="1600"/>
      <c r="J8" s="1600"/>
      <c r="M8" s="723" t="str">
        <f>IF(K1=2,"Différentiel","Differential")</f>
        <v>Differential</v>
      </c>
      <c r="N8" s="1450">
        <f>N2-N3</f>
        <v>0</v>
      </c>
      <c r="O8" s="724"/>
    </row>
    <row r="9" spans="2:16" s="80" customFormat="1" ht="23.25" customHeight="1" x14ac:dyDescent="0.2">
      <c r="B9" s="1601" t="str">
        <f>IF(K1=2,"Revenus","Income Items")</f>
        <v>Income Items</v>
      </c>
      <c r="C9" s="1601"/>
      <c r="D9" s="1601"/>
      <c r="E9" s="1601"/>
      <c r="F9" s="1601"/>
      <c r="G9" s="1601"/>
      <c r="H9" s="1601"/>
      <c r="I9" s="1601"/>
      <c r="J9" s="1601"/>
      <c r="M9" s="725"/>
      <c r="N9" s="726"/>
      <c r="O9" s="727"/>
    </row>
    <row r="10" spans="2:16" s="80" customFormat="1" ht="33" customHeight="1" x14ac:dyDescent="0.2">
      <c r="B10" s="1602" t="str">
        <f>CONCATENATE('Revenue Jrnl'!Q4," - ",'Revenue Jrnl'!Q5)</f>
        <v>4000 - Donations, Grants &amp; Other</v>
      </c>
      <c r="C10" s="728">
        <f>'Revenue Jrnl'!Q$6</f>
        <v>4010</v>
      </c>
      <c r="D10" s="1603"/>
      <c r="E10" s="729" t="str">
        <f>+'Revenue Jrnl'!Q8</f>
        <v>From Official Sponsor(s)</v>
      </c>
      <c r="F10" s="730" t="str">
        <f>IF(K1=2,"De l'organisation qui parraine","From Squadron's Official Sponsor only")</f>
        <v>From Squadron's Official Sponsor only</v>
      </c>
      <c r="G10" s="1604"/>
      <c r="H10" s="731"/>
      <c r="I10" s="732">
        <f>'Revenue Jrnl'!Q516</f>
        <v>0</v>
      </c>
      <c r="J10" s="733">
        <f>IF($I10=0,0,$I10-$H10)</f>
        <v>0</v>
      </c>
      <c r="L10" s="147">
        <f>IF(AND(H10=0,I10=0),1,0)</f>
        <v>1</v>
      </c>
      <c r="P10" s="72" t="str">
        <f>'Data Set up'!$F$40&amp;" "&amp;'Data Set up'!$G$40&amp;" "&amp;'Data Set up'!$G$39</f>
        <v>31 August 2024</v>
      </c>
    </row>
    <row r="11" spans="2:16" s="80" customFormat="1" ht="33" customHeight="1" x14ac:dyDescent="0.2">
      <c r="B11" s="1602"/>
      <c r="C11" s="734">
        <f>'Revenue Jrnl'!R$6</f>
        <v>4020</v>
      </c>
      <c r="D11" s="1603"/>
      <c r="E11" s="735" t="str">
        <f>+'Revenue Jrnl'!R8</f>
        <v>From Non-Sponsor Veterans Organizations &amp; their Auxiliaries</v>
      </c>
      <c r="F11" s="736" t="str">
        <f>IF(K1=2,"Légion, Ass ARC","Legion, RCAFA")</f>
        <v>Legion, RCAFA</v>
      </c>
      <c r="G11" s="1604"/>
      <c r="H11" s="737"/>
      <c r="I11" s="738">
        <f>'Revenue Jrnl'!R516</f>
        <v>0</v>
      </c>
      <c r="J11" s="739">
        <f>IF($I11=0,0,$I11-$H11)</f>
        <v>0</v>
      </c>
      <c r="L11" s="147">
        <f>IF(AND(H11=0,I11=0),1,0)</f>
        <v>1</v>
      </c>
      <c r="P11" s="740">
        <f ca="1">IF(TODAY()&lt;$P$10,TODAY(),$P$10)</f>
        <v>45154</v>
      </c>
    </row>
    <row r="12" spans="2:16" s="80" customFormat="1" ht="33" customHeight="1" x14ac:dyDescent="0.2">
      <c r="B12" s="1602"/>
      <c r="C12" s="1605">
        <f>'Revenue Jrnl'!S$6</f>
        <v>4030</v>
      </c>
      <c r="D12" s="741"/>
      <c r="E12" s="729" t="str">
        <f>+'Revenue Jrnl'!S$8</f>
        <v>From Other Service Clubs (Charities)</v>
      </c>
      <c r="F12" s="742" t="str">
        <f>IF(K1=2,"4030 TOTAL","4030 TOTAL")</f>
        <v>4030 TOTAL</v>
      </c>
      <c r="G12" s="743"/>
      <c r="H12" s="744">
        <f>SUM(G13:G16)</f>
        <v>0</v>
      </c>
      <c r="I12" s="745">
        <f>'Revenue Jrnl'!S$516</f>
        <v>0</v>
      </c>
      <c r="J12" s="746">
        <f>IF($I12=0,0,$I12-$H12)</f>
        <v>0</v>
      </c>
      <c r="L12" s="147">
        <f>IF(AND(H12=0,I12=0),1,0)</f>
        <v>1</v>
      </c>
    </row>
    <row r="13" spans="2:16" s="80" customFormat="1" ht="33" customHeight="1" x14ac:dyDescent="0.2">
      <c r="B13" s="1602"/>
      <c r="C13" s="1605"/>
      <c r="D13" s="747">
        <f>'Revenue Jrnl'!T$6</f>
        <v>4030.1</v>
      </c>
      <c r="E13" s="748" t="str">
        <f>+'Revenue Jrnl'!T$8</f>
        <v>Available (Rename)</v>
      </c>
      <c r="F13" s="749" t="str">
        <f>IF($K$1=2,'Revenue Jrnl'!T$13,'Revenue Jrnl'!T$14)</f>
        <v>Deductions from pay</v>
      </c>
      <c r="G13" s="750"/>
      <c r="H13" s="1606"/>
      <c r="I13" s="751">
        <f>'Revenue Jrnl'!T$516</f>
        <v>0</v>
      </c>
      <c r="J13" s="752">
        <f>IF($I13=0,0,$I13-$G13)</f>
        <v>0</v>
      </c>
      <c r="L13" s="147">
        <f>IF(AND(G13=0,I13=0),1,0)</f>
        <v>1</v>
      </c>
    </row>
    <row r="14" spans="2:16" s="80" customFormat="1" ht="33" customHeight="1" x14ac:dyDescent="0.2">
      <c r="B14" s="1602"/>
      <c r="C14" s="1605"/>
      <c r="D14" s="747">
        <f>'Revenue Jrnl'!U$6</f>
        <v>4030.2</v>
      </c>
      <c r="E14" s="748" t="str">
        <f>+'Revenue Jrnl'!U$8</f>
        <v>Available (Rename)</v>
      </c>
      <c r="F14" s="749">
        <f>IF($K$1=2,'Revenue Jrnl'!U$13,'Revenue Jrnl'!U$14)</f>
        <v>0</v>
      </c>
      <c r="G14" s="750"/>
      <c r="H14" s="1606"/>
      <c r="I14" s="751">
        <f>'Revenue Jrnl'!U$516</f>
        <v>0</v>
      </c>
      <c r="J14" s="752">
        <f>IF($I14=0,0,$I14-$G14)</f>
        <v>0</v>
      </c>
      <c r="L14" s="147">
        <f>IF(AND(G14=0,I14=0),1,0)</f>
        <v>1</v>
      </c>
    </row>
    <row r="15" spans="2:16" s="80" customFormat="1" ht="33" customHeight="1" x14ac:dyDescent="0.2">
      <c r="B15" s="1602"/>
      <c r="C15" s="1605"/>
      <c r="D15" s="747">
        <f>'Revenue Jrnl'!V$6</f>
        <v>4030.3</v>
      </c>
      <c r="E15" s="748" t="str">
        <f>+'Revenue Jrnl'!V$8</f>
        <v>Available (Rename)</v>
      </c>
      <c r="F15" s="749">
        <f>IF($K$1=2,'Revenue Jrnl'!V$13,'Revenue Jrnl'!V$14)</f>
        <v>0</v>
      </c>
      <c r="G15" s="750"/>
      <c r="H15" s="1606"/>
      <c r="I15" s="751">
        <f>'Revenue Jrnl'!V$516</f>
        <v>0</v>
      </c>
      <c r="J15" s="752">
        <f>IF($I15=0,0,$I15-$G15)</f>
        <v>0</v>
      </c>
      <c r="L15" s="147">
        <f>IF(AND(G15=0,I15=0),1,0)</f>
        <v>1</v>
      </c>
    </row>
    <row r="16" spans="2:16" s="80" customFormat="1" ht="33" customHeight="1" x14ac:dyDescent="0.2">
      <c r="B16" s="1602"/>
      <c r="C16" s="1605"/>
      <c r="D16" s="753">
        <f>'Revenue Jrnl'!W$6</f>
        <v>4030.4</v>
      </c>
      <c r="E16" s="754" t="str">
        <f>+'Revenue Jrnl'!W$8</f>
        <v>Available (Rename)</v>
      </c>
      <c r="F16" s="755">
        <f>IF($K$1=2,'Revenue Jrnl'!W$13,'Revenue Jrnl'!W$14)</f>
        <v>0</v>
      </c>
      <c r="G16" s="756"/>
      <c r="H16" s="1606"/>
      <c r="I16" s="757">
        <f>'Revenue Jrnl'!W$516</f>
        <v>0</v>
      </c>
      <c r="J16" s="758">
        <f>IF($I16=0,0,$I16-$G16)</f>
        <v>0</v>
      </c>
      <c r="L16" s="147">
        <f>IF(AND(G16=0,I16=0),1,0)</f>
        <v>1</v>
      </c>
    </row>
    <row r="17" spans="1:12" s="80" customFormat="1" ht="33" customHeight="1" x14ac:dyDescent="0.2">
      <c r="B17" s="1602"/>
      <c r="C17" s="759">
        <f>'Revenue Jrnl'!X$6</f>
        <v>4040</v>
      </c>
      <c r="D17" s="1607"/>
      <c r="E17" s="760" t="str">
        <f>+'Revenue Jrnl'!X8</f>
        <v>Specific Purpose Non-DND Grants</v>
      </c>
      <c r="F17" s="761" t="str">
        <f>IF(K1=2,"Subvention spéciale pour projet","Special grant for a project")</f>
        <v>Special grant for a project</v>
      </c>
      <c r="G17" s="1607"/>
      <c r="H17" s="762"/>
      <c r="I17" s="763">
        <f>'Revenue Jrnl'!X516</f>
        <v>0</v>
      </c>
      <c r="J17" s="764">
        <f t="shared" ref="J17:J58" si="0">IF($I17=0,0,$I17-$H17)</f>
        <v>0</v>
      </c>
      <c r="L17" s="147">
        <f>IF(AND(H17=0,I17=0),1,0)</f>
        <v>1</v>
      </c>
    </row>
    <row r="18" spans="1:12" s="80" customFormat="1" ht="33" customHeight="1" x14ac:dyDescent="0.2">
      <c r="B18" s="1602"/>
      <c r="C18" s="518">
        <f>'Revenue Jrnl'!Y$6</f>
        <v>4050</v>
      </c>
      <c r="D18" s="1607"/>
      <c r="E18" s="765" t="str">
        <f>+'Revenue Jrnl'!Y8</f>
        <v>Bequests and Such</v>
      </c>
      <c r="F18" s="766" t="str">
        <f>IF(K1=2,"Leg testamentaire","Money left in wills")</f>
        <v>Money left in wills</v>
      </c>
      <c r="G18" s="1607"/>
      <c r="H18" s="750"/>
      <c r="I18" s="751">
        <f>'Revenue Jrnl'!Y516</f>
        <v>0</v>
      </c>
      <c r="J18" s="752">
        <f t="shared" si="0"/>
        <v>0</v>
      </c>
      <c r="L18" s="147">
        <f>IF(AND(H18=0,I18=0),1,0)</f>
        <v>1</v>
      </c>
    </row>
    <row r="19" spans="1:12" s="80" customFormat="1" ht="33" customHeight="1" x14ac:dyDescent="0.2">
      <c r="B19" s="1602"/>
      <c r="C19" s="518">
        <f>'Revenue Jrnl'!Z$6</f>
        <v>4060</v>
      </c>
      <c r="D19" s="1607"/>
      <c r="E19" s="765" t="str">
        <f>+'Revenue Jrnl'!Z8</f>
        <v>Other Non-Tax Receipted Donations</v>
      </c>
      <c r="F19" s="766"/>
      <c r="G19" s="1607"/>
      <c r="H19" s="750"/>
      <c r="I19" s="751">
        <f>'Revenue Jrnl'!Z516</f>
        <v>0</v>
      </c>
      <c r="J19" s="752">
        <f t="shared" si="0"/>
        <v>0</v>
      </c>
      <c r="L19" s="147">
        <f>IF(AND(H19=0,I19=0),1,0)</f>
        <v>1</v>
      </c>
    </row>
    <row r="20" spans="1:12" s="80" customFormat="1" ht="33" customHeight="1" x14ac:dyDescent="0.2">
      <c r="B20" s="1602"/>
      <c r="C20" s="518">
        <f>'Revenue Jrnl'!AA$6</f>
        <v>4070</v>
      </c>
      <c r="D20" s="1607"/>
      <c r="E20" s="765" t="str">
        <f>+'Revenue Jrnl'!AA8</f>
        <v>Other Tax Receipted Donations</v>
      </c>
      <c r="F20" s="766"/>
      <c r="G20" s="1607"/>
      <c r="H20" s="750"/>
      <c r="I20" s="751">
        <f>'Revenue Jrnl'!AA516</f>
        <v>0</v>
      </c>
      <c r="J20" s="752">
        <f t="shared" si="0"/>
        <v>0</v>
      </c>
      <c r="L20" s="147">
        <f>IF(AND(H20=0,I20=0),1,0)</f>
        <v>1</v>
      </c>
    </row>
    <row r="21" spans="1:12" s="80" customFormat="1" ht="33" customHeight="1" x14ac:dyDescent="0.2">
      <c r="B21" s="1602"/>
      <c r="C21" s="518">
        <f>'Revenue Jrnl'!AB$6</f>
        <v>4080</v>
      </c>
      <c r="D21" s="1607"/>
      <c r="E21" s="765" t="str">
        <f>+'Revenue Jrnl'!AB8</f>
        <v>Available (Rename)</v>
      </c>
      <c r="F21" s="766">
        <f>IF($K$1=2,'Revenue Jrnl'!AB$13,'Revenue Jrnl'!AB$14)</f>
        <v>0</v>
      </c>
      <c r="G21" s="1607"/>
      <c r="H21" s="750"/>
      <c r="I21" s="751">
        <f>'Revenue Jrnl'!AB516</f>
        <v>0</v>
      </c>
      <c r="J21" s="752">
        <f t="shared" si="0"/>
        <v>0</v>
      </c>
      <c r="L21" s="147">
        <f>IF(AND(H21=0,I21=0),1,0)</f>
        <v>1</v>
      </c>
    </row>
    <row r="22" spans="1:12" s="80" customFormat="1" ht="33" customHeight="1" x14ac:dyDescent="0.2">
      <c r="B22" s="1602"/>
      <c r="C22" s="767">
        <f>'Revenue Jrnl'!AC$6</f>
        <v>4090</v>
      </c>
      <c r="D22" s="1607"/>
      <c r="E22" s="768" t="str">
        <f>+'Revenue Jrnl'!AC8</f>
        <v>Available (Rename)</v>
      </c>
      <c r="F22" s="769">
        <f>IF($K$1=2,'Revenue Jrnl'!AC$13,'Revenue Jrnl'!AC$14)</f>
        <v>0</v>
      </c>
      <c r="G22" s="1607"/>
      <c r="H22" s="770"/>
      <c r="I22" s="751">
        <f>'Revenue Jrnl'!AB516</f>
        <v>0</v>
      </c>
      <c r="J22" s="752">
        <f t="shared" si="0"/>
        <v>0</v>
      </c>
      <c r="L22" s="147">
        <v>0</v>
      </c>
    </row>
    <row r="23" spans="1:12" s="80" customFormat="1" ht="33" customHeight="1" x14ac:dyDescent="0.2">
      <c r="B23" s="1602" t="str">
        <f>CONCATENATE('Revenue Jrnl'!AD4," - ",'Revenue Jrnl'!AD5)</f>
        <v>4200 - Gaming &amp; Lotteries Fundraising</v>
      </c>
      <c r="C23" s="728">
        <f>'Revenue Jrnl'!AD$6</f>
        <v>4210</v>
      </c>
      <c r="D23" s="1603"/>
      <c r="E23" s="729" t="str">
        <f>+'Revenue Jrnl'!AD8</f>
        <v>Sqn Lottery/Raffle</v>
      </c>
      <c r="F23" s="771">
        <f>IF($K$1=2,'Revenue Jrnl'!AD$13,'Revenue Jrnl'!AD$14)</f>
        <v>0</v>
      </c>
      <c r="G23" s="1603"/>
      <c r="H23" s="731"/>
      <c r="I23" s="732">
        <f>'Revenue Jrnl'!AD516</f>
        <v>0</v>
      </c>
      <c r="J23" s="733">
        <f t="shared" si="0"/>
        <v>0</v>
      </c>
      <c r="L23" s="147">
        <f t="shared" ref="L23:L39" si="1">IF(AND(H23=0,I23=0),1,0)</f>
        <v>1</v>
      </c>
    </row>
    <row r="24" spans="1:12" s="80" customFormat="1" ht="33" customHeight="1" x14ac:dyDescent="0.2">
      <c r="A24" s="772"/>
      <c r="B24" s="1602"/>
      <c r="C24" s="518">
        <f>'Revenue Jrnl'!AE$6</f>
        <v>4220</v>
      </c>
      <c r="D24" s="1603"/>
      <c r="E24" s="765" t="str">
        <f>+'Revenue Jrnl'!AE8</f>
        <v>Bingo/Casino Income</v>
      </c>
      <c r="F24" s="773">
        <f>IF($K$1=2,'Revenue Jrnl'!AE$13,'Revenue Jrnl'!AE$14)</f>
        <v>0</v>
      </c>
      <c r="G24" s="1603"/>
      <c r="H24" s="750"/>
      <c r="I24" s="751">
        <f>'Revenue Jrnl'!AE516</f>
        <v>0</v>
      </c>
      <c r="J24" s="752">
        <f t="shared" si="0"/>
        <v>0</v>
      </c>
      <c r="L24" s="147">
        <f t="shared" si="1"/>
        <v>1</v>
      </c>
    </row>
    <row r="25" spans="1:12" s="80" customFormat="1" ht="33" customHeight="1" x14ac:dyDescent="0.2">
      <c r="A25" s="772"/>
      <c r="B25" s="1602"/>
      <c r="C25" s="518">
        <f>'Revenue Jrnl'!AF$6</f>
        <v>4230</v>
      </c>
      <c r="D25" s="1603"/>
      <c r="E25" s="765" t="str">
        <f>+'Revenue Jrnl'!AF8</f>
        <v>Available (Rename)</v>
      </c>
      <c r="F25" s="773">
        <f>IF($K$1=2,'Revenue Jrnl'!AF$13,'Revenue Jrnl'!AF$14)</f>
        <v>0</v>
      </c>
      <c r="G25" s="1603"/>
      <c r="H25" s="750"/>
      <c r="I25" s="751">
        <f>'Revenue Jrnl'!AF516</f>
        <v>0</v>
      </c>
      <c r="J25" s="752">
        <f t="shared" si="0"/>
        <v>0</v>
      </c>
      <c r="L25" s="147">
        <f t="shared" si="1"/>
        <v>1</v>
      </c>
    </row>
    <row r="26" spans="1:12" s="80" customFormat="1" ht="33" customHeight="1" x14ac:dyDescent="0.2">
      <c r="A26" s="772"/>
      <c r="B26" s="1602"/>
      <c r="C26" s="518">
        <f>'Revenue Jrnl'!AG$6</f>
        <v>4240</v>
      </c>
      <c r="D26" s="1603"/>
      <c r="E26" s="765" t="str">
        <f>+'Revenue Jrnl'!AG8</f>
        <v>Available (Rename)</v>
      </c>
      <c r="F26" s="773">
        <f>IF($K$1=2,'Revenue Jrnl'!AG$13,'Revenue Jrnl'!AG$14)</f>
        <v>0</v>
      </c>
      <c r="G26" s="1603"/>
      <c r="H26" s="750"/>
      <c r="I26" s="751">
        <f>'Revenue Jrnl'!AG516</f>
        <v>0</v>
      </c>
      <c r="J26" s="752">
        <f t="shared" si="0"/>
        <v>0</v>
      </c>
      <c r="L26" s="147">
        <f t="shared" si="1"/>
        <v>1</v>
      </c>
    </row>
    <row r="27" spans="1:12" s="80" customFormat="1" ht="33" customHeight="1" x14ac:dyDescent="0.2">
      <c r="A27" s="772"/>
      <c r="B27" s="1602"/>
      <c r="C27" s="518">
        <f>'Revenue Jrnl'!AH$6</f>
        <v>4250</v>
      </c>
      <c r="D27" s="1603"/>
      <c r="E27" s="765" t="str">
        <f>+'Revenue Jrnl'!AH8</f>
        <v>Available (Rename)</v>
      </c>
      <c r="F27" s="773">
        <f>IF($K$1=2,'Revenue Jrnl'!AH$13,'Revenue Jrnl'!AH$14)</f>
        <v>0</v>
      </c>
      <c r="G27" s="1603"/>
      <c r="H27" s="750"/>
      <c r="I27" s="751">
        <f>'Revenue Jrnl'!AH516</f>
        <v>0</v>
      </c>
      <c r="J27" s="752">
        <f t="shared" si="0"/>
        <v>0</v>
      </c>
      <c r="L27" s="147">
        <f t="shared" si="1"/>
        <v>1</v>
      </c>
    </row>
    <row r="28" spans="1:12" s="80" customFormat="1" ht="33" customHeight="1" x14ac:dyDescent="0.2">
      <c r="A28" s="772"/>
      <c r="B28" s="1602"/>
      <c r="C28" s="518">
        <f>'Revenue Jrnl'!AI$6</f>
        <v>4260</v>
      </c>
      <c r="D28" s="1603"/>
      <c r="E28" s="765" t="str">
        <f>+'Revenue Jrnl'!AI8</f>
        <v>Available (Rename)</v>
      </c>
      <c r="F28" s="773">
        <f>IF($K$1=2,'Revenue Jrnl'!AI$13,'Revenue Jrnl'!AI$14)</f>
        <v>0</v>
      </c>
      <c r="G28" s="1603"/>
      <c r="H28" s="750"/>
      <c r="I28" s="751">
        <f>'Revenue Jrnl'!AI516</f>
        <v>0</v>
      </c>
      <c r="J28" s="752">
        <f t="shared" si="0"/>
        <v>0</v>
      </c>
      <c r="L28" s="147">
        <f t="shared" si="1"/>
        <v>1</v>
      </c>
    </row>
    <row r="29" spans="1:12" s="80" customFormat="1" ht="33" customHeight="1" x14ac:dyDescent="0.2">
      <c r="A29" s="772"/>
      <c r="B29" s="1602"/>
      <c r="C29" s="518">
        <f>'Revenue Jrnl'!AJ$6</f>
        <v>4270</v>
      </c>
      <c r="D29" s="1603"/>
      <c r="E29" s="765" t="str">
        <f>+'Revenue Jrnl'!AJ8</f>
        <v>Available (Rename)</v>
      </c>
      <c r="F29" s="773">
        <f>IF($K$1=2,'Revenue Jrnl'!AJ$13,'Revenue Jrnl'!AJ$14)</f>
        <v>0</v>
      </c>
      <c r="G29" s="1603"/>
      <c r="H29" s="750"/>
      <c r="I29" s="751">
        <f>'Revenue Jrnl'!AJ516</f>
        <v>0</v>
      </c>
      <c r="J29" s="752">
        <f t="shared" si="0"/>
        <v>0</v>
      </c>
      <c r="L29" s="147">
        <f t="shared" si="1"/>
        <v>1</v>
      </c>
    </row>
    <row r="30" spans="1:12" s="80" customFormat="1" ht="33" customHeight="1" x14ac:dyDescent="0.2">
      <c r="A30" s="772"/>
      <c r="B30" s="1602"/>
      <c r="C30" s="518">
        <f>'Revenue Jrnl'!AK$6</f>
        <v>4280</v>
      </c>
      <c r="D30" s="1603"/>
      <c r="E30" s="765" t="str">
        <f>+'Revenue Jrnl'!AK8</f>
        <v>Available (Rename)</v>
      </c>
      <c r="F30" s="773">
        <f>IF($K$1=2,'Revenue Jrnl'!AK$13,'Revenue Jrnl'!AK$14)</f>
        <v>0</v>
      </c>
      <c r="G30" s="1603"/>
      <c r="H30" s="750"/>
      <c r="I30" s="751">
        <f>'Revenue Jrnl'!AK516</f>
        <v>0</v>
      </c>
      <c r="J30" s="752">
        <f t="shared" si="0"/>
        <v>0</v>
      </c>
      <c r="L30" s="147">
        <f t="shared" si="1"/>
        <v>1</v>
      </c>
    </row>
    <row r="31" spans="1:12" s="80" customFormat="1" ht="33" customHeight="1" x14ac:dyDescent="0.2">
      <c r="A31" s="772"/>
      <c r="B31" s="1602"/>
      <c r="C31" s="767">
        <f>'Revenue Jrnl'!AL$6</f>
        <v>4290</v>
      </c>
      <c r="D31" s="1603"/>
      <c r="E31" s="768" t="str">
        <f>+'Revenue Jrnl'!AL8</f>
        <v>Available (Rename)</v>
      </c>
      <c r="F31" s="769">
        <f>IF($K$1=2,'Revenue Jrnl'!AL$13,'Revenue Jrnl'!AL$14)</f>
        <v>0</v>
      </c>
      <c r="G31" s="1603"/>
      <c r="H31" s="770"/>
      <c r="I31" s="751">
        <f>'Revenue Jrnl'!AL516</f>
        <v>0</v>
      </c>
      <c r="J31" s="752">
        <f t="shared" si="0"/>
        <v>0</v>
      </c>
      <c r="L31" s="147">
        <f t="shared" si="1"/>
        <v>1</v>
      </c>
    </row>
    <row r="32" spans="1:12" s="80" customFormat="1" ht="33" customHeight="1" x14ac:dyDescent="0.2">
      <c r="B32" s="1602" t="str">
        <f>CONCATENATE('Revenue Jrnl'!AM4," - ",'Revenue Jrnl'!AM5)</f>
        <v>4400 - Other Fundraising</v>
      </c>
      <c r="C32" s="728">
        <f>'Revenue Jrnl'!AM$6</f>
        <v>4410</v>
      </c>
      <c r="D32" s="1603"/>
      <c r="E32" s="729" t="str">
        <f>+'Revenue Jrnl'!AM8</f>
        <v>Tagging (Fall)</v>
      </c>
      <c r="F32" s="771">
        <f>IF($K$1=2,'Revenue Jrnl'!AM$13,'Revenue Jrnl'!AM$14)</f>
        <v>0</v>
      </c>
      <c r="G32" s="1603"/>
      <c r="H32" s="731"/>
      <c r="I32" s="732">
        <f>'Revenue Jrnl'!AM516</f>
        <v>0</v>
      </c>
      <c r="J32" s="733">
        <f t="shared" si="0"/>
        <v>0</v>
      </c>
      <c r="L32" s="147">
        <f t="shared" si="1"/>
        <v>1</v>
      </c>
    </row>
    <row r="33" spans="2:14" s="80" customFormat="1" ht="33" customHeight="1" x14ac:dyDescent="0.2">
      <c r="B33" s="1602"/>
      <c r="C33" s="518">
        <f>'Revenue Jrnl'!AN$6</f>
        <v>4420</v>
      </c>
      <c r="D33" s="1603"/>
      <c r="E33" s="765" t="str">
        <f>+'Revenue Jrnl'!AN8</f>
        <v>Tagging (Spring)</v>
      </c>
      <c r="F33" s="773">
        <f>IF($K$1=2,'Revenue Jrnl'!AN$13,'Revenue Jrnl'!AN$14)</f>
        <v>0</v>
      </c>
      <c r="G33" s="1603"/>
      <c r="H33" s="750"/>
      <c r="I33" s="751">
        <f>'Revenue Jrnl'!AN516</f>
        <v>0</v>
      </c>
      <c r="J33" s="752">
        <f t="shared" si="0"/>
        <v>0</v>
      </c>
      <c r="L33" s="147">
        <f t="shared" si="1"/>
        <v>1</v>
      </c>
    </row>
    <row r="34" spans="2:14" s="80" customFormat="1" ht="33" customHeight="1" x14ac:dyDescent="0.2">
      <c r="B34" s="1602"/>
      <c r="C34" s="518">
        <f>'Revenue Jrnl'!AO$6</f>
        <v>4430</v>
      </c>
      <c r="D34" s="1603"/>
      <c r="E34" s="765" t="str">
        <f>+'Revenue Jrnl'!AO8</f>
        <v>Annual Ticket Sales &amp; Such</v>
      </c>
      <c r="F34" s="773">
        <f>IF($K$1=2,'Revenue Jrnl'!AO$13,'Revenue Jrnl'!AO$14)</f>
        <v>0</v>
      </c>
      <c r="G34" s="1603"/>
      <c r="H34" s="750"/>
      <c r="I34" s="751">
        <f>'Revenue Jrnl'!AO516</f>
        <v>0</v>
      </c>
      <c r="J34" s="752">
        <f t="shared" si="0"/>
        <v>0</v>
      </c>
      <c r="L34" s="147">
        <f t="shared" si="1"/>
        <v>1</v>
      </c>
    </row>
    <row r="35" spans="2:14" s="80" customFormat="1" ht="33" customHeight="1" x14ac:dyDescent="0.2">
      <c r="B35" s="1602"/>
      <c r="C35" s="518">
        <f>'Revenue Jrnl'!AP$6</f>
        <v>4440</v>
      </c>
      <c r="D35" s="1603"/>
      <c r="E35" s="765" t="str">
        <f>+'Revenue Jrnl'!AP8</f>
        <v>Bottle Drive</v>
      </c>
      <c r="F35" s="773">
        <f>IF($K$1=2,'Revenue Jrnl'!AP$13,'Revenue Jrnl'!AP$14)</f>
        <v>0</v>
      </c>
      <c r="G35" s="1603"/>
      <c r="H35" s="750"/>
      <c r="I35" s="751">
        <f>'Revenue Jrnl'!AP516</f>
        <v>0</v>
      </c>
      <c r="J35" s="752">
        <f t="shared" si="0"/>
        <v>0</v>
      </c>
      <c r="L35" s="147">
        <f t="shared" si="1"/>
        <v>1</v>
      </c>
    </row>
    <row r="36" spans="2:14" s="80" customFormat="1" ht="33" customHeight="1" x14ac:dyDescent="0.2">
      <c r="B36" s="1602"/>
      <c r="C36" s="518">
        <f>'Revenue Jrnl'!AQ$6</f>
        <v>4450</v>
      </c>
      <c r="D36" s="1603"/>
      <c r="E36" s="765" t="str">
        <f>+'Revenue Jrnl'!AQ8</f>
        <v>Available (Rename)</v>
      </c>
      <c r="F36" s="773">
        <f>IF($K$1=2,'Revenue Jrnl'!AQ$13,'Revenue Jrnl'!AQ$14)</f>
        <v>0</v>
      </c>
      <c r="G36" s="1603"/>
      <c r="H36" s="750"/>
      <c r="I36" s="751">
        <f>'Revenue Jrnl'!AQ516</f>
        <v>0</v>
      </c>
      <c r="J36" s="752">
        <f t="shared" si="0"/>
        <v>0</v>
      </c>
      <c r="L36" s="147">
        <f t="shared" si="1"/>
        <v>1</v>
      </c>
    </row>
    <row r="37" spans="2:14" s="80" customFormat="1" ht="33" customHeight="1" x14ac:dyDescent="0.2">
      <c r="B37" s="1602"/>
      <c r="C37" s="518">
        <f>'Revenue Jrnl'!AR$6</f>
        <v>4460</v>
      </c>
      <c r="D37" s="1603"/>
      <c r="E37" s="765" t="str">
        <f>+'Revenue Jrnl'!AR8</f>
        <v>Available (Rename)</v>
      </c>
      <c r="F37" s="773">
        <f>IF($K$1=2,'Revenue Jrnl'!AR$13,'Revenue Jrnl'!AR$14)</f>
        <v>0</v>
      </c>
      <c r="G37" s="1603"/>
      <c r="H37" s="750"/>
      <c r="I37" s="751">
        <f>'Revenue Jrnl'!AR516</f>
        <v>0</v>
      </c>
      <c r="J37" s="752">
        <f t="shared" si="0"/>
        <v>0</v>
      </c>
      <c r="L37" s="147">
        <f t="shared" si="1"/>
        <v>1</v>
      </c>
    </row>
    <row r="38" spans="2:14" s="80" customFormat="1" ht="33" customHeight="1" x14ac:dyDescent="0.2">
      <c r="B38" s="1602"/>
      <c r="C38" s="518">
        <f>'Revenue Jrnl'!AS$6</f>
        <v>4470</v>
      </c>
      <c r="D38" s="1603"/>
      <c r="E38" s="765" t="str">
        <f>+'Revenue Jrnl'!AS$8</f>
        <v>Available (Rename)</v>
      </c>
      <c r="F38" s="773">
        <f>IF($K$1=2,'Revenue Jrnl'!AS$13,'Revenue Jrnl'!AS$14)</f>
        <v>0</v>
      </c>
      <c r="G38" s="1603"/>
      <c r="H38" s="750"/>
      <c r="I38" s="751">
        <f>'Revenue Jrnl'!AS$516</f>
        <v>0</v>
      </c>
      <c r="J38" s="752">
        <f t="shared" si="0"/>
        <v>0</v>
      </c>
      <c r="L38" s="147">
        <f t="shared" si="1"/>
        <v>1</v>
      </c>
    </row>
    <row r="39" spans="2:14" s="80" customFormat="1" ht="33" customHeight="1" x14ac:dyDescent="0.2">
      <c r="B39" s="1602"/>
      <c r="C39" s="518">
        <f>'Revenue Jrnl'!AT$6</f>
        <v>4480</v>
      </c>
      <c r="D39" s="1603"/>
      <c r="E39" s="765" t="str">
        <f>+'Revenue Jrnl'!AT$8</f>
        <v>Available (Rename)</v>
      </c>
      <c r="F39" s="773">
        <f>IF($K$1=2,'Revenue Jrnl'!AT$13,'Revenue Jrnl'!AT$14)</f>
        <v>0</v>
      </c>
      <c r="G39" s="1603"/>
      <c r="H39" s="750"/>
      <c r="I39" s="751">
        <f>'Revenue Jrnl'!AT$516</f>
        <v>0</v>
      </c>
      <c r="J39" s="752">
        <f t="shared" si="0"/>
        <v>0</v>
      </c>
      <c r="L39" s="147">
        <f t="shared" si="1"/>
        <v>1</v>
      </c>
      <c r="N39" s="80" t="s">
        <v>271</v>
      </c>
    </row>
    <row r="40" spans="2:14" s="80" customFormat="1" ht="33" customHeight="1" x14ac:dyDescent="0.2">
      <c r="B40" s="1602"/>
      <c r="C40" s="774">
        <f>'Revenue Jrnl'!AU$6</f>
        <v>4490</v>
      </c>
      <c r="D40" s="1603"/>
      <c r="E40" s="775" t="str">
        <f>+'Revenue Jrnl'!AU$8</f>
        <v>Available (Rename)</v>
      </c>
      <c r="F40" s="769">
        <f>IF($K$1=2,'Revenue Jrnl'!AU$13,'Revenue Jrnl'!AU$14)</f>
        <v>0</v>
      </c>
      <c r="G40" s="1603"/>
      <c r="H40" s="756"/>
      <c r="I40" s="757">
        <f>'Revenue Jrnl'!AU$516</f>
        <v>0</v>
      </c>
      <c r="J40" s="758">
        <f t="shared" si="0"/>
        <v>0</v>
      </c>
      <c r="L40" s="147">
        <v>0</v>
      </c>
    </row>
    <row r="41" spans="2:14" s="80" customFormat="1" ht="33" customHeight="1" x14ac:dyDescent="0.2">
      <c r="B41" s="1602" t="str">
        <f>CONCATENATE('Revenue Jrnl'!AV4," - ",'Revenue Jrnl'!AV5)</f>
        <v>4600 - Misc Revenues (Other than Gov't)</v>
      </c>
      <c r="C41" s="728">
        <f>'Revenue Jrnl'!AV$6</f>
        <v>4610</v>
      </c>
      <c r="D41" s="1603"/>
      <c r="E41" s="729" t="str">
        <f>+'Revenue Jrnl'!AV8</f>
        <v>Money Collected for Activities</v>
      </c>
      <c r="F41" s="730"/>
      <c r="G41" s="1603"/>
      <c r="H41" s="731"/>
      <c r="I41" s="732">
        <f>'Revenue Jrnl'!AV516</f>
        <v>0</v>
      </c>
      <c r="J41" s="733">
        <f t="shared" si="0"/>
        <v>0</v>
      </c>
      <c r="L41" s="147">
        <f t="shared" ref="L41:L48" si="2">IF(AND(H41=0,I41=0),1,0)</f>
        <v>1</v>
      </c>
    </row>
    <row r="42" spans="2:14" s="80" customFormat="1" ht="33" customHeight="1" x14ac:dyDescent="0.2">
      <c r="B42" s="1602"/>
      <c r="C42" s="518">
        <f>'Revenue Jrnl'!AW$6</f>
        <v>4620</v>
      </c>
      <c r="D42" s="1603"/>
      <c r="E42" s="765" t="str">
        <f>+'Revenue Jrnl'!AW8</f>
        <v>Refunds</v>
      </c>
      <c r="F42" s="773" t="str">
        <f>IF(K1=2,"Voyage de ski, Voyage de fin d'année, etc.","Ski trip, Year-end Trip, etc.")</f>
        <v>Ski trip, Year-end Trip, etc.</v>
      </c>
      <c r="G42" s="1603"/>
      <c r="H42" s="750"/>
      <c r="I42" s="751">
        <f>'Revenue Jrnl'!AW516</f>
        <v>0</v>
      </c>
      <c r="J42" s="752">
        <f t="shared" si="0"/>
        <v>0</v>
      </c>
      <c r="L42" s="147">
        <f t="shared" si="2"/>
        <v>1</v>
      </c>
    </row>
    <row r="43" spans="2:14" s="80" customFormat="1" ht="33" customHeight="1" x14ac:dyDescent="0.2">
      <c r="B43" s="1602"/>
      <c r="C43" s="518">
        <f>'Revenue Jrnl'!AX$6</f>
        <v>4630</v>
      </c>
      <c r="D43" s="1603"/>
      <c r="E43" s="765" t="str">
        <f>+'Revenue Jrnl'!AX8</f>
        <v>Canteen Proceeds</v>
      </c>
      <c r="F43" s="773"/>
      <c r="G43" s="1603"/>
      <c r="H43" s="750"/>
      <c r="I43" s="751">
        <f>'Revenue Jrnl'!AX516</f>
        <v>0</v>
      </c>
      <c r="J43" s="752">
        <f t="shared" si="0"/>
        <v>0</v>
      </c>
      <c r="L43" s="147">
        <f t="shared" si="2"/>
        <v>1</v>
      </c>
    </row>
    <row r="44" spans="2:14" s="80" customFormat="1" ht="33" customHeight="1" x14ac:dyDescent="0.2">
      <c r="B44" s="1602"/>
      <c r="C44" s="518">
        <f>'Revenue Jrnl'!AY$6</f>
        <v>4640</v>
      </c>
      <c r="D44" s="1603"/>
      <c r="E44" s="765" t="str">
        <f>+'Revenue Jrnl'!AY8</f>
        <v>Sale of Sqn Logo Items</v>
      </c>
      <c r="F44" s="773"/>
      <c r="G44" s="1603"/>
      <c r="H44" s="750"/>
      <c r="I44" s="751">
        <f>'Revenue Jrnl'!AY516</f>
        <v>0</v>
      </c>
      <c r="J44" s="752">
        <f t="shared" si="0"/>
        <v>0</v>
      </c>
      <c r="L44" s="147">
        <f t="shared" si="2"/>
        <v>1</v>
      </c>
    </row>
    <row r="45" spans="2:14" s="80" customFormat="1" ht="33" customHeight="1" x14ac:dyDescent="0.2">
      <c r="B45" s="1602"/>
      <c r="C45" s="518">
        <f>'Revenue Jrnl'!AZ$6</f>
        <v>4650</v>
      </c>
      <c r="D45" s="1603"/>
      <c r="E45" s="765" t="str">
        <f>+'Revenue Jrnl'!AZ8</f>
        <v>Bank &amp; Investments Interest/Income</v>
      </c>
      <c r="F45" s="773"/>
      <c r="G45" s="1603"/>
      <c r="H45" s="750"/>
      <c r="I45" s="751">
        <f>'Revenue Jrnl'!AZ516</f>
        <v>0</v>
      </c>
      <c r="J45" s="752">
        <f t="shared" si="0"/>
        <v>0</v>
      </c>
      <c r="L45" s="147">
        <f t="shared" si="2"/>
        <v>1</v>
      </c>
    </row>
    <row r="46" spans="2:14" s="80" customFormat="1" ht="33" customHeight="1" x14ac:dyDescent="0.2">
      <c r="B46" s="1602"/>
      <c r="C46" s="518">
        <f>'Revenue Jrnl'!BA$6</f>
        <v>4660</v>
      </c>
      <c r="D46" s="1603"/>
      <c r="E46" s="765" t="str">
        <f>+'Revenue Jrnl'!BA8</f>
        <v>Capital Gains</v>
      </c>
      <c r="F46" s="773"/>
      <c r="G46" s="1603"/>
      <c r="H46" s="750"/>
      <c r="I46" s="751">
        <f>'Revenue Jrnl'!BA516</f>
        <v>0</v>
      </c>
      <c r="J46" s="752">
        <f t="shared" si="0"/>
        <v>0</v>
      </c>
      <c r="L46" s="147">
        <f t="shared" si="2"/>
        <v>1</v>
      </c>
    </row>
    <row r="47" spans="2:14" s="80" customFormat="1" ht="33" customHeight="1" x14ac:dyDescent="0.2">
      <c r="B47" s="1602"/>
      <c r="C47" s="518">
        <f>'Revenue Jrnl'!BB$6</f>
        <v>4670</v>
      </c>
      <c r="D47" s="1603"/>
      <c r="E47" s="765" t="str">
        <f>+'Revenue Jrnl'!BB8</f>
        <v>Assessments</v>
      </c>
      <c r="F47" s="773">
        <f>IF($K$1=2,'Revenue Jrnl'!BB$13,'Revenue Jrnl'!BB$14)</f>
        <v>0</v>
      </c>
      <c r="G47" s="1603"/>
      <c r="H47" s="750"/>
      <c r="I47" s="751">
        <f>'Revenue Jrnl'!BB516</f>
        <v>0</v>
      </c>
      <c r="J47" s="752">
        <f t="shared" si="0"/>
        <v>0</v>
      </c>
      <c r="L47" s="147">
        <f t="shared" si="2"/>
        <v>1</v>
      </c>
    </row>
    <row r="48" spans="2:14" s="80" customFormat="1" ht="33" customHeight="1" x14ac:dyDescent="0.2">
      <c r="B48" s="1602"/>
      <c r="C48" s="518">
        <f>'Revenue Jrnl'!BC$6</f>
        <v>4680</v>
      </c>
      <c r="D48" s="1603"/>
      <c r="E48" s="765" t="str">
        <f>+'Revenue Jrnl'!BC8</f>
        <v>Rental Income</v>
      </c>
      <c r="F48" s="773">
        <f>IF($K$1=2,'Revenue Jrnl'!BC$13,'Revenue Jrnl'!BC$14)</f>
        <v>0</v>
      </c>
      <c r="G48" s="1603"/>
      <c r="H48" s="750"/>
      <c r="I48" s="751">
        <f>'Revenue Jrnl'!BC516</f>
        <v>0</v>
      </c>
      <c r="J48" s="752">
        <f t="shared" si="0"/>
        <v>0</v>
      </c>
      <c r="L48" s="147">
        <f t="shared" si="2"/>
        <v>1</v>
      </c>
    </row>
    <row r="49" spans="2:12" s="80" customFormat="1" ht="33" customHeight="1" x14ac:dyDescent="0.2">
      <c r="B49" s="1602"/>
      <c r="C49" s="774">
        <f>'Revenue Jrnl'!BD$6</f>
        <v>4690</v>
      </c>
      <c r="D49" s="1603"/>
      <c r="E49" s="775" t="str">
        <f>+'Revenue Jrnl'!BD8</f>
        <v>Available (Rename)</v>
      </c>
      <c r="F49" s="769">
        <f>IF($K$1=2,'Revenue Jrnl'!BD$13,'Revenue Jrnl'!BD$14)</f>
        <v>0</v>
      </c>
      <c r="G49" s="1603"/>
      <c r="H49" s="756"/>
      <c r="I49" s="751">
        <f>'Revenue Jrnl'!BD516</f>
        <v>0</v>
      </c>
      <c r="J49" s="752">
        <f t="shared" si="0"/>
        <v>0</v>
      </c>
      <c r="L49" s="147">
        <v>0</v>
      </c>
    </row>
    <row r="50" spans="2:12" s="80" customFormat="1" ht="33" customHeight="1" x14ac:dyDescent="0.2">
      <c r="B50" s="1602" t="str">
        <f>CONCATENATE('Revenue Jrnl'!BE4," - ",'Revenue Jrnl'!BE5)</f>
        <v>4800 - Funding &amp; Recoveries (Gov't)</v>
      </c>
      <c r="C50" s="728">
        <f>'Revenue Jrnl'!BE$6</f>
        <v>4810</v>
      </c>
      <c r="D50" s="1603"/>
      <c r="E50" s="729" t="str">
        <f>+'Revenue Jrnl'!BE$8</f>
        <v>DND Local Support Allocation (LSA)</v>
      </c>
      <c r="F50" s="771" t="str">
        <f>IF($K$1=2,'Revenue Jrnl'!BE$13,'Revenue Jrnl'!BE$14)</f>
        <v>Related to administration</v>
      </c>
      <c r="G50" s="1603"/>
      <c r="H50" s="731"/>
      <c r="I50" s="732">
        <f>'Revenue Jrnl'!BE$516</f>
        <v>0</v>
      </c>
      <c r="J50" s="733">
        <f t="shared" si="0"/>
        <v>0</v>
      </c>
      <c r="L50" s="147">
        <f t="shared" ref="L50:L57" si="3">IF(AND(H50=0,I50=0),1,0)</f>
        <v>1</v>
      </c>
    </row>
    <row r="51" spans="2:12" s="80" customFormat="1" ht="33" customHeight="1" x14ac:dyDescent="0.2">
      <c r="B51" s="1602"/>
      <c r="C51" s="518">
        <f>'Revenue Jrnl'!BF$6</f>
        <v>4820</v>
      </c>
      <c r="D51" s="1603"/>
      <c r="E51" s="765" t="str">
        <f>+'Revenue Jrnl'!BF$8</f>
        <v>DND Allocation - Mandatory and Complementary Pgm (MCP)</v>
      </c>
      <c r="F51" s="773" t="str">
        <f>IF($K$1=2,'Revenue Jrnl'!BF$13,'Revenue Jrnl'!BF$14)</f>
        <v>Related to training</v>
      </c>
      <c r="G51" s="1603"/>
      <c r="H51" s="750"/>
      <c r="I51" s="751">
        <f>'Revenue Jrnl'!BF$516</f>
        <v>0</v>
      </c>
      <c r="J51" s="752">
        <f t="shared" si="0"/>
        <v>0</v>
      </c>
      <c r="L51" s="147">
        <f t="shared" si="3"/>
        <v>1</v>
      </c>
    </row>
    <row r="52" spans="2:12" s="80" customFormat="1" ht="33" customHeight="1" x14ac:dyDescent="0.2">
      <c r="B52" s="1602"/>
      <c r="C52" s="518">
        <f>'Revenue Jrnl'!BG$6</f>
        <v>4830</v>
      </c>
      <c r="D52" s="1603"/>
      <c r="E52" s="765" t="str">
        <f>+'Revenue Jrnl'!BG$8</f>
        <v>Federal Portion - Tax Rebate</v>
      </c>
      <c r="F52" s="773"/>
      <c r="G52" s="1603"/>
      <c r="H52" s="750"/>
      <c r="I52" s="751">
        <f>'Revenue Jrnl'!BG516</f>
        <v>0</v>
      </c>
      <c r="J52" s="752">
        <f t="shared" si="0"/>
        <v>0</v>
      </c>
      <c r="L52" s="147">
        <f t="shared" si="3"/>
        <v>1</v>
      </c>
    </row>
    <row r="53" spans="2:12" s="80" customFormat="1" ht="33" customHeight="1" x14ac:dyDescent="0.2">
      <c r="B53" s="1602"/>
      <c r="C53" s="518">
        <f>'Revenue Jrnl'!BH$6</f>
        <v>4840</v>
      </c>
      <c r="D53" s="1603"/>
      <c r="E53" s="765" t="str">
        <f>+'Revenue Jrnl'!BH8</f>
        <v>Governmental Grants - Provincial</v>
      </c>
      <c r="F53" s="773"/>
      <c r="G53" s="1603"/>
      <c r="H53" s="750"/>
      <c r="I53" s="751">
        <f>'Revenue Jrnl'!BH$516</f>
        <v>0</v>
      </c>
      <c r="J53" s="752">
        <f t="shared" si="0"/>
        <v>0</v>
      </c>
      <c r="L53" s="147">
        <f t="shared" si="3"/>
        <v>1</v>
      </c>
    </row>
    <row r="54" spans="2:12" s="80" customFormat="1" ht="33" customHeight="1" x14ac:dyDescent="0.2">
      <c r="B54" s="1602"/>
      <c r="C54" s="518">
        <f>'Revenue Jrnl'!BI6</f>
        <v>4850</v>
      </c>
      <c r="D54" s="1603"/>
      <c r="E54" s="765" t="str">
        <f>+'Revenue Jrnl'!BI8</f>
        <v>Available (Rename)</v>
      </c>
      <c r="F54" s="773">
        <f>IF($K$1=2,'Revenue Jrnl'!BI$13,'Revenue Jrnl'!BI$14)</f>
        <v>0</v>
      </c>
      <c r="G54" s="1603"/>
      <c r="H54" s="750"/>
      <c r="I54" s="751">
        <f>'Revenue Jrnl'!BI$516</f>
        <v>0</v>
      </c>
      <c r="J54" s="752">
        <f t="shared" si="0"/>
        <v>0</v>
      </c>
      <c r="L54" s="147">
        <f t="shared" si="3"/>
        <v>1</v>
      </c>
    </row>
    <row r="55" spans="2:12" s="80" customFormat="1" ht="33" customHeight="1" x14ac:dyDescent="0.2">
      <c r="B55" s="1602"/>
      <c r="C55" s="518">
        <f>'Revenue Jrnl'!BJ6</f>
        <v>4860</v>
      </c>
      <c r="D55" s="1603"/>
      <c r="E55" s="765" t="str">
        <f>+'Revenue Jrnl'!BJ8</f>
        <v>Provincial Portion - Tax Rebate</v>
      </c>
      <c r="F55" s="773">
        <f>IF($K$1=2,'Revenue Jrnl'!BJ$13,'Revenue Jrnl'!BJ$14)</f>
        <v>0</v>
      </c>
      <c r="G55" s="1603"/>
      <c r="H55" s="750"/>
      <c r="I55" s="751">
        <f>'Revenue Jrnl'!BJ$516</f>
        <v>0</v>
      </c>
      <c r="J55" s="752">
        <f t="shared" si="0"/>
        <v>0</v>
      </c>
      <c r="L55" s="147">
        <f t="shared" si="3"/>
        <v>1</v>
      </c>
    </row>
    <row r="56" spans="2:12" s="80" customFormat="1" ht="33" customHeight="1" x14ac:dyDescent="0.2">
      <c r="B56" s="1602"/>
      <c r="C56" s="518">
        <f>'Revenue Jrnl'!BK6</f>
        <v>4870</v>
      </c>
      <c r="D56" s="1603"/>
      <c r="E56" s="765" t="str">
        <f>+'Revenue Jrnl'!BK8</f>
        <v>Governmental Grants - Regional/
Municipal</v>
      </c>
      <c r="F56" s="773">
        <f>IF($K$1=2,'Revenue Jrnl'!BK$13,'Revenue Jrnl'!BK$14)</f>
        <v>0</v>
      </c>
      <c r="G56" s="1603"/>
      <c r="H56" s="750"/>
      <c r="I56" s="751">
        <f>'Revenue Jrnl'!BK$516</f>
        <v>0</v>
      </c>
      <c r="J56" s="752">
        <f t="shared" si="0"/>
        <v>0</v>
      </c>
      <c r="L56" s="147">
        <f t="shared" si="3"/>
        <v>1</v>
      </c>
    </row>
    <row r="57" spans="2:12" s="80" customFormat="1" ht="33" customHeight="1" x14ac:dyDescent="0.2">
      <c r="B57" s="1602"/>
      <c r="C57" s="518">
        <f>'Revenue Jrnl'!BL$6</f>
        <v>4880</v>
      </c>
      <c r="D57" s="1603"/>
      <c r="E57" s="765" t="str">
        <f>+'Revenue Jrnl'!BL8</f>
        <v>Available (Rename)</v>
      </c>
      <c r="F57" s="773">
        <f>IF($K$1=2,'Revenue Jrnl'!BL$13,'Revenue Jrnl'!BL$14)</f>
        <v>0</v>
      </c>
      <c r="G57" s="1603"/>
      <c r="H57" s="750"/>
      <c r="I57" s="751">
        <f>'Revenue Jrnl'!BL$516</f>
        <v>0</v>
      </c>
      <c r="J57" s="752">
        <f t="shared" si="0"/>
        <v>0</v>
      </c>
      <c r="L57" s="147">
        <f t="shared" si="3"/>
        <v>1</v>
      </c>
    </row>
    <row r="58" spans="2:12" s="80" customFormat="1" ht="33" customHeight="1" x14ac:dyDescent="0.2">
      <c r="B58" s="1602"/>
      <c r="C58" s="774">
        <f>'Revenue Jrnl'!BM$6</f>
        <v>4890</v>
      </c>
      <c r="D58" s="1603"/>
      <c r="E58" s="775" t="str">
        <f>+'Revenue Jrnl'!BM8</f>
        <v>Available (Rename)</v>
      </c>
      <c r="F58" s="769">
        <f>IF($K$1=2,'Revenue Jrnl'!BM$13,'Revenue Jrnl'!BM$14)</f>
        <v>0</v>
      </c>
      <c r="G58" s="1603"/>
      <c r="H58" s="756"/>
      <c r="I58" s="757">
        <f>'Revenue Jrnl'!BM$516</f>
        <v>0</v>
      </c>
      <c r="J58" s="758">
        <f t="shared" si="0"/>
        <v>0</v>
      </c>
      <c r="L58" s="147">
        <v>0</v>
      </c>
    </row>
    <row r="59" spans="2:12" s="80" customFormat="1" ht="10.5" customHeight="1" x14ac:dyDescent="0.2">
      <c r="H59" s="776"/>
      <c r="I59" s="776"/>
      <c r="J59" s="776"/>
      <c r="L59" s="147"/>
    </row>
    <row r="60" spans="2:12" s="80" customFormat="1" ht="18.75" customHeight="1" x14ac:dyDescent="0.2">
      <c r="B60" s="155"/>
      <c r="C60" s="144"/>
      <c r="D60" s="144"/>
      <c r="E60" s="1608" t="str">
        <f>IF(K1=2,"Sous-Total","Sub-Total")</f>
        <v>Sub-Total</v>
      </c>
      <c r="F60" s="1608"/>
      <c r="G60" s="1608"/>
      <c r="H60" s="777">
        <f>SUM(H10:H12,H17:H58)</f>
        <v>0</v>
      </c>
      <c r="I60" s="777">
        <f>SUM(I10:I12,I17:I58)</f>
        <v>0</v>
      </c>
      <c r="J60" s="777">
        <f>IF($I60=0,0,$H60-$I60)</f>
        <v>0</v>
      </c>
      <c r="L60" s="147"/>
    </row>
    <row r="61" spans="2:12" s="80" customFormat="1" ht="9.75" customHeight="1" x14ac:dyDescent="0.2">
      <c r="B61" s="155"/>
      <c r="C61" s="144"/>
      <c r="D61" s="144"/>
      <c r="E61" s="778"/>
      <c r="F61" s="778"/>
      <c r="G61" s="778"/>
      <c r="H61" s="779"/>
      <c r="I61" s="779"/>
      <c r="J61" s="779"/>
      <c r="L61" s="147"/>
    </row>
    <row r="62" spans="2:12" s="80" customFormat="1" ht="24" customHeight="1" x14ac:dyDescent="0.2">
      <c r="B62" s="1609" t="str">
        <f>IF(K1=2,"Dépenses","Expense Items")</f>
        <v>Expense Items</v>
      </c>
      <c r="C62" s="1609"/>
      <c r="D62" s="1609"/>
      <c r="E62" s="1609"/>
      <c r="F62" s="1609"/>
      <c r="G62" s="1609"/>
      <c r="H62" s="1609"/>
      <c r="I62" s="1609"/>
      <c r="J62" s="1609"/>
      <c r="L62" s="147"/>
    </row>
    <row r="63" spans="2:12" s="80" customFormat="1" ht="33" customHeight="1" x14ac:dyDescent="0.2">
      <c r="B63" s="1610" t="str">
        <f>CONCATENATE('Expense Jrnl'!P4," - ",'Expense Jrnl'!P5)</f>
        <v>5000 - Administrative &amp; Operating Expenses</v>
      </c>
      <c r="C63" s="780">
        <f>'Expense Jrnl'!P$6</f>
        <v>5010</v>
      </c>
      <c r="D63" s="1603"/>
      <c r="E63" s="729" t="str">
        <f>+'Expense Jrnl'!P8</f>
        <v>Admin &amp; Office Supplies</v>
      </c>
      <c r="F63" s="771" t="str">
        <f>IF(K1=2,"Photocopie, Encre, Papeterie","Photocopies, Paper, Toner, Stationary")</f>
        <v>Photocopies, Paper, Toner, Stationary</v>
      </c>
      <c r="G63" s="1603"/>
      <c r="H63" s="731"/>
      <c r="I63" s="732">
        <f>'Expense Jrnl'!P$516</f>
        <v>0</v>
      </c>
      <c r="J63" s="733">
        <f t="shared" ref="J63:J82" si="4">IF($I63=0,0,$H63-$I63)</f>
        <v>0</v>
      </c>
      <c r="L63" s="147">
        <f t="shared" ref="L63:L80" si="5">IF(AND(H63=0,I63=0),1,0)</f>
        <v>1</v>
      </c>
    </row>
    <row r="64" spans="2:12" s="80" customFormat="1" ht="33" customHeight="1" x14ac:dyDescent="0.2">
      <c r="B64" s="1610"/>
      <c r="C64" s="781">
        <f>'Expense Jrnl'!Q$6</f>
        <v>5020</v>
      </c>
      <c r="D64" s="1603"/>
      <c r="E64" s="765" t="str">
        <f>+'Expense Jrnl'!Q8</f>
        <v>Office Equipment</v>
      </c>
      <c r="F64" s="766" t="str">
        <f>IF(K1=2,"Ordinateurs portables, Imprimantes, Classeurs, Bureaux et chaises","Laptops, Printers, Software, Filing Cabinets, Desk, chairs")</f>
        <v>Laptops, Printers, Software, Filing Cabinets, Desk, chairs</v>
      </c>
      <c r="G64" s="1603"/>
      <c r="H64" s="750"/>
      <c r="I64" s="751">
        <f>'Expense Jrnl'!Q$516</f>
        <v>0</v>
      </c>
      <c r="J64" s="752">
        <f t="shared" si="4"/>
        <v>0</v>
      </c>
      <c r="L64" s="147">
        <f t="shared" si="5"/>
        <v>1</v>
      </c>
    </row>
    <row r="65" spans="2:12" s="80" customFormat="1" ht="33" customHeight="1" x14ac:dyDescent="0.2">
      <c r="B65" s="1610"/>
      <c r="C65" s="781">
        <f>'Expense Jrnl'!R$6</f>
        <v>5030</v>
      </c>
      <c r="D65" s="1603"/>
      <c r="E65" s="765" t="str">
        <f>+'Expense Jrnl'!R8</f>
        <v>Sqn Quarters Rental and/or Mortgage Costs</v>
      </c>
      <c r="F65" s="766" t="str">
        <f>IF(K1=2,"Coûts annuels","Annual Costs")</f>
        <v>Annual Costs</v>
      </c>
      <c r="G65" s="1603"/>
      <c r="H65" s="750"/>
      <c r="I65" s="751">
        <f>'Expense Jrnl'!R$516</f>
        <v>0</v>
      </c>
      <c r="J65" s="752">
        <f t="shared" si="4"/>
        <v>0</v>
      </c>
      <c r="L65" s="147">
        <f t="shared" si="5"/>
        <v>1</v>
      </c>
    </row>
    <row r="66" spans="2:12" s="80" customFormat="1" ht="33" customHeight="1" x14ac:dyDescent="0.2">
      <c r="B66" s="1610"/>
      <c r="C66" s="781">
        <f>'Expense Jrnl'!S$6</f>
        <v>5040</v>
      </c>
      <c r="D66" s="1603"/>
      <c r="E66" s="765" t="str">
        <f>+'Expense Jrnl'!S8</f>
        <v>Sqn Quarters Expenditures - Maintenance, Repairs, Expansion, etc</v>
      </c>
      <c r="F66" s="766" t="str">
        <f>IF(K1=2,"Entretien, réparations, agrandissement","Maintenance, Expansion, Repairs")</f>
        <v>Maintenance, Expansion, Repairs</v>
      </c>
      <c r="G66" s="1603"/>
      <c r="H66" s="750"/>
      <c r="I66" s="751">
        <f>'Expense Jrnl'!S$516</f>
        <v>0</v>
      </c>
      <c r="J66" s="752">
        <f t="shared" si="4"/>
        <v>0</v>
      </c>
      <c r="L66" s="147">
        <f t="shared" si="5"/>
        <v>1</v>
      </c>
    </row>
    <row r="67" spans="2:12" s="80" customFormat="1" ht="33" customHeight="1" x14ac:dyDescent="0.2">
      <c r="B67" s="1610"/>
      <c r="C67" s="781">
        <f>'Expense Jrnl'!T$6</f>
        <v>5050</v>
      </c>
      <c r="D67" s="1603"/>
      <c r="E67" s="765" t="str">
        <f>+'Expense Jrnl'!T$8</f>
        <v>Utilities/Telephone/Internet/PO Box Rental</v>
      </c>
      <c r="F67" s="766" t="str">
        <f>IF(K1=2,"Casier postal, Internet, Site web, Téléphone portable","PO Box, Internet, Website, Cell")</f>
        <v>PO Box, Internet, Website, Cell</v>
      </c>
      <c r="G67" s="1603"/>
      <c r="H67" s="750"/>
      <c r="I67" s="751">
        <f>'Expense Jrnl'!T$516</f>
        <v>0</v>
      </c>
      <c r="J67" s="752">
        <f t="shared" si="4"/>
        <v>0</v>
      </c>
      <c r="L67" s="147">
        <f t="shared" si="5"/>
        <v>1</v>
      </c>
    </row>
    <row r="68" spans="2:12" s="80" customFormat="1" ht="33" customHeight="1" x14ac:dyDescent="0.2">
      <c r="B68" s="1610"/>
      <c r="C68" s="781">
        <f>'Expense Jrnl'!U$6</f>
        <v>5060</v>
      </c>
      <c r="D68" s="1603"/>
      <c r="E68" s="765" t="str">
        <f>+'Expense Jrnl'!U$8</f>
        <v>Committee/Staff AGM &amp; Mtg Attendance</v>
      </c>
      <c r="F68" s="766" t="str">
        <f>IF(K1=2,"Participation du Cmdt, Président du CR, Cdt-Cmdt","Chair, Treasurer, CO and Cdt Comdr (or representatives)")</f>
        <v>Chair, Treasurer, CO and Cdt Comdr (or representatives)</v>
      </c>
      <c r="G68" s="1603"/>
      <c r="H68" s="750"/>
      <c r="I68" s="751">
        <f>'Expense Jrnl'!U$516</f>
        <v>0</v>
      </c>
      <c r="J68" s="752">
        <f t="shared" si="4"/>
        <v>0</v>
      </c>
      <c r="L68" s="147">
        <f t="shared" si="5"/>
        <v>1</v>
      </c>
    </row>
    <row r="69" spans="2:12" s="80" customFormat="1" ht="33" customHeight="1" x14ac:dyDescent="0.2">
      <c r="B69" s="1610"/>
      <c r="C69" s="781">
        <f>'Expense Jrnl'!V$6</f>
        <v>5070</v>
      </c>
      <c r="D69" s="1603"/>
      <c r="E69" s="765" t="str">
        <f>+'Expense Jrnl'!V$8</f>
        <v>Committee/Staff Accoutrement and such</v>
      </c>
      <c r="F69" s="766"/>
      <c r="G69" s="1603"/>
      <c r="H69" s="750"/>
      <c r="I69" s="751">
        <f>'Expense Jrnl'!V$516</f>
        <v>0</v>
      </c>
      <c r="J69" s="752">
        <f t="shared" si="4"/>
        <v>0</v>
      </c>
      <c r="L69" s="147">
        <f t="shared" si="5"/>
        <v>1</v>
      </c>
    </row>
    <row r="70" spans="2:12" s="80" customFormat="1" ht="33" customHeight="1" x14ac:dyDescent="0.2">
      <c r="B70" s="1610"/>
      <c r="C70" s="781">
        <f>'Expense Jrnl'!W$6</f>
        <v>5080</v>
      </c>
      <c r="D70" s="1603"/>
      <c r="E70" s="765" t="str">
        <f>+'Expense Jrnl'!W$8</f>
        <v>Recruiting &amp; Advertizing</v>
      </c>
      <c r="F70" s="766" t="str">
        <f>IF(K1=2,"Publicité, Annonces dans les journaux, Aide-mémoire pour parents, Portes ouvertes","Public Relations, Image, Parents Handbook, Advertising,  Newspaper Ads, Open door, awards, etc.")</f>
        <v>Public Relations, Image, Parents Handbook, Advertising,  Newspaper Ads, Open door, awards, etc.</v>
      </c>
      <c r="G70" s="1603"/>
      <c r="H70" s="750"/>
      <c r="I70" s="751">
        <f>'Expense Jrnl'!W$516</f>
        <v>0</v>
      </c>
      <c r="J70" s="752">
        <f t="shared" si="4"/>
        <v>0</v>
      </c>
      <c r="L70" s="147">
        <f t="shared" si="5"/>
        <v>1</v>
      </c>
    </row>
    <row r="71" spans="2:12" s="80" customFormat="1" ht="33" customHeight="1" x14ac:dyDescent="0.2">
      <c r="B71" s="1610"/>
      <c r="C71" s="781">
        <f>'Expense Jrnl'!X$6</f>
        <v>5090</v>
      </c>
      <c r="D71" s="1603"/>
      <c r="E71" s="765" t="str">
        <f>+'Expense Jrnl'!X$8</f>
        <v>Annual Provinvial Committee Assessment</v>
      </c>
      <c r="F71" s="766" t="str">
        <f>IF(K1=2,"Basé sur le quota au 31 mars de l'AF précédente","Based on the quota as of 31 March of previous FY")</f>
        <v>Based on the quota as of 31 March of previous FY</v>
      </c>
      <c r="G71" s="1603"/>
      <c r="H71" s="750"/>
      <c r="I71" s="751">
        <f>'Expense Jrnl'!X$516</f>
        <v>0</v>
      </c>
      <c r="J71" s="752">
        <f t="shared" si="4"/>
        <v>0</v>
      </c>
      <c r="L71" s="147">
        <f t="shared" si="5"/>
        <v>1</v>
      </c>
    </row>
    <row r="72" spans="2:12" s="80" customFormat="1" ht="33" customHeight="1" x14ac:dyDescent="0.2">
      <c r="B72" s="1610"/>
      <c r="C72" s="781">
        <f>'Expense Jrnl'!Y$6</f>
        <v>5100</v>
      </c>
      <c r="D72" s="1603"/>
      <c r="E72" s="765" t="str">
        <f>+'Expense Jrnl'!Y$8</f>
        <v>Air Group, Air Wing Dues and such</v>
      </c>
      <c r="F72" s="766" t="str">
        <f>IF(K1=2,"Cotisation régionale","Regional Assessment")</f>
        <v>Regional Assessment</v>
      </c>
      <c r="G72" s="1603"/>
      <c r="H72" s="750"/>
      <c r="I72" s="751">
        <f>'Expense Jrnl'!Y$516</f>
        <v>0</v>
      </c>
      <c r="J72" s="752">
        <f t="shared" si="4"/>
        <v>0</v>
      </c>
      <c r="L72" s="147">
        <f t="shared" si="5"/>
        <v>1</v>
      </c>
    </row>
    <row r="73" spans="2:12" s="80" customFormat="1" ht="33" customHeight="1" x14ac:dyDescent="0.2">
      <c r="B73" s="1610"/>
      <c r="C73" s="781">
        <f>'Expense Jrnl'!Z$6</f>
        <v>5110</v>
      </c>
      <c r="D73" s="1603"/>
      <c r="E73" s="765" t="str">
        <f>+'Expense Jrnl'!Z$8</f>
        <v>Financial &amp; Bank Charges</v>
      </c>
      <c r="F73" s="766" t="str">
        <f>IF(K1=2,"Frais bancaires mensuels, Chèques sans provisions, impression de chèques","Monthly Bank Fees, Cheques Printing, Investment Charges, Returned cheque fees")</f>
        <v>Monthly Bank Fees, Cheques Printing, Investment Charges, Returned cheque fees</v>
      </c>
      <c r="G73" s="1603"/>
      <c r="H73" s="750"/>
      <c r="I73" s="751">
        <f>'Expense Jrnl'!Z$516</f>
        <v>0</v>
      </c>
      <c r="J73" s="752">
        <f t="shared" si="4"/>
        <v>0</v>
      </c>
      <c r="L73" s="147">
        <f t="shared" si="5"/>
        <v>1</v>
      </c>
    </row>
    <row r="74" spans="2:12" s="80" customFormat="1" ht="33" customHeight="1" x14ac:dyDescent="0.2">
      <c r="B74" s="1610"/>
      <c r="C74" s="781">
        <f>'Expense Jrnl'!AA$6</f>
        <v>5120</v>
      </c>
      <c r="D74" s="1603"/>
      <c r="E74" s="765" t="str">
        <f>+'Expense Jrnl'!AA$8</f>
        <v>Professional Fees</v>
      </c>
      <c r="F74" s="773" t="str">
        <f>IF($K$1=2,'Expense Jrnl'!AA13,'Expense Jrnl'!AA14)</f>
        <v>Stamps. Reg'd Letter, Other Courriers</v>
      </c>
      <c r="G74" s="1603"/>
      <c r="H74" s="750"/>
      <c r="I74" s="751">
        <f>'Expense Jrnl'!AA$516</f>
        <v>0</v>
      </c>
      <c r="J74" s="752">
        <f t="shared" si="4"/>
        <v>0</v>
      </c>
      <c r="L74" s="147">
        <f t="shared" si="5"/>
        <v>1</v>
      </c>
    </row>
    <row r="75" spans="2:12" s="80" customFormat="1" ht="33" customHeight="1" x14ac:dyDescent="0.2">
      <c r="B75" s="1610"/>
      <c r="C75" s="781">
        <f>'Expense Jrnl'!AB$6</f>
        <v>5130</v>
      </c>
      <c r="D75" s="1603"/>
      <c r="E75" s="765" t="str">
        <f>+'Expense Jrnl'!AB$8</f>
        <v>Compensation for employee</v>
      </c>
      <c r="F75" s="773">
        <f>IF($K$1=2,'Expense Jrnl'!AB14,'Expense Jrnl'!AB16)</f>
        <v>0</v>
      </c>
      <c r="G75" s="1603"/>
      <c r="H75" s="750"/>
      <c r="I75" s="751">
        <f>'Expense Jrnl'!AB$516</f>
        <v>0</v>
      </c>
      <c r="J75" s="752">
        <f t="shared" si="4"/>
        <v>0</v>
      </c>
      <c r="L75" s="147">
        <f t="shared" si="5"/>
        <v>1</v>
      </c>
    </row>
    <row r="76" spans="2:12" s="80" customFormat="1" ht="33" customHeight="1" x14ac:dyDescent="0.2">
      <c r="B76" s="1610"/>
      <c r="C76" s="781">
        <f>'Expense Jrnl'!AC$6</f>
        <v>5140</v>
      </c>
      <c r="D76" s="1603"/>
      <c r="E76" s="765" t="str">
        <f>+'Expense Jrnl'!AC$8</f>
        <v>Donations made to qualified donees</v>
      </c>
      <c r="F76" s="773">
        <f>IF($K$1=2,'Expense Jrnl'!AC16,'Expense Jrnl'!AC17)</f>
        <v>0</v>
      </c>
      <c r="G76" s="1603"/>
      <c r="H76" s="750"/>
      <c r="I76" s="751">
        <f>'Expense Jrnl'!AC$516</f>
        <v>0</v>
      </c>
      <c r="J76" s="752">
        <f t="shared" si="4"/>
        <v>0</v>
      </c>
      <c r="L76" s="147">
        <f t="shared" si="5"/>
        <v>1</v>
      </c>
    </row>
    <row r="77" spans="2:12" s="80" customFormat="1" ht="33" customHeight="1" x14ac:dyDescent="0.2">
      <c r="B77" s="1610"/>
      <c r="C77" s="781">
        <f>'Expense Jrnl'!AD$6</f>
        <v>5150</v>
      </c>
      <c r="D77" s="1603"/>
      <c r="E77" s="765" t="str">
        <f>+'Expense Jrnl'!AD$8</f>
        <v>Postage &amp; Shipping Costs</v>
      </c>
      <c r="F77" s="773">
        <f>IF($K$1=2,'Expense Jrnl'!AD17,'Expense Jrnl'!AD18)</f>
        <v>0</v>
      </c>
      <c r="G77" s="1603"/>
      <c r="H77" s="750"/>
      <c r="I77" s="751">
        <f>'Expense Jrnl'!AD$516</f>
        <v>0</v>
      </c>
      <c r="J77" s="752">
        <f t="shared" si="4"/>
        <v>0</v>
      </c>
      <c r="L77" s="147">
        <f t="shared" si="5"/>
        <v>1</v>
      </c>
    </row>
    <row r="78" spans="2:12" s="80" customFormat="1" ht="33" customHeight="1" x14ac:dyDescent="0.2">
      <c r="B78" s="1610"/>
      <c r="C78" s="781">
        <f>'Expense Jrnl'!AE$6</f>
        <v>5160</v>
      </c>
      <c r="D78" s="1603"/>
      <c r="E78" s="765" t="str">
        <f>+'Expense Jrnl'!AE$8</f>
        <v>Storage Rentals</v>
      </c>
      <c r="F78" s="773">
        <f>IF($K$1=2,'Expense Jrnl'!AE18,'Expense Jrnl'!AE19)</f>
        <v>0</v>
      </c>
      <c r="G78" s="1603"/>
      <c r="H78" s="750"/>
      <c r="I78" s="751">
        <f>'Expense Jrnl'!AE$516</f>
        <v>0</v>
      </c>
      <c r="J78" s="752">
        <f t="shared" si="4"/>
        <v>0</v>
      </c>
      <c r="L78" s="147">
        <f t="shared" si="5"/>
        <v>1</v>
      </c>
    </row>
    <row r="79" spans="2:12" s="80" customFormat="1" ht="33" customHeight="1" x14ac:dyDescent="0.2">
      <c r="B79" s="1610"/>
      <c r="C79" s="781">
        <f>'Expense Jrnl'!AF$6</f>
        <v>5170</v>
      </c>
      <c r="D79" s="1603"/>
      <c r="E79" s="765" t="str">
        <f>+'Expense Jrnl'!AF$8</f>
        <v>Building &amp; Contents Insurance</v>
      </c>
      <c r="F79" s="773">
        <f>IF($K$1=2,'Expense Jrnl'!AF19,'Expense Jrnl'!AF20)</f>
        <v>0</v>
      </c>
      <c r="G79" s="1603"/>
      <c r="H79" s="750"/>
      <c r="I79" s="751">
        <f>'Expense Jrnl'!AF$516</f>
        <v>0</v>
      </c>
      <c r="J79" s="752">
        <f t="shared" si="4"/>
        <v>0</v>
      </c>
      <c r="L79" s="147">
        <f t="shared" si="5"/>
        <v>1</v>
      </c>
    </row>
    <row r="80" spans="2:12" s="80" customFormat="1" ht="33" customHeight="1" x14ac:dyDescent="0.2">
      <c r="B80" s="1610"/>
      <c r="C80" s="781">
        <f>'Expense Jrnl'!AG$6</f>
        <v>5180</v>
      </c>
      <c r="D80" s="1603"/>
      <c r="E80" s="765" t="str">
        <f>+'Expense Jrnl'!AG$8</f>
        <v>Available (Rename)</v>
      </c>
      <c r="F80" s="773">
        <f>IF($K$1=2,'Expense Jrnl'!AG20,'Expense Jrnl'!AG21)</f>
        <v>0</v>
      </c>
      <c r="G80" s="1603"/>
      <c r="H80" s="750"/>
      <c r="I80" s="751">
        <f>'Expense Jrnl'!AG$516</f>
        <v>0</v>
      </c>
      <c r="J80" s="752">
        <f t="shared" si="4"/>
        <v>0</v>
      </c>
      <c r="L80" s="147">
        <f t="shared" si="5"/>
        <v>1</v>
      </c>
    </row>
    <row r="81" spans="2:12" s="80" customFormat="1" ht="33" customHeight="1" x14ac:dyDescent="0.2">
      <c r="B81" s="1610"/>
      <c r="C81" s="782">
        <f>'Expense Jrnl'!AH$6</f>
        <v>5190</v>
      </c>
      <c r="D81" s="1603"/>
      <c r="E81" s="775" t="str">
        <f>+'Expense Jrnl'!AH$8</f>
        <v>Available (Rename)</v>
      </c>
      <c r="F81" s="769">
        <f>IF($K$1=2,'Expense Jrnl'!AH21,'Expense Jrnl'!AH22)</f>
        <v>0</v>
      </c>
      <c r="G81" s="1603"/>
      <c r="H81" s="756"/>
      <c r="I81" s="757">
        <f>'Expense Jrnl'!AH$516</f>
        <v>0</v>
      </c>
      <c r="J81" s="758">
        <f t="shared" si="4"/>
        <v>0</v>
      </c>
      <c r="L81" s="147">
        <v>0</v>
      </c>
    </row>
    <row r="82" spans="2:12" s="80" customFormat="1" ht="33" customHeight="1" x14ac:dyDescent="0.2">
      <c r="B82" s="1611" t="str">
        <f>CONCATENATE('Expense Jrnl'!AI4," - ",'Expense Jrnl'!AI5)</f>
        <v>5300 - Squadron/Cadet Activities Expenses</v>
      </c>
      <c r="C82" s="1605">
        <f>'Expense Jrnl'!AI$6</f>
        <v>5310</v>
      </c>
      <c r="D82" s="783"/>
      <c r="E82" s="729" t="str">
        <f>+'Expense Jrnl'!AI$8</f>
        <v>Field Training</v>
      </c>
      <c r="F82" s="742" t="str">
        <f>IF(K1=2,"5210 TOTAL","5210 TOTAL")</f>
        <v>5210 TOTAL</v>
      </c>
      <c r="G82" s="743"/>
      <c r="H82" s="744">
        <f>SUM(G83:G89)</f>
        <v>0</v>
      </c>
      <c r="I82" s="745">
        <f>'Expense Jrnl'!AI$516</f>
        <v>0</v>
      </c>
      <c r="J82" s="746">
        <f t="shared" si="4"/>
        <v>0</v>
      </c>
      <c r="L82" s="147">
        <f>IF(AND(H82=0,I82=0),1,0)</f>
        <v>1</v>
      </c>
    </row>
    <row r="83" spans="2:12" s="80" customFormat="1" ht="33" customHeight="1" x14ac:dyDescent="0.2">
      <c r="B83" s="1611"/>
      <c r="C83" s="1605"/>
      <c r="D83" s="747">
        <f>'Expense Jrnl'!AJ$6</f>
        <v>5310.1</v>
      </c>
      <c r="E83" s="748" t="str">
        <f>+'Expense Jrnl'!AJ$8</f>
        <v>FTX - Fall</v>
      </c>
      <c r="F83" s="749">
        <f>IF($K$1=2,'Expense Jrnl'!AJ$13,'Expense Jrnl'!AJ$14)</f>
        <v>0</v>
      </c>
      <c r="G83" s="750"/>
      <c r="H83" s="1606"/>
      <c r="I83" s="751">
        <f>'Expense Jrnl'!AJ$516</f>
        <v>0</v>
      </c>
      <c r="J83" s="752">
        <f t="shared" ref="J83:J89" si="6">IF($I83=0,0,$G83-$I83)</f>
        <v>0</v>
      </c>
      <c r="L83" s="147">
        <f t="shared" ref="L83:L89" si="7">IF(AND(G83=0,I83=0),1,0)</f>
        <v>1</v>
      </c>
    </row>
    <row r="84" spans="2:12" s="80" customFormat="1" ht="33" customHeight="1" x14ac:dyDescent="0.2">
      <c r="B84" s="1611"/>
      <c r="C84" s="1605"/>
      <c r="D84" s="747">
        <f>'Expense Jrnl'!AK$6</f>
        <v>5310.2</v>
      </c>
      <c r="E84" s="748" t="str">
        <f>+'Expense Jrnl'!AK$8</f>
        <v>FTX - Spring</v>
      </c>
      <c r="F84" s="749">
        <f>IF($K$1=2,'Expense Jrnl'!AK$13,'Expense Jrnl'!AK$14)</f>
        <v>0</v>
      </c>
      <c r="G84" s="750"/>
      <c r="H84" s="1606"/>
      <c r="I84" s="751">
        <f>'Expense Jrnl'!AK$516</f>
        <v>0</v>
      </c>
      <c r="J84" s="752">
        <f t="shared" si="6"/>
        <v>0</v>
      </c>
      <c r="L84" s="147">
        <f t="shared" si="7"/>
        <v>1</v>
      </c>
    </row>
    <row r="85" spans="2:12" s="80" customFormat="1" ht="33" customHeight="1" x14ac:dyDescent="0.2">
      <c r="B85" s="1611"/>
      <c r="C85" s="1605"/>
      <c r="D85" s="747">
        <f>'Expense Jrnl'!AL$6</f>
        <v>5310.3</v>
      </c>
      <c r="E85" s="748" t="str">
        <f>+'Expense Jrnl'!AL$8</f>
        <v>Jr NCM Course</v>
      </c>
      <c r="F85" s="784">
        <f>IF($K$1=2,'Expense Jrnl'!AL$13,'Expense Jrnl'!AL$14)</f>
        <v>0</v>
      </c>
      <c r="G85" s="750"/>
      <c r="H85" s="1606"/>
      <c r="I85" s="751">
        <f>'Expense Jrnl'!AL$516</f>
        <v>0</v>
      </c>
      <c r="J85" s="752">
        <f t="shared" si="6"/>
        <v>0</v>
      </c>
      <c r="L85" s="147">
        <f t="shared" si="7"/>
        <v>1</v>
      </c>
    </row>
    <row r="86" spans="2:12" s="80" customFormat="1" ht="33" customHeight="1" x14ac:dyDescent="0.2">
      <c r="B86" s="1611"/>
      <c r="C86" s="1605"/>
      <c r="D86" s="747">
        <f>'Expense Jrnl'!AM$6</f>
        <v>5310.4</v>
      </c>
      <c r="E86" s="748" t="str">
        <f>+'Expense Jrnl'!AM$8</f>
        <v>Sr NCM Course</v>
      </c>
      <c r="F86" s="784">
        <f>IF($K$1=2,'Expense Jrnl'!AM$13,'Expense Jrnl'!AM$14)</f>
        <v>0</v>
      </c>
      <c r="G86" s="750"/>
      <c r="H86" s="1606"/>
      <c r="I86" s="751">
        <f>'Expense Jrnl'!AM$516</f>
        <v>0</v>
      </c>
      <c r="J86" s="752">
        <f t="shared" si="6"/>
        <v>0</v>
      </c>
      <c r="L86" s="147">
        <f t="shared" si="7"/>
        <v>1</v>
      </c>
    </row>
    <row r="87" spans="2:12" s="80" customFormat="1" ht="33" customHeight="1" x14ac:dyDescent="0.2">
      <c r="B87" s="1611"/>
      <c r="C87" s="1605"/>
      <c r="D87" s="747">
        <f>'Expense Jrnl'!AN$6</f>
        <v>5310.5</v>
      </c>
      <c r="E87" s="748" t="str">
        <f>+'Expense Jrnl'!AN$8</f>
        <v>Level 1 - Boot Campt</v>
      </c>
      <c r="F87" s="785">
        <f>IF($K$1=2,'Expense Jrnl'!AN$13,'Expense Jrnl'!AN$14)</f>
        <v>0</v>
      </c>
      <c r="G87" s="750"/>
      <c r="H87" s="1606"/>
      <c r="I87" s="751">
        <f>'Expense Jrnl'!AN$516</f>
        <v>0</v>
      </c>
      <c r="J87" s="752">
        <f t="shared" si="6"/>
        <v>0</v>
      </c>
      <c r="L87" s="147">
        <f t="shared" si="7"/>
        <v>1</v>
      </c>
    </row>
    <row r="88" spans="2:12" s="80" customFormat="1" ht="33" customHeight="1" x14ac:dyDescent="0.2">
      <c r="B88" s="1611"/>
      <c r="C88" s="1605"/>
      <c r="D88" s="747">
        <f>'Expense Jrnl'!AO$6</f>
        <v>5310.6</v>
      </c>
      <c r="E88" s="748" t="str">
        <f>+'Expense Jrnl'!AO$8</f>
        <v>Level 5 Workshop</v>
      </c>
      <c r="F88" s="785">
        <f>IF($K$1=2,'Expense Jrnl'!AO$13,'Expense Jrnl'!AO$14)</f>
        <v>0</v>
      </c>
      <c r="G88" s="750"/>
      <c r="H88" s="1606"/>
      <c r="I88" s="751">
        <f>'Expense Jrnl'!AO$516</f>
        <v>0</v>
      </c>
      <c r="J88" s="752">
        <f t="shared" si="6"/>
        <v>0</v>
      </c>
      <c r="L88" s="147">
        <f t="shared" si="7"/>
        <v>1</v>
      </c>
    </row>
    <row r="89" spans="2:12" s="80" customFormat="1" ht="33" customHeight="1" x14ac:dyDescent="0.2">
      <c r="B89" s="1611"/>
      <c r="C89" s="1605"/>
      <c r="D89" s="753">
        <f>'Expense Jrnl'!AP$6</f>
        <v>5310.7</v>
      </c>
      <c r="E89" s="754" t="str">
        <f>+'Expense Jrnl'!AP$8</f>
        <v>Available (Rename)</v>
      </c>
      <c r="F89" s="786">
        <f>IF($K$1=2,'Expense Jrnl'!AP$13,'Expense Jrnl'!AP$14)</f>
        <v>0</v>
      </c>
      <c r="G89" s="756"/>
      <c r="H89" s="1606"/>
      <c r="I89" s="757">
        <f>'Expense Jrnl'!AP$516</f>
        <v>0</v>
      </c>
      <c r="J89" s="758">
        <f t="shared" si="6"/>
        <v>0</v>
      </c>
      <c r="L89" s="147">
        <f t="shared" si="7"/>
        <v>1</v>
      </c>
    </row>
    <row r="90" spans="2:12" s="80" customFormat="1" ht="33" customHeight="1" x14ac:dyDescent="0.2">
      <c r="B90" s="1611"/>
      <c r="C90" s="728">
        <f>'Expense Jrnl'!AQ$6</f>
        <v>5320</v>
      </c>
      <c r="D90" s="1603"/>
      <c r="E90" s="729" t="str">
        <f>+'Expense Jrnl'!AQ$8</f>
        <v>Band Equip., Accessories, Maint. &amp; Music Pgm</v>
      </c>
      <c r="F90" s="787"/>
      <c r="G90" s="1603"/>
      <c r="H90" s="731"/>
      <c r="I90" s="732">
        <f>'Expense Jrnl'!AQ$516</f>
        <v>0</v>
      </c>
      <c r="J90" s="733">
        <f t="shared" ref="J90:J99" si="8">IF($I90=0,0,$H90-$I90)</f>
        <v>0</v>
      </c>
      <c r="L90" s="147">
        <f t="shared" ref="L90:L98" si="9">IF(AND(H90=0,I90=0),1,0)</f>
        <v>1</v>
      </c>
    </row>
    <row r="91" spans="2:12" s="80" customFormat="1" ht="33" customHeight="1" x14ac:dyDescent="0.2">
      <c r="B91" s="1611"/>
      <c r="C91" s="518">
        <f>'Expense Jrnl'!AR$6</f>
        <v>5330</v>
      </c>
      <c r="D91" s="1603"/>
      <c r="E91" s="765" t="str">
        <f>+'Expense Jrnl'!AR$8</f>
        <v>Sports &amp; Phys Ed Related Activities</v>
      </c>
      <c r="F91" s="788"/>
      <c r="G91" s="1603"/>
      <c r="H91" s="750"/>
      <c r="I91" s="751">
        <f>'Expense Jrnl'!AR$516</f>
        <v>0</v>
      </c>
      <c r="J91" s="752">
        <f t="shared" si="8"/>
        <v>0</v>
      </c>
      <c r="L91" s="147">
        <f t="shared" si="9"/>
        <v>1</v>
      </c>
    </row>
    <row r="92" spans="2:12" s="80" customFormat="1" ht="33" customHeight="1" x14ac:dyDescent="0.2">
      <c r="B92" s="1611"/>
      <c r="C92" s="518">
        <f>'Expense Jrnl'!AS$6</f>
        <v>5340</v>
      </c>
      <c r="D92" s="1603"/>
      <c r="E92" s="789" t="str">
        <f>+'Expense Jrnl'!AS$8</f>
        <v>Flying and Gliding related outlays</v>
      </c>
      <c r="F92" s="788"/>
      <c r="G92" s="1603"/>
      <c r="H92" s="750"/>
      <c r="I92" s="751">
        <f>'Expense Jrnl'!AS$516</f>
        <v>0</v>
      </c>
      <c r="J92" s="752">
        <f t="shared" si="8"/>
        <v>0</v>
      </c>
      <c r="L92" s="147">
        <f t="shared" si="9"/>
        <v>1</v>
      </c>
    </row>
    <row r="93" spans="2:12" s="80" customFormat="1" ht="33" customHeight="1" x14ac:dyDescent="0.2">
      <c r="B93" s="1611"/>
      <c r="C93" s="518">
        <f>'Expense Jrnl'!AT$6</f>
        <v>5350</v>
      </c>
      <c r="D93" s="1603"/>
      <c r="E93" s="789" t="str">
        <f>+'Expense Jrnl'!AT$8</f>
        <v>Training Equipment, Manuals &amp;  Durable Supplies</v>
      </c>
      <c r="F93" s="788"/>
      <c r="G93" s="1603"/>
      <c r="H93" s="750"/>
      <c r="I93" s="751">
        <f>'Expense Jrnl'!AT$516</f>
        <v>0</v>
      </c>
      <c r="J93" s="752">
        <f t="shared" si="8"/>
        <v>0</v>
      </c>
      <c r="L93" s="147">
        <f t="shared" si="9"/>
        <v>1</v>
      </c>
    </row>
    <row r="94" spans="2:12" s="80" customFormat="1" ht="33" customHeight="1" x14ac:dyDescent="0.2">
      <c r="B94" s="1611"/>
      <c r="C94" s="518">
        <f>'Expense Jrnl'!AU$6</f>
        <v>5360</v>
      </c>
      <c r="D94" s="1603"/>
      <c r="E94" s="789" t="str">
        <f>+'Expense Jrnl'!AU$8</f>
        <v>Other Non-DND Supported Trg/Activities Outlays</v>
      </c>
      <c r="F94" s="788"/>
      <c r="G94" s="1603"/>
      <c r="H94" s="750"/>
      <c r="I94" s="751">
        <f>'Expense Jrnl'!AU$516</f>
        <v>0</v>
      </c>
      <c r="J94" s="752">
        <f t="shared" si="8"/>
        <v>0</v>
      </c>
      <c r="L94" s="147">
        <f t="shared" si="9"/>
        <v>1</v>
      </c>
    </row>
    <row r="95" spans="2:12" s="80" customFormat="1" ht="33" customHeight="1" x14ac:dyDescent="0.2">
      <c r="B95" s="1611"/>
      <c r="C95" s="518">
        <f>'Expense Jrnl'!AV$6</f>
        <v>5370</v>
      </c>
      <c r="D95" s="1603"/>
      <c r="E95" s="789" t="str">
        <f>+'Expense Jrnl'!AV$8</f>
        <v>Sqn Level Insurance</v>
      </c>
      <c r="F95" s="788" t="str">
        <f>IF(K1=2,"Assurance du matériel du CR (par la Ligue)","Insurance for SSC Material (through League)")</f>
        <v>Insurance for SSC Material (through League)</v>
      </c>
      <c r="G95" s="1603"/>
      <c r="H95" s="750"/>
      <c r="I95" s="751">
        <f>'Expense Jrnl'!AV$516</f>
        <v>0</v>
      </c>
      <c r="J95" s="752">
        <f t="shared" si="8"/>
        <v>0</v>
      </c>
      <c r="L95" s="147">
        <f t="shared" si="9"/>
        <v>1</v>
      </c>
    </row>
    <row r="96" spans="2:12" s="80" customFormat="1" ht="33" customHeight="1" x14ac:dyDescent="0.2">
      <c r="B96" s="1611"/>
      <c r="C96" s="518">
        <f>'Expense Jrnl'!AW$6</f>
        <v>5380</v>
      </c>
      <c r="D96" s="1603"/>
      <c r="E96" s="765" t="str">
        <f>+'Expense Jrnl'!AW$8</f>
        <v>Volunteer Reg &amp; Screening Costs</v>
      </c>
      <c r="F96" s="788"/>
      <c r="G96" s="1603"/>
      <c r="H96" s="750"/>
      <c r="I96" s="751">
        <f>'Expense Jrnl'!AW516</f>
        <v>0</v>
      </c>
      <c r="J96" s="752">
        <f t="shared" si="8"/>
        <v>0</v>
      </c>
      <c r="L96" s="147">
        <f t="shared" si="9"/>
        <v>1</v>
      </c>
    </row>
    <row r="97" spans="2:12" s="80" customFormat="1" ht="33" customHeight="1" x14ac:dyDescent="0.2">
      <c r="B97" s="1611"/>
      <c r="C97" s="518">
        <f>'Expense Jrnl'!AX$6</f>
        <v>5390</v>
      </c>
      <c r="D97" s="1603"/>
      <c r="E97" s="765" t="str">
        <f>+'Expense Jrnl'!AX$8</f>
        <v>Honours &amp; Awards</v>
      </c>
      <c r="F97" s="788"/>
      <c r="G97" s="1603"/>
      <c r="H97" s="750"/>
      <c r="I97" s="751">
        <f>'Expense Jrnl'!AX$516</f>
        <v>0</v>
      </c>
      <c r="J97" s="752">
        <f t="shared" si="8"/>
        <v>0</v>
      </c>
      <c r="L97" s="147">
        <f t="shared" si="9"/>
        <v>1</v>
      </c>
    </row>
    <row r="98" spans="2:12" s="80" customFormat="1" ht="33" customHeight="1" x14ac:dyDescent="0.2">
      <c r="B98" s="1611"/>
      <c r="C98" s="734">
        <f>'Expense Jrnl'!AY$6</f>
        <v>5400</v>
      </c>
      <c r="D98" s="1603"/>
      <c r="E98" s="735" t="str">
        <f>+'Expense Jrnl'!AY$8</f>
        <v>Annual Ceremonial Review</v>
      </c>
      <c r="F98" s="790"/>
      <c r="G98" s="1603"/>
      <c r="H98" s="737"/>
      <c r="I98" s="738">
        <f>'Expense Jrnl'!AY$516</f>
        <v>0</v>
      </c>
      <c r="J98" s="739">
        <f t="shared" si="8"/>
        <v>0</v>
      </c>
      <c r="L98" s="147">
        <f t="shared" si="9"/>
        <v>1</v>
      </c>
    </row>
    <row r="99" spans="2:12" s="80" customFormat="1" ht="33" customHeight="1" x14ac:dyDescent="0.2">
      <c r="B99" s="1611"/>
      <c r="C99" s="1605">
        <f>'Expense Jrnl'!AZ$6</f>
        <v>5410</v>
      </c>
      <c r="D99" s="791"/>
      <c r="E99" s="792" t="str">
        <f>+'Expense Jrnl'!AZ$8</f>
        <v>Cadet Banquets and Special Events</v>
      </c>
      <c r="F99" s="793"/>
      <c r="G99" s="791"/>
      <c r="H99" s="794">
        <f>SUM(G100:G106)</f>
        <v>0</v>
      </c>
      <c r="I99" s="795">
        <f>'Expense Jrnl'!AZ$516</f>
        <v>0</v>
      </c>
      <c r="J99" s="796">
        <f t="shared" si="8"/>
        <v>0</v>
      </c>
      <c r="L99" s="147">
        <v>0</v>
      </c>
    </row>
    <row r="100" spans="2:12" s="80" customFormat="1" ht="33" customHeight="1" x14ac:dyDescent="0.2">
      <c r="B100" s="1611"/>
      <c r="C100" s="1605"/>
      <c r="D100" s="747">
        <f>'Expense Jrnl'!BA$6</f>
        <v>5410.1</v>
      </c>
      <c r="E100" s="748" t="str">
        <f>'Expense Jrnl'!BA$8</f>
        <v>Remembrance Day</v>
      </c>
      <c r="F100" s="749">
        <f>IF($K$1=2,'Expense Jrnl'!BA$13,'Expense Jrnl'!BA$14)</f>
        <v>0</v>
      </c>
      <c r="G100" s="750"/>
      <c r="H100" s="1612"/>
      <c r="I100" s="751">
        <f>'Expense Jrnl'!BA$516</f>
        <v>0</v>
      </c>
      <c r="J100" s="752">
        <f t="shared" ref="J100:J106" si="10">IF($I100=0,0,$G100-$I100)</f>
        <v>0</v>
      </c>
      <c r="L100" s="147"/>
    </row>
    <row r="101" spans="2:12" s="80" customFormat="1" ht="33" customHeight="1" x14ac:dyDescent="0.2">
      <c r="B101" s="1611"/>
      <c r="C101" s="1605"/>
      <c r="D101" s="747">
        <f>'Expense Jrnl'!BB$6</f>
        <v>5410.2</v>
      </c>
      <c r="E101" s="748" t="str">
        <f>'Expense Jrnl'!BB$8</f>
        <v>Mess Dinner</v>
      </c>
      <c r="F101" s="749">
        <f>IF($K$1=2,'Expense Jrnl'!BB$13,'Expense Jrnl'!BB$14)</f>
        <v>0</v>
      </c>
      <c r="G101" s="750"/>
      <c r="H101" s="1612"/>
      <c r="I101" s="751">
        <f>'Expense Jrnl'!BB$516</f>
        <v>0</v>
      </c>
      <c r="J101" s="752">
        <f t="shared" si="10"/>
        <v>0</v>
      </c>
      <c r="L101" s="147"/>
    </row>
    <row r="102" spans="2:12" s="80" customFormat="1" ht="33" customHeight="1" x14ac:dyDescent="0.2">
      <c r="B102" s="1611"/>
      <c r="C102" s="1605"/>
      <c r="D102" s="747">
        <f>'Expense Jrnl'!BC$6</f>
        <v>5410.3</v>
      </c>
      <c r="E102" s="748" t="str">
        <f>'Expense Jrnl'!BC$8</f>
        <v>Halloween</v>
      </c>
      <c r="F102" s="749">
        <f>IF($K$1=2,'Expense Jrnl'!BC$13,'Expense Jrnl'!BC$14)</f>
        <v>0</v>
      </c>
      <c r="G102" s="750"/>
      <c r="H102" s="1612"/>
      <c r="I102" s="751">
        <f>'Expense Jrnl'!BC$516</f>
        <v>0</v>
      </c>
      <c r="J102" s="752">
        <f t="shared" si="10"/>
        <v>0</v>
      </c>
      <c r="L102" s="147"/>
    </row>
    <row r="103" spans="2:12" s="80" customFormat="1" ht="33" customHeight="1" x14ac:dyDescent="0.2">
      <c r="B103" s="1611"/>
      <c r="C103" s="1605"/>
      <c r="D103" s="747">
        <f>'Expense Jrnl'!BD$6</f>
        <v>5410.4</v>
      </c>
      <c r="E103" s="748" t="str">
        <f>'Expense Jrnl'!BD$8</f>
        <v>Christmas</v>
      </c>
      <c r="F103" s="749">
        <f>IF($K$1=2,'Expense Jrnl'!BD$13,'Expense Jrnl'!BD$14)</f>
        <v>0</v>
      </c>
      <c r="G103" s="750"/>
      <c r="H103" s="1612"/>
      <c r="I103" s="751">
        <f>'Expense Jrnl'!BD$516</f>
        <v>0</v>
      </c>
      <c r="J103" s="752">
        <f t="shared" si="10"/>
        <v>0</v>
      </c>
      <c r="L103" s="147"/>
    </row>
    <row r="104" spans="2:12" s="80" customFormat="1" ht="33" customHeight="1" x14ac:dyDescent="0.2">
      <c r="B104" s="1611"/>
      <c r="C104" s="1605"/>
      <c r="D104" s="747">
        <f>'Expense Jrnl'!BE$6</f>
        <v>5410.5</v>
      </c>
      <c r="E104" s="748" t="str">
        <f>'Expense Jrnl'!BE$8</f>
        <v>Year-End Activity</v>
      </c>
      <c r="F104" s="749">
        <f>IF($K$1=2,'Expense Jrnl'!BE$13,'Expense Jrnl'!BE$14)</f>
        <v>0</v>
      </c>
      <c r="G104" s="750"/>
      <c r="H104" s="1612"/>
      <c r="I104" s="751">
        <f>'Expense Jrnl'!BE$516</f>
        <v>0</v>
      </c>
      <c r="J104" s="752">
        <f t="shared" si="10"/>
        <v>0</v>
      </c>
      <c r="L104" s="147"/>
    </row>
    <row r="105" spans="2:12" s="80" customFormat="1" ht="33" customHeight="1" x14ac:dyDescent="0.2">
      <c r="B105" s="1611"/>
      <c r="C105" s="1605"/>
      <c r="D105" s="747">
        <f>'Expense Jrnl'!BF$6</f>
        <v>5410.6</v>
      </c>
      <c r="E105" s="748" t="str">
        <f>'Expense Jrnl'!BF$8</f>
        <v>Available (Rename)</v>
      </c>
      <c r="F105" s="749">
        <f>IF($K$1=2,'Expense Jrnl'!BF$13,'Expense Jrnl'!BF$14)</f>
        <v>0</v>
      </c>
      <c r="G105" s="750"/>
      <c r="H105" s="1612"/>
      <c r="I105" s="751">
        <f>'Expense Jrnl'!BF$516</f>
        <v>0</v>
      </c>
      <c r="J105" s="752">
        <f t="shared" si="10"/>
        <v>0</v>
      </c>
      <c r="L105" s="147"/>
    </row>
    <row r="106" spans="2:12" s="80" customFormat="1" ht="33" customHeight="1" x14ac:dyDescent="0.2">
      <c r="B106" s="1611"/>
      <c r="C106" s="1605"/>
      <c r="D106" s="753">
        <f>'Expense Jrnl'!BG$6</f>
        <v>5410.7</v>
      </c>
      <c r="E106" s="754" t="str">
        <f>'Expense Jrnl'!BG$8</f>
        <v>Available (Rename)</v>
      </c>
      <c r="F106" s="755" t="str">
        <f>IF($K$1=2,'Expense Jrnl'!BG$13,'Expense Jrnl'!BG$14)</f>
        <v>4 x Activities</v>
      </c>
      <c r="G106" s="756"/>
      <c r="H106" s="1612"/>
      <c r="I106" s="757">
        <f>'Expense Jrnl'!BG$516</f>
        <v>0</v>
      </c>
      <c r="J106" s="758">
        <f t="shared" si="10"/>
        <v>0</v>
      </c>
      <c r="L106" s="147"/>
    </row>
    <row r="107" spans="2:12" s="80" customFormat="1" ht="33" customHeight="1" x14ac:dyDescent="0.2">
      <c r="B107" s="1611"/>
      <c r="C107" s="759">
        <f>'Expense Jrnl'!BH$6</f>
        <v>5420</v>
      </c>
      <c r="D107" s="1613"/>
      <c r="E107" s="760" t="str">
        <f>+'Expense Jrnl'!BH$8</f>
        <v>Cadet &amp; Ceremonial Accoutrements</v>
      </c>
      <c r="F107" s="797"/>
      <c r="G107" s="1607"/>
      <c r="H107" s="762"/>
      <c r="I107" s="763">
        <f>'Expense Jrnl'!BH$516</f>
        <v>0</v>
      </c>
      <c r="J107" s="764">
        <f t="shared" ref="J107:J140" si="11">IF($I107=0,0,$H107-$I107)</f>
        <v>0</v>
      </c>
      <c r="L107" s="147">
        <f t="shared" ref="L107:L113" si="12">IF(AND(H107=0,I107=0),1,0)</f>
        <v>1</v>
      </c>
    </row>
    <row r="108" spans="2:12" s="80" customFormat="1" ht="33" customHeight="1" x14ac:dyDescent="0.2">
      <c r="B108" s="1611"/>
      <c r="C108" s="518">
        <f>'Expense Jrnl'!BI$6</f>
        <v>5430</v>
      </c>
      <c r="D108" s="1613"/>
      <c r="E108" s="765" t="str">
        <f>+'Expense Jrnl'!BI$8</f>
        <v>Bursaries</v>
      </c>
      <c r="F108" s="773">
        <f>IF($K$1=2,'Expense Jrnl'!BI$13,'Expense Jrnl'!BI$14)</f>
        <v>0</v>
      </c>
      <c r="G108" s="1607"/>
      <c r="H108" s="750"/>
      <c r="I108" s="751">
        <f>'Expense Jrnl'!BI$516</f>
        <v>0</v>
      </c>
      <c r="J108" s="752">
        <f t="shared" si="11"/>
        <v>0</v>
      </c>
      <c r="L108" s="147">
        <f t="shared" si="12"/>
        <v>1</v>
      </c>
    </row>
    <row r="109" spans="2:12" s="80" customFormat="1" ht="33" customHeight="1" x14ac:dyDescent="0.2">
      <c r="B109" s="1611"/>
      <c r="C109" s="518">
        <f>'Expense Jrnl'!BJ$6</f>
        <v>5440</v>
      </c>
      <c r="D109" s="1613"/>
      <c r="E109" s="765" t="str">
        <f>+'Expense Jrnl'!BJ$8</f>
        <v>Ground School</v>
      </c>
      <c r="F109" s="773">
        <f>IF($K$1=2,'Expense Jrnl'!BJ$13,'Expense Jrnl'!BJ$14)</f>
        <v>0</v>
      </c>
      <c r="G109" s="1607"/>
      <c r="H109" s="750"/>
      <c r="I109" s="751">
        <f>'Expense Jrnl'!BJ$516</f>
        <v>0</v>
      </c>
      <c r="J109" s="752">
        <f t="shared" si="11"/>
        <v>0</v>
      </c>
      <c r="L109" s="147">
        <f t="shared" si="12"/>
        <v>1</v>
      </c>
    </row>
    <row r="110" spans="2:12" s="80" customFormat="1" ht="33" customHeight="1" x14ac:dyDescent="0.2">
      <c r="B110" s="1611"/>
      <c r="C110" s="518">
        <f>'Expense Jrnl'!BK$6</f>
        <v>5450</v>
      </c>
      <c r="D110" s="1613"/>
      <c r="E110" s="765" t="str">
        <f>+'Expense Jrnl'!BK$8</f>
        <v>Available (Rename)</v>
      </c>
      <c r="F110" s="773">
        <f>IF($K$1=2,'Expense Jrnl'!BJ$13,'Expense Jrnl'!BJ$14)</f>
        <v>0</v>
      </c>
      <c r="G110" s="1607"/>
      <c r="H110" s="750"/>
      <c r="I110" s="751">
        <f>'Expense Jrnl'!BK$516</f>
        <v>0</v>
      </c>
      <c r="J110" s="752">
        <f t="shared" si="11"/>
        <v>0</v>
      </c>
      <c r="L110" s="147">
        <f t="shared" si="12"/>
        <v>1</v>
      </c>
    </row>
    <row r="111" spans="2:12" s="80" customFormat="1" ht="33" customHeight="1" x14ac:dyDescent="0.2">
      <c r="B111" s="1611"/>
      <c r="C111" s="518">
        <f>'Expense Jrnl'!BL$6</f>
        <v>5460</v>
      </c>
      <c r="D111" s="798"/>
      <c r="E111" s="765" t="str">
        <f>+'Expense Jrnl'!BL$8</f>
        <v>Available (Rename)</v>
      </c>
      <c r="F111" s="773">
        <f>IF($K$1=2,'Expense Jrnl'!BJ$13,'Expense Jrnl'!BJ$14)</f>
        <v>0</v>
      </c>
      <c r="G111" s="1607"/>
      <c r="H111" s="750"/>
      <c r="I111" s="751">
        <f>'Expense Jrnl'!BL$516</f>
        <v>0</v>
      </c>
      <c r="J111" s="752">
        <f t="shared" si="11"/>
        <v>0</v>
      </c>
      <c r="L111" s="147">
        <f t="shared" si="12"/>
        <v>1</v>
      </c>
    </row>
    <row r="112" spans="2:12" s="80" customFormat="1" ht="33" customHeight="1" x14ac:dyDescent="0.2">
      <c r="B112" s="1611"/>
      <c r="C112" s="759">
        <f>'Expense Jrnl'!BM$6</f>
        <v>5470</v>
      </c>
      <c r="D112" s="1614"/>
      <c r="E112" s="760" t="str">
        <f>+'Expense Jrnl'!BM$8</f>
        <v>Available (Rename)</v>
      </c>
      <c r="F112" s="797">
        <f>IF($K$1=2,'Expense Jrnl'!BM$13,'Expense Jrnl'!BM$14)</f>
        <v>0</v>
      </c>
      <c r="G112" s="1607"/>
      <c r="H112" s="750"/>
      <c r="I112" s="763">
        <f>'Expense Jrnl'!BM$516</f>
        <v>0</v>
      </c>
      <c r="J112" s="764">
        <f t="shared" si="11"/>
        <v>0</v>
      </c>
      <c r="L112" s="147">
        <f t="shared" si="12"/>
        <v>1</v>
      </c>
    </row>
    <row r="113" spans="2:12" s="80" customFormat="1" ht="33" customHeight="1" x14ac:dyDescent="0.2">
      <c r="B113" s="1611"/>
      <c r="C113" s="759">
        <f>'Expense Jrnl'!BN$6</f>
        <v>5480</v>
      </c>
      <c r="D113" s="1614"/>
      <c r="E113" s="765" t="str">
        <f>+'Expense Jrnl'!BN$8</f>
        <v>Available (Rename)</v>
      </c>
      <c r="F113" s="797">
        <f>IF($K$1=2,'Expense Jrnl'!BN$13,'Expense Jrnl'!BN$14)</f>
        <v>0</v>
      </c>
      <c r="G113" s="1607"/>
      <c r="H113" s="750"/>
      <c r="I113" s="751">
        <f>'Expense Jrnl'!BN$516</f>
        <v>0</v>
      </c>
      <c r="J113" s="752">
        <f t="shared" si="11"/>
        <v>0</v>
      </c>
      <c r="L113" s="147">
        <f t="shared" si="12"/>
        <v>1</v>
      </c>
    </row>
    <row r="114" spans="2:12" s="80" customFormat="1" ht="33" customHeight="1" x14ac:dyDescent="0.2">
      <c r="B114" s="1611"/>
      <c r="C114" s="767">
        <f>'Expense Jrnl'!BO$6</f>
        <v>5490</v>
      </c>
      <c r="D114" s="1614"/>
      <c r="E114" s="775" t="str">
        <f>+'Expense Jrnl'!BO$8</f>
        <v>Available (Rename)</v>
      </c>
      <c r="F114" s="769">
        <f>IF($K$1=2,'Expense Jrnl'!BO$13,'Expense Jrnl'!BO$14)</f>
        <v>0</v>
      </c>
      <c r="G114" s="1607"/>
      <c r="H114" s="756"/>
      <c r="I114" s="757">
        <f>'Expense Jrnl'!BO$516</f>
        <v>0</v>
      </c>
      <c r="J114" s="758">
        <f t="shared" si="11"/>
        <v>0</v>
      </c>
      <c r="L114" s="147">
        <v>0</v>
      </c>
    </row>
    <row r="115" spans="2:12" s="80" customFormat="1" ht="33" customHeight="1" x14ac:dyDescent="0.2">
      <c r="B115" s="1602" t="str">
        <f>CONCATENATE('Expense Jrnl'!BP4," - ",'Expense Jrnl'!BP5)</f>
        <v>5500 - Expenses - Gaming &amp; Lotteries Fundraising</v>
      </c>
      <c r="C115" s="728">
        <f>'Expense Jrnl'!BP$6</f>
        <v>5510</v>
      </c>
      <c r="D115" s="1603"/>
      <c r="E115" s="729" t="str">
        <f>+'Expense Jrnl'!BP$8</f>
        <v>Sqn Lottery/Raffle</v>
      </c>
      <c r="F115" s="771">
        <f>IF($K$1=2,'Expense Jrnl'!BY$13,'Expense Jrnl'!BY$14)</f>
        <v>0</v>
      </c>
      <c r="G115" s="1603"/>
      <c r="H115" s="731"/>
      <c r="I115" s="732">
        <f>'Expense Jrnl'!BP$516</f>
        <v>0</v>
      </c>
      <c r="J115" s="733">
        <f t="shared" si="11"/>
        <v>0</v>
      </c>
      <c r="L115" s="147"/>
    </row>
    <row r="116" spans="2:12" s="80" customFormat="1" ht="33" customHeight="1" x14ac:dyDescent="0.2">
      <c r="B116" s="1602"/>
      <c r="C116" s="518">
        <f>'Expense Jrnl'!BQ$6</f>
        <v>5520</v>
      </c>
      <c r="D116" s="1603"/>
      <c r="E116" s="765" t="str">
        <f>+'Expense Jrnl'!BQ$8</f>
        <v>Available (Rename)</v>
      </c>
      <c r="F116" s="773">
        <f>IF($K$1=2,'Expense Jrnl'!BZ$13,'Expense Jrnl'!BZ$14)</f>
        <v>0</v>
      </c>
      <c r="G116" s="1603"/>
      <c r="H116" s="750"/>
      <c r="I116" s="751">
        <f>'Expense Jrnl'!BQ$516</f>
        <v>0</v>
      </c>
      <c r="J116" s="752">
        <f t="shared" si="11"/>
        <v>0</v>
      </c>
      <c r="L116" s="147"/>
    </row>
    <row r="117" spans="2:12" s="80" customFormat="1" ht="33" customHeight="1" x14ac:dyDescent="0.2">
      <c r="B117" s="1602"/>
      <c r="C117" s="518">
        <f>'Expense Jrnl'!BR$6</f>
        <v>5530</v>
      </c>
      <c r="D117" s="1603"/>
      <c r="E117" s="765" t="str">
        <f>+'Expense Jrnl'!BR$8</f>
        <v>Available (Rename)</v>
      </c>
      <c r="F117" s="773">
        <f>IF($K$1=2,'Expense Jrnl'!CA4,'Expense Jrnl'!CA$14)</f>
        <v>0</v>
      </c>
      <c r="G117" s="1603"/>
      <c r="H117" s="750"/>
      <c r="I117" s="751">
        <f>'Expense Jrnl'!BR$516</f>
        <v>0</v>
      </c>
      <c r="J117" s="752">
        <f t="shared" si="11"/>
        <v>0</v>
      </c>
      <c r="L117" s="147"/>
    </row>
    <row r="118" spans="2:12" s="80" customFormat="1" ht="33" customHeight="1" x14ac:dyDescent="0.2">
      <c r="B118" s="1602"/>
      <c r="C118" s="518">
        <f>'Expense Jrnl'!BS$6</f>
        <v>5540</v>
      </c>
      <c r="D118" s="1603"/>
      <c r="E118" s="765" t="str">
        <f>+'Expense Jrnl'!BS$8</f>
        <v>Available (Rename)</v>
      </c>
      <c r="F118" s="773">
        <f>IF($K$1=2,'Expense Jrnl'!CB$13,'Expense Jrnl'!CB$14)</f>
        <v>0</v>
      </c>
      <c r="G118" s="1603"/>
      <c r="H118" s="750"/>
      <c r="I118" s="751">
        <f>'Expense Jrnl'!BS$516</f>
        <v>0</v>
      </c>
      <c r="J118" s="752">
        <f t="shared" si="11"/>
        <v>0</v>
      </c>
      <c r="L118" s="147"/>
    </row>
    <row r="119" spans="2:12" s="80" customFormat="1" ht="33" customHeight="1" x14ac:dyDescent="0.2">
      <c r="B119" s="1602"/>
      <c r="C119" s="518">
        <f>'Expense Jrnl'!BT$6</f>
        <v>5550</v>
      </c>
      <c r="D119" s="1603"/>
      <c r="E119" s="765" t="str">
        <f>+'Expense Jrnl'!BT$8</f>
        <v>Available (Rename)</v>
      </c>
      <c r="F119" s="773">
        <f>IF($K$1=2,'Expense Jrnl'!CC$13,'Expense Jrnl'!CC$14)</f>
        <v>0</v>
      </c>
      <c r="G119" s="1603"/>
      <c r="H119" s="750"/>
      <c r="I119" s="751">
        <f>'Expense Jrnl'!BT$516</f>
        <v>0</v>
      </c>
      <c r="J119" s="752">
        <f t="shared" si="11"/>
        <v>0</v>
      </c>
      <c r="L119" s="147"/>
    </row>
    <row r="120" spans="2:12" s="80" customFormat="1" ht="33" customHeight="1" x14ac:dyDescent="0.2">
      <c r="B120" s="1602"/>
      <c r="C120" s="518">
        <f>'Expense Jrnl'!BU$6</f>
        <v>5560</v>
      </c>
      <c r="D120" s="1603"/>
      <c r="E120" s="765" t="str">
        <f>+'Expense Jrnl'!BU$8</f>
        <v>Available (Rename)</v>
      </c>
      <c r="F120" s="773">
        <f>IF($K$1=2,'Expense Jrnl'!CD$13,'Expense Jrnl'!CD$14)</f>
        <v>0</v>
      </c>
      <c r="G120" s="1603"/>
      <c r="H120" s="750"/>
      <c r="I120" s="751">
        <f>'Expense Jrnl'!BU$516</f>
        <v>0</v>
      </c>
      <c r="J120" s="752">
        <f t="shared" si="11"/>
        <v>0</v>
      </c>
      <c r="L120" s="147"/>
    </row>
    <row r="121" spans="2:12" s="80" customFormat="1" ht="33" customHeight="1" x14ac:dyDescent="0.2">
      <c r="B121" s="1602"/>
      <c r="C121" s="518">
        <f>'Expense Jrnl'!BV$6</f>
        <v>5570</v>
      </c>
      <c r="D121" s="1603"/>
      <c r="E121" s="765" t="str">
        <f>+'Expense Jrnl'!BV$8</f>
        <v>Available (Rename)</v>
      </c>
      <c r="F121" s="773">
        <f>IF($K$1=2,'Expense Jrnl'!CE$13,'Expense Jrnl'!CE$14)</f>
        <v>0</v>
      </c>
      <c r="G121" s="1603"/>
      <c r="H121" s="750"/>
      <c r="I121" s="751">
        <f>'Expense Jrnl'!BV$516</f>
        <v>0</v>
      </c>
      <c r="J121" s="752">
        <f t="shared" si="11"/>
        <v>0</v>
      </c>
      <c r="L121" s="147"/>
    </row>
    <row r="122" spans="2:12" s="80" customFormat="1" ht="33" customHeight="1" x14ac:dyDescent="0.2">
      <c r="B122" s="1602"/>
      <c r="C122" s="518">
        <f>'Expense Jrnl'!BW$6</f>
        <v>5580</v>
      </c>
      <c r="D122" s="1603"/>
      <c r="E122" s="765" t="str">
        <f>+'Expense Jrnl'!BW$8</f>
        <v>Available (Rename)</v>
      </c>
      <c r="F122" s="773">
        <f>IF($K$1=2,'Expense Jrnl'!CF$13,'Expense Jrnl'!CF$14)</f>
        <v>0</v>
      </c>
      <c r="G122" s="1603"/>
      <c r="H122" s="750"/>
      <c r="I122" s="751">
        <f>'Expense Jrnl'!BW$516</f>
        <v>0</v>
      </c>
      <c r="J122" s="752">
        <f t="shared" si="11"/>
        <v>0</v>
      </c>
      <c r="L122" s="147"/>
    </row>
    <row r="123" spans="2:12" s="80" customFormat="1" ht="33" customHeight="1" x14ac:dyDescent="0.2">
      <c r="B123" s="1602"/>
      <c r="C123" s="774">
        <f>'Expense Jrnl'!BX$6</f>
        <v>5590</v>
      </c>
      <c r="D123" s="1603"/>
      <c r="E123" s="775" t="str">
        <f>+'Expense Jrnl'!BX$8</f>
        <v>Available (Rename)</v>
      </c>
      <c r="F123" s="769">
        <f>IF($K$1=2,'Expense Jrnl'!CG$13,'Expense Jrnl'!CG$14)</f>
        <v>0</v>
      </c>
      <c r="G123" s="1603"/>
      <c r="H123" s="756"/>
      <c r="I123" s="757">
        <f>'Expense Jrnl'!BX$516</f>
        <v>0</v>
      </c>
      <c r="J123" s="758">
        <f t="shared" si="11"/>
        <v>0</v>
      </c>
      <c r="L123" s="147"/>
    </row>
    <row r="124" spans="2:12" s="80" customFormat="1" ht="33" customHeight="1" x14ac:dyDescent="0.2">
      <c r="B124" s="1602" t="str">
        <f>CONCATENATE('Expense Jrnl'!BY4," - ",'Expense Jrnl'!BY5)</f>
        <v>5600 - Expenses - Other Fundraising</v>
      </c>
      <c r="C124" s="728">
        <f>'Expense Jrnl'!BY$6</f>
        <v>5610</v>
      </c>
      <c r="D124" s="1603"/>
      <c r="E124" s="729" t="str">
        <f>+'Expense Jrnl'!BY$8</f>
        <v>Tagging (Fall)</v>
      </c>
      <c r="F124" s="771">
        <f>IF($K$1=2,'Expense Jrnl'!BY$13,'Expense Jrnl'!BY$14)</f>
        <v>0</v>
      </c>
      <c r="G124" s="1603"/>
      <c r="H124" s="731"/>
      <c r="I124" s="732">
        <f>'Expense Jrnl'!BY$516</f>
        <v>0</v>
      </c>
      <c r="J124" s="733">
        <f t="shared" si="11"/>
        <v>0</v>
      </c>
      <c r="L124" s="147">
        <f t="shared" ref="L124:L131" si="13">IF(AND(H124=0,I124=0),1,0)</f>
        <v>1</v>
      </c>
    </row>
    <row r="125" spans="2:12" s="799" customFormat="1" ht="33" customHeight="1" x14ac:dyDescent="0.2">
      <c r="B125" s="1602"/>
      <c r="C125" s="518">
        <f>'Expense Jrnl'!BZ$6</f>
        <v>5620</v>
      </c>
      <c r="D125" s="1603"/>
      <c r="E125" s="765" t="str">
        <f>+'Expense Jrnl'!BZ$8</f>
        <v>Tagging (Spring)</v>
      </c>
      <c r="F125" s="773">
        <f>IF($K$1=2,'Expense Jrnl'!BZ$13,'Expense Jrnl'!BZ$14)</f>
        <v>0</v>
      </c>
      <c r="G125" s="1603"/>
      <c r="H125" s="750"/>
      <c r="I125" s="751">
        <f>'Expense Jrnl'!BZ$516</f>
        <v>0</v>
      </c>
      <c r="J125" s="752">
        <f t="shared" si="11"/>
        <v>0</v>
      </c>
      <c r="L125" s="147">
        <f t="shared" si="13"/>
        <v>1</v>
      </c>
    </row>
    <row r="126" spans="2:12" s="80" customFormat="1" ht="33" customHeight="1" x14ac:dyDescent="0.2">
      <c r="B126" s="1602"/>
      <c r="C126" s="518">
        <f>'Expense Jrnl'!CA$6</f>
        <v>5630</v>
      </c>
      <c r="D126" s="1603"/>
      <c r="E126" s="765" t="str">
        <f>+'Expense Jrnl'!CA$8</f>
        <v>Canteen Expenses</v>
      </c>
      <c r="F126" s="773">
        <f>IF($K$1=2,'Expense Jrnl'!CA13,'Expense Jrnl'!CA$14)</f>
        <v>0</v>
      </c>
      <c r="G126" s="1603"/>
      <c r="H126" s="750"/>
      <c r="I126" s="751">
        <f>'Expense Jrnl'!CA$516</f>
        <v>0</v>
      </c>
      <c r="J126" s="752">
        <f t="shared" si="11"/>
        <v>0</v>
      </c>
      <c r="L126" s="147">
        <f t="shared" si="13"/>
        <v>1</v>
      </c>
    </row>
    <row r="127" spans="2:12" s="80" customFormat="1" ht="33" customHeight="1" x14ac:dyDescent="0.2">
      <c r="B127" s="1602"/>
      <c r="C127" s="518">
        <f>'Expense Jrnl'!CB$6</f>
        <v>5640</v>
      </c>
      <c r="D127" s="1603"/>
      <c r="E127" s="765" t="str">
        <f>+'Expense Jrnl'!CB$8</f>
        <v>Bottle Drive Expenses</v>
      </c>
      <c r="F127" s="773">
        <f>IF($K$1=2,'Expense Jrnl'!CB$13,'Expense Jrnl'!CB$14)</f>
        <v>0</v>
      </c>
      <c r="G127" s="1603"/>
      <c r="H127" s="750"/>
      <c r="I127" s="751">
        <f>'Expense Jrnl'!CB$516</f>
        <v>0</v>
      </c>
      <c r="J127" s="752">
        <f t="shared" si="11"/>
        <v>0</v>
      </c>
      <c r="L127" s="147">
        <f t="shared" si="13"/>
        <v>1</v>
      </c>
    </row>
    <row r="128" spans="2:12" s="80" customFormat="1" ht="33" customHeight="1" x14ac:dyDescent="0.2">
      <c r="B128" s="1602"/>
      <c r="C128" s="518">
        <f>'Expense Jrnl'!CC$6</f>
        <v>5650</v>
      </c>
      <c r="D128" s="1603"/>
      <c r="E128" s="765" t="str">
        <f>+'Expense Jrnl'!CC$8</f>
        <v>Available (Rename)</v>
      </c>
      <c r="F128" s="773">
        <f>IF($K$1=2,'Expense Jrnl'!CC$13,'Expense Jrnl'!CC$14)</f>
        <v>0</v>
      </c>
      <c r="G128" s="1603"/>
      <c r="H128" s="750"/>
      <c r="I128" s="751">
        <f>'Expense Jrnl'!CC$516</f>
        <v>0</v>
      </c>
      <c r="J128" s="752">
        <f t="shared" si="11"/>
        <v>0</v>
      </c>
      <c r="L128" s="147">
        <f t="shared" si="13"/>
        <v>1</v>
      </c>
    </row>
    <row r="129" spans="2:12" s="80" customFormat="1" ht="33" customHeight="1" x14ac:dyDescent="0.2">
      <c r="B129" s="1602"/>
      <c r="C129" s="518">
        <f>'Expense Jrnl'!CD$6</f>
        <v>5660</v>
      </c>
      <c r="D129" s="1603"/>
      <c r="E129" s="765" t="str">
        <f>+'Expense Jrnl'!CD$8</f>
        <v>Available (Rename)</v>
      </c>
      <c r="F129" s="773">
        <f>IF($K$1=2,'Expense Jrnl'!CD$13,'Expense Jrnl'!CD$14)</f>
        <v>0</v>
      </c>
      <c r="G129" s="1603"/>
      <c r="H129" s="750"/>
      <c r="I129" s="751">
        <f>'Expense Jrnl'!CD$516</f>
        <v>0</v>
      </c>
      <c r="J129" s="752">
        <f t="shared" si="11"/>
        <v>0</v>
      </c>
      <c r="L129" s="147">
        <f t="shared" si="13"/>
        <v>1</v>
      </c>
    </row>
    <row r="130" spans="2:12" s="80" customFormat="1" ht="33" customHeight="1" x14ac:dyDescent="0.2">
      <c r="B130" s="1602"/>
      <c r="C130" s="518">
        <f>'Expense Jrnl'!CE$6</f>
        <v>5670</v>
      </c>
      <c r="D130" s="1603"/>
      <c r="E130" s="765" t="str">
        <f>+'Expense Jrnl'!CE$8</f>
        <v>Available (Rename)</v>
      </c>
      <c r="F130" s="773">
        <f>IF($K$1=2,'Expense Jrnl'!CE$13,'Expense Jrnl'!CE$14)</f>
        <v>0</v>
      </c>
      <c r="G130" s="1603"/>
      <c r="H130" s="750"/>
      <c r="I130" s="751">
        <f>'Expense Jrnl'!CE$516</f>
        <v>0</v>
      </c>
      <c r="J130" s="752">
        <f t="shared" si="11"/>
        <v>0</v>
      </c>
      <c r="L130" s="147">
        <f t="shared" si="13"/>
        <v>1</v>
      </c>
    </row>
    <row r="131" spans="2:12" s="80" customFormat="1" ht="33" customHeight="1" x14ac:dyDescent="0.2">
      <c r="B131" s="1602"/>
      <c r="C131" s="518">
        <f>'Expense Jrnl'!CF$6</f>
        <v>5680</v>
      </c>
      <c r="D131" s="1603"/>
      <c r="E131" s="765" t="str">
        <f>+'Expense Jrnl'!CF$8</f>
        <v>Available (Rename)</v>
      </c>
      <c r="F131" s="773">
        <f>IF($K$1=2,'Expense Jrnl'!CF$13,'Expense Jrnl'!CF$14)</f>
        <v>0</v>
      </c>
      <c r="G131" s="1603"/>
      <c r="H131" s="750"/>
      <c r="I131" s="751">
        <f>'Expense Jrnl'!CF$516</f>
        <v>0</v>
      </c>
      <c r="J131" s="752">
        <f t="shared" si="11"/>
        <v>0</v>
      </c>
      <c r="L131" s="147">
        <f t="shared" si="13"/>
        <v>1</v>
      </c>
    </row>
    <row r="132" spans="2:12" s="80" customFormat="1" ht="33" customHeight="1" x14ac:dyDescent="0.2">
      <c r="B132" s="1602"/>
      <c r="C132" s="774">
        <f>'Expense Jrnl'!CG$6</f>
        <v>5690</v>
      </c>
      <c r="D132" s="1603"/>
      <c r="E132" s="775" t="str">
        <f>+'Expense Jrnl'!CG$8</f>
        <v>Available (Rename)</v>
      </c>
      <c r="F132" s="769">
        <f>IF($K$1=2,'Expense Jrnl'!CG$13,'Expense Jrnl'!CG$14)</f>
        <v>0</v>
      </c>
      <c r="G132" s="1603"/>
      <c r="H132" s="756"/>
      <c r="I132" s="757">
        <f>'Expense Jrnl'!CG$516</f>
        <v>0</v>
      </c>
      <c r="J132" s="758">
        <f t="shared" si="11"/>
        <v>0</v>
      </c>
      <c r="L132" s="147">
        <v>0</v>
      </c>
    </row>
    <row r="133" spans="2:12" s="80" customFormat="1" ht="33" customHeight="1" x14ac:dyDescent="0.2">
      <c r="B133" s="1602" t="str">
        <f>CONCATENATE('Expense Jrnl'!CH4," - ",'Expense Jrnl'!CH5)</f>
        <v>5800 - Other Expenses</v>
      </c>
      <c r="C133" s="728">
        <f>'Expense Jrnl'!CH$6</f>
        <v>5810</v>
      </c>
      <c r="D133" s="1603"/>
      <c r="E133" s="729" t="str">
        <f>+'Expense Jrnl'!CH$8</f>
        <v>Travel Expenses (not entered elsewhere)</v>
      </c>
      <c r="F133" s="800"/>
      <c r="G133" s="1603"/>
      <c r="H133" s="731"/>
      <c r="I133" s="732">
        <f>'Expense Jrnl'!CH$516</f>
        <v>0</v>
      </c>
      <c r="J133" s="733">
        <f t="shared" si="11"/>
        <v>0</v>
      </c>
      <c r="L133" s="147">
        <f t="shared" ref="L133:L139" si="14">IF(AND(H133=0,I133=0),1,0)</f>
        <v>1</v>
      </c>
    </row>
    <row r="134" spans="2:12" s="80" customFormat="1" ht="33" customHeight="1" x14ac:dyDescent="0.2">
      <c r="B134" s="1602"/>
      <c r="C134" s="518">
        <f>'Expense Jrnl'!CI$6</f>
        <v>5820</v>
      </c>
      <c r="D134" s="1603"/>
      <c r="E134" s="765" t="str">
        <f>+'Expense Jrnl'!CI$8</f>
        <v>Capital Losts</v>
      </c>
      <c r="F134" s="766"/>
      <c r="G134" s="1603"/>
      <c r="H134" s="750"/>
      <c r="I134" s="751">
        <f>'Expense Jrnl'!CI$516</f>
        <v>0</v>
      </c>
      <c r="J134" s="752">
        <f t="shared" si="11"/>
        <v>0</v>
      </c>
      <c r="L134" s="147">
        <f t="shared" si="14"/>
        <v>1</v>
      </c>
    </row>
    <row r="135" spans="2:12" s="80" customFormat="1" ht="33" customHeight="1" x14ac:dyDescent="0.2">
      <c r="B135" s="1602"/>
      <c r="C135" s="518">
        <f>'Expense Jrnl'!CJ$6</f>
        <v>5830</v>
      </c>
      <c r="D135" s="1603"/>
      <c r="E135" s="765" t="str">
        <f>+'Expense Jrnl'!CJ$8</f>
        <v>Sqn Logo Clothing and Other Sales Items</v>
      </c>
      <c r="F135" s="766">
        <f>IF($K$1=2,'Expense Jrnl'!CJ$13,'Expense Jrnl'!CJ$14)</f>
        <v>0</v>
      </c>
      <c r="G135" s="1603"/>
      <c r="H135" s="750"/>
      <c r="I135" s="751">
        <f>'Expense Jrnl'!CJ$516</f>
        <v>0</v>
      </c>
      <c r="J135" s="752">
        <f t="shared" si="11"/>
        <v>0</v>
      </c>
      <c r="L135" s="147">
        <f t="shared" si="14"/>
        <v>1</v>
      </c>
    </row>
    <row r="136" spans="2:12" s="80" customFormat="1" ht="33" customHeight="1" x14ac:dyDescent="0.2">
      <c r="B136" s="1602"/>
      <c r="C136" s="518">
        <f>'Expense Jrnl'!CK$6</f>
        <v>5840</v>
      </c>
      <c r="D136" s="1603"/>
      <c r="E136" s="765" t="str">
        <f>+'Expense Jrnl'!CK$8</f>
        <v>Available (Rename)</v>
      </c>
      <c r="F136" s="766">
        <f>IF($K$1=2,'Expense Jrnl'!CK$13,'Expense Jrnl'!CK$14)</f>
        <v>0</v>
      </c>
      <c r="G136" s="1603"/>
      <c r="H136" s="750"/>
      <c r="I136" s="751">
        <f>'Expense Jrnl'!CK$516</f>
        <v>0</v>
      </c>
      <c r="J136" s="752">
        <f t="shared" si="11"/>
        <v>0</v>
      </c>
      <c r="L136" s="147">
        <f t="shared" si="14"/>
        <v>1</v>
      </c>
    </row>
    <row r="137" spans="2:12" s="80" customFormat="1" ht="33" customHeight="1" x14ac:dyDescent="0.2">
      <c r="B137" s="1602"/>
      <c r="C137" s="518">
        <f>'Expense Jrnl'!CL$6</f>
        <v>5850</v>
      </c>
      <c r="D137" s="1603"/>
      <c r="E137" s="765" t="str">
        <f>+'Expense Jrnl'!CL$8</f>
        <v>Available (Rename)</v>
      </c>
      <c r="F137" s="766">
        <f>IF($K$1=2,'Expense Jrnl'!CL$13,'Expense Jrnl'!CL$14)</f>
        <v>0</v>
      </c>
      <c r="G137" s="1603"/>
      <c r="H137" s="750"/>
      <c r="I137" s="751">
        <f>'Expense Jrnl'!CL$516</f>
        <v>0</v>
      </c>
      <c r="J137" s="752">
        <f t="shared" si="11"/>
        <v>0</v>
      </c>
      <c r="L137" s="147">
        <f t="shared" si="14"/>
        <v>1</v>
      </c>
    </row>
    <row r="138" spans="2:12" s="80" customFormat="1" ht="33" customHeight="1" x14ac:dyDescent="0.2">
      <c r="B138" s="1602"/>
      <c r="C138" s="518">
        <f>'Expense Jrnl'!CM$6</f>
        <v>5860</v>
      </c>
      <c r="D138" s="1603"/>
      <c r="E138" s="765" t="str">
        <f>+'Expense Jrnl'!CM$8</f>
        <v>Available (Rename)</v>
      </c>
      <c r="F138" s="766">
        <f>IF($K$1=2,'Expense Jrnl'!CM$13,'Expense Jrnl'!CM$14)</f>
        <v>0</v>
      </c>
      <c r="G138" s="1603"/>
      <c r="H138" s="750"/>
      <c r="I138" s="751">
        <f>'Expense Jrnl'!CM$516</f>
        <v>0</v>
      </c>
      <c r="J138" s="752">
        <f t="shared" si="11"/>
        <v>0</v>
      </c>
      <c r="L138" s="147">
        <f t="shared" si="14"/>
        <v>1</v>
      </c>
    </row>
    <row r="139" spans="2:12" s="80" customFormat="1" ht="33" customHeight="1" x14ac:dyDescent="0.2">
      <c r="B139" s="1602"/>
      <c r="C139" s="518">
        <f>'Expense Jrnl'!CN$6</f>
        <v>5870</v>
      </c>
      <c r="D139" s="1603"/>
      <c r="E139" s="765" t="str">
        <f>+'Expense Jrnl'!CN$8</f>
        <v>Available (Rename)</v>
      </c>
      <c r="F139" s="766">
        <f>IF($K$1=2,'Expense Jrnl'!CN$13,'Expense Jrnl'!CN$14)</f>
        <v>0</v>
      </c>
      <c r="G139" s="1603"/>
      <c r="H139" s="750"/>
      <c r="I139" s="751">
        <f>'Expense Jrnl'!CN$516</f>
        <v>0</v>
      </c>
      <c r="J139" s="752">
        <f t="shared" si="11"/>
        <v>0</v>
      </c>
      <c r="L139" s="147">
        <f t="shared" si="14"/>
        <v>1</v>
      </c>
    </row>
    <row r="140" spans="2:12" s="80" customFormat="1" ht="33" customHeight="1" x14ac:dyDescent="0.2">
      <c r="B140" s="1602"/>
      <c r="C140" s="774">
        <f>'Expense Jrnl'!CO$6</f>
        <v>5880</v>
      </c>
      <c r="D140" s="1603"/>
      <c r="E140" s="768" t="str">
        <f>+'Expense Jrnl'!CO$8</f>
        <v>Other Expenses (Must not be Excessive)</v>
      </c>
      <c r="F140" s="769"/>
      <c r="G140" s="1603"/>
      <c r="H140" s="770"/>
      <c r="I140" s="801">
        <f>'Expense Jrnl'!CO$516</f>
        <v>0</v>
      </c>
      <c r="J140" s="802">
        <f t="shared" si="11"/>
        <v>0</v>
      </c>
      <c r="L140" s="147">
        <v>0</v>
      </c>
    </row>
    <row r="141" spans="2:12" s="80" customFormat="1" ht="6.75" customHeight="1" x14ac:dyDescent="0.2">
      <c r="B141" s="155"/>
      <c r="C141" s="206"/>
      <c r="D141" s="206"/>
      <c r="E141" s="803"/>
      <c r="F141" s="154"/>
      <c r="G141" s="154"/>
      <c r="H141" s="776"/>
      <c r="I141" s="804"/>
      <c r="J141" s="776"/>
    </row>
    <row r="142" spans="2:12" s="80" customFormat="1" ht="33.75" customHeight="1" x14ac:dyDescent="0.2">
      <c r="B142" s="155"/>
      <c r="C142" s="206"/>
      <c r="D142" s="206"/>
      <c r="E142" s="1615" t="str">
        <f>IF(K1=2,"Sous-Total","Sub-Total")</f>
        <v>Sub-Total</v>
      </c>
      <c r="F142" s="1615"/>
      <c r="G142" s="1615"/>
      <c r="H142" s="805">
        <f>SUM(H63:H82,H90:H99,H107:H140)</f>
        <v>0</v>
      </c>
      <c r="I142" s="805">
        <f>SUM(I63:I82,I90:I99,I107:I140)</f>
        <v>0</v>
      </c>
      <c r="J142" s="805">
        <f>SUM(J63:J82,J90:J99,J107:J140)</f>
        <v>0</v>
      </c>
    </row>
    <row r="143" spans="2:12" s="1" customFormat="1" ht="6" customHeight="1" x14ac:dyDescent="0.2"/>
    <row r="144" spans="2:12" s="1" customFormat="1" ht="23.25" customHeight="1" x14ac:dyDescent="0.2"/>
    <row r="145" s="1" customFormat="1" ht="24" customHeight="1" x14ac:dyDescent="0.2"/>
    <row r="146" s="1" customFormat="1" ht="12.75" customHeight="1" x14ac:dyDescent="0.2"/>
    <row r="147" s="1" customFormat="1" ht="43.5" customHeight="1" x14ac:dyDescent="0.2"/>
    <row r="148" s="1" customFormat="1" ht="24.75" customHeight="1" x14ac:dyDescent="0.2"/>
    <row r="149" s="1" customFormat="1" ht="24.75" customHeight="1" x14ac:dyDescent="0.2"/>
    <row r="150" s="1" customFormat="1" ht="24.75" customHeight="1" x14ac:dyDescent="0.2"/>
    <row r="151" s="1" customFormat="1" ht="24.75" customHeight="1" x14ac:dyDescent="0.2"/>
    <row r="152" s="1" customFormat="1" ht="24.75" customHeight="1" x14ac:dyDescent="0.2"/>
    <row r="153" s="1" customFormat="1" ht="24.75" customHeight="1" x14ac:dyDescent="0.2"/>
    <row r="154" s="1" customFormat="1" ht="24.75" customHeight="1" x14ac:dyDescent="0.2"/>
    <row r="155" s="1" customFormat="1" ht="24.75" customHeight="1" x14ac:dyDescent="0.2"/>
    <row r="156" s="1" customFormat="1" ht="24.75" customHeight="1" x14ac:dyDescent="0.2"/>
    <row r="157" s="1" customFormat="1" ht="24.75" customHeight="1" x14ac:dyDescent="0.2"/>
    <row r="158" s="1" customFormat="1" ht="24.75" customHeight="1" x14ac:dyDescent="0.2"/>
    <row r="159" s="1" customFormat="1" ht="24.75" customHeight="1" x14ac:dyDescent="0.2"/>
    <row r="160" s="1" customFormat="1" ht="24.75" customHeight="1" x14ac:dyDescent="0.2"/>
    <row r="161" s="1" customFormat="1" ht="24.75" customHeight="1" x14ac:dyDescent="0.2"/>
    <row r="162" s="1" customFormat="1" ht="24.75" customHeight="1" x14ac:dyDescent="0.2"/>
    <row r="163" s="1" customFormat="1" ht="24.75" customHeight="1" x14ac:dyDescent="0.2"/>
    <row r="164" s="1" customFormat="1" ht="24.75" customHeight="1" x14ac:dyDescent="0.2"/>
    <row r="165" s="1" customFormat="1" ht="24.75" customHeight="1" x14ac:dyDescent="0.2"/>
    <row r="166" s="1" customFormat="1" ht="24.75" customHeight="1" x14ac:dyDescent="0.2"/>
    <row r="167" s="1" customFormat="1" ht="24.75" customHeight="1" x14ac:dyDescent="0.2"/>
    <row r="168" s="1" customFormat="1" ht="24.75" customHeight="1" x14ac:dyDescent="0.2"/>
    <row r="169" s="1" customFormat="1" ht="24.75" customHeight="1" x14ac:dyDescent="0.2"/>
    <row r="170" s="1" customFormat="1" ht="24.75" customHeight="1" x14ac:dyDescent="0.2"/>
    <row r="171" s="1" customFormat="1" ht="24.75" customHeight="1" x14ac:dyDescent="0.2"/>
    <row r="172" s="1" customFormat="1" ht="24.75" customHeight="1" x14ac:dyDescent="0.2"/>
    <row r="173" s="1" customFormat="1" ht="24.75" customHeight="1" x14ac:dyDescent="0.2"/>
    <row r="174" s="1" customFormat="1" ht="24.75" customHeight="1" x14ac:dyDescent="0.2"/>
    <row r="175" s="1" customFormat="1" ht="24.75" customHeight="1" x14ac:dyDescent="0.2"/>
    <row r="176" s="1" customFormat="1" ht="24.75" customHeight="1" x14ac:dyDescent="0.2"/>
    <row r="177" spans="8:10" s="1" customFormat="1" ht="24.75" customHeight="1" x14ac:dyDescent="0.2"/>
    <row r="178" spans="8:10" s="1" customFormat="1" ht="24.75" customHeight="1" x14ac:dyDescent="0.2"/>
    <row r="179" spans="8:10" s="1" customFormat="1" ht="24.75" customHeight="1" x14ac:dyDescent="0.2"/>
    <row r="180" spans="8:10" s="1" customFormat="1" ht="24.75" customHeight="1" x14ac:dyDescent="0.2"/>
    <row r="181" spans="8:10" s="1" customFormat="1" ht="24.75" customHeight="1" x14ac:dyDescent="0.2"/>
    <row r="182" spans="8:10" s="1" customFormat="1" ht="24.75" customHeight="1" x14ac:dyDescent="0.2"/>
    <row r="183" spans="8:10" s="1" customFormat="1" ht="24.75" customHeight="1" x14ac:dyDescent="0.2"/>
    <row r="184" spans="8:10" s="1" customFormat="1" ht="24.75" customHeight="1" x14ac:dyDescent="0.2"/>
    <row r="185" spans="8:10" ht="24.75" customHeight="1" x14ac:dyDescent="0.2"/>
    <row r="186" spans="8:10" ht="24.75" customHeight="1" x14ac:dyDescent="0.2"/>
    <row r="187" spans="8:10" s="1" customFormat="1" ht="24.75" customHeight="1" x14ac:dyDescent="0.2">
      <c r="H187" s="706"/>
      <c r="I187" s="703"/>
      <c r="J187" s="706"/>
    </row>
    <row r="188" spans="8:10" s="1" customFormat="1" ht="24.75" customHeight="1" x14ac:dyDescent="0.2">
      <c r="H188" s="706"/>
      <c r="I188" s="703"/>
      <c r="J188" s="706"/>
    </row>
    <row r="189" spans="8:10" s="1" customFormat="1" ht="24.75" customHeight="1" x14ac:dyDescent="0.2">
      <c r="H189" s="706"/>
      <c r="I189" s="703"/>
      <c r="J189" s="706"/>
    </row>
    <row r="190" spans="8:10" s="1" customFormat="1" ht="24.75" customHeight="1" x14ac:dyDescent="0.2">
      <c r="H190" s="706"/>
      <c r="I190" s="703"/>
      <c r="J190" s="706"/>
    </row>
    <row r="191" spans="8:10" s="1" customFormat="1" ht="24.75" customHeight="1" x14ac:dyDescent="0.2">
      <c r="H191" s="706"/>
      <c r="I191" s="703"/>
      <c r="J191" s="706"/>
    </row>
    <row r="192" spans="8:10" s="1" customFormat="1" ht="24.75" customHeight="1" x14ac:dyDescent="0.2">
      <c r="H192" s="706"/>
      <c r="I192" s="703"/>
      <c r="J192" s="706"/>
    </row>
    <row r="193" spans="8:10" s="1" customFormat="1" ht="24.75" customHeight="1" x14ac:dyDescent="0.2">
      <c r="H193" s="706"/>
      <c r="I193" s="703"/>
      <c r="J193" s="706"/>
    </row>
    <row r="194" spans="8:10" s="1" customFormat="1" ht="24.75" customHeight="1" x14ac:dyDescent="0.2">
      <c r="H194" s="706"/>
    </row>
    <row r="195" spans="8:10" s="1" customFormat="1" ht="24.75" customHeight="1" x14ac:dyDescent="0.2">
      <c r="H195" s="706"/>
    </row>
    <row r="196" spans="8:10" s="1" customFormat="1" ht="18.75" customHeight="1" x14ac:dyDescent="0.2">
      <c r="H196" s="706"/>
    </row>
    <row r="197" spans="8:10" s="1" customFormat="1" ht="18.75" customHeight="1" x14ac:dyDescent="0.2">
      <c r="H197" s="706"/>
    </row>
    <row r="198" spans="8:10" s="1" customFormat="1" ht="18.75" customHeight="1" x14ac:dyDescent="0.2">
      <c r="H198" s="706"/>
    </row>
    <row r="199" spans="8:10" s="1" customFormat="1" ht="18.75" customHeight="1" x14ac:dyDescent="0.2">
      <c r="H199" s="706"/>
    </row>
    <row r="200" spans="8:10" s="1" customFormat="1" ht="18.75" customHeight="1" x14ac:dyDescent="0.2">
      <c r="H200" s="706"/>
    </row>
    <row r="201" spans="8:10" s="1" customFormat="1" ht="18.75" customHeight="1" x14ac:dyDescent="0.2">
      <c r="H201" s="706"/>
    </row>
    <row r="202" spans="8:10" s="1" customFormat="1" ht="18.75" customHeight="1" x14ac:dyDescent="0.2">
      <c r="H202" s="706"/>
    </row>
    <row r="203" spans="8:10" s="1" customFormat="1" ht="18.75" customHeight="1" x14ac:dyDescent="0.2">
      <c r="H203" s="706"/>
    </row>
    <row r="204" spans="8:10" s="1" customFormat="1" ht="18.75" customHeight="1" x14ac:dyDescent="0.2">
      <c r="H204" s="706"/>
    </row>
    <row r="205" spans="8:10" s="1" customFormat="1" ht="23.25" customHeight="1" x14ac:dyDescent="0.2">
      <c r="H205" s="706"/>
    </row>
    <row r="206" spans="8:10" s="1" customFormat="1" ht="23.25" customHeight="1" x14ac:dyDescent="0.2">
      <c r="H206" s="706"/>
    </row>
    <row r="207" spans="8:10" s="1" customFormat="1" ht="23.25" customHeight="1" x14ac:dyDescent="0.2">
      <c r="H207" s="706"/>
    </row>
    <row r="208" spans="8:10" s="1" customFormat="1" ht="23.25" customHeight="1" x14ac:dyDescent="0.2">
      <c r="H208" s="706"/>
    </row>
    <row r="209" spans="8:8" s="1" customFormat="1" ht="23.25" customHeight="1" x14ac:dyDescent="0.2">
      <c r="H209" s="706"/>
    </row>
    <row r="210" spans="8:8" s="1" customFormat="1" ht="23.25" customHeight="1" x14ac:dyDescent="0.2">
      <c r="H210" s="706"/>
    </row>
    <row r="211" spans="8:8" s="1" customFormat="1" ht="23.25" customHeight="1" x14ac:dyDescent="0.2">
      <c r="H211" s="706"/>
    </row>
    <row r="212" spans="8:8" s="1" customFormat="1" ht="23.25" customHeight="1" x14ac:dyDescent="0.2">
      <c r="H212" s="706"/>
    </row>
    <row r="213" spans="8:8" s="1" customFormat="1" ht="23.25" customHeight="1" x14ac:dyDescent="0.2">
      <c r="H213" s="706"/>
    </row>
    <row r="214" spans="8:8" s="1" customFormat="1" ht="23.25" customHeight="1" x14ac:dyDescent="0.2">
      <c r="H214" s="706"/>
    </row>
    <row r="215" spans="8:8" s="1" customFormat="1" ht="23.25" customHeight="1" x14ac:dyDescent="0.2">
      <c r="H215" s="706"/>
    </row>
    <row r="216" spans="8:8" s="1" customFormat="1" x14ac:dyDescent="0.2">
      <c r="H216" s="706"/>
    </row>
    <row r="217" spans="8:8" s="1" customFormat="1" x14ac:dyDescent="0.2">
      <c r="H217" s="706"/>
    </row>
    <row r="218" spans="8:8" s="1" customFormat="1" x14ac:dyDescent="0.2">
      <c r="H218" s="706"/>
    </row>
    <row r="219" spans="8:8" s="1" customFormat="1" x14ac:dyDescent="0.2">
      <c r="H219" s="706"/>
    </row>
    <row r="220" spans="8:8" s="1" customFormat="1" x14ac:dyDescent="0.2">
      <c r="H220" s="706"/>
    </row>
    <row r="221" spans="8:8" s="1" customFormat="1" x14ac:dyDescent="0.2">
      <c r="H221" s="706"/>
    </row>
    <row r="222" spans="8:8" s="1" customFormat="1" x14ac:dyDescent="0.2">
      <c r="H222" s="706"/>
    </row>
    <row r="223" spans="8:8" s="1" customFormat="1" x14ac:dyDescent="0.2">
      <c r="H223" s="706"/>
    </row>
    <row r="224" spans="8:8" s="1" customFormat="1" x14ac:dyDescent="0.2">
      <c r="H224" s="706"/>
    </row>
    <row r="225" spans="8:8" s="1" customFormat="1" x14ac:dyDescent="0.2">
      <c r="H225" s="706"/>
    </row>
    <row r="226" spans="8:8" s="1" customFormat="1" x14ac:dyDescent="0.2">
      <c r="H226" s="706"/>
    </row>
    <row r="227" spans="8:8" s="1" customFormat="1" x14ac:dyDescent="0.2">
      <c r="H227" s="706"/>
    </row>
    <row r="228" spans="8:8" s="1" customFormat="1" x14ac:dyDescent="0.2">
      <c r="H228" s="706"/>
    </row>
  </sheetData>
  <sheetProtection algorithmName="SHA-512" hashValue="ANCUMs25Ogv07MM8f+6mESSj5FKHKw+o8SAxyMgY0+bEwhqB8bS6Pj7LzA/bfnKUzxVQA4mStBpLqUzhACAvbQ==" saltValue="7uChgDZT4nwqo+UKl6mwFw==" spinCount="100000" sheet="1" objects="1" scenarios="1" selectLockedCells="1"/>
  <mergeCells count="56">
    <mergeCell ref="B133:B140"/>
    <mergeCell ref="D133:D140"/>
    <mergeCell ref="G133:G140"/>
    <mergeCell ref="E142:G142"/>
    <mergeCell ref="B115:B123"/>
    <mergeCell ref="D115:D123"/>
    <mergeCell ref="G115:G123"/>
    <mergeCell ref="B124:B132"/>
    <mergeCell ref="D124:D132"/>
    <mergeCell ref="G124:G132"/>
    <mergeCell ref="B82:B114"/>
    <mergeCell ref="C82:C89"/>
    <mergeCell ref="H83:H89"/>
    <mergeCell ref="D90:D98"/>
    <mergeCell ref="G90:G98"/>
    <mergeCell ref="C99:C106"/>
    <mergeCell ref="H100:H106"/>
    <mergeCell ref="D107:D110"/>
    <mergeCell ref="G107:G114"/>
    <mergeCell ref="D112:D114"/>
    <mergeCell ref="E60:G60"/>
    <mergeCell ref="B62:J62"/>
    <mergeCell ref="B63:B81"/>
    <mergeCell ref="D63:D81"/>
    <mergeCell ref="G63:G81"/>
    <mergeCell ref="B41:B49"/>
    <mergeCell ref="D41:D49"/>
    <mergeCell ref="G41:G49"/>
    <mergeCell ref="B50:B58"/>
    <mergeCell ref="D50:D58"/>
    <mergeCell ref="G50:G58"/>
    <mergeCell ref="B23:B31"/>
    <mergeCell ref="D23:D31"/>
    <mergeCell ref="G23:G31"/>
    <mergeCell ref="B32:B40"/>
    <mergeCell ref="D32:D40"/>
    <mergeCell ref="G32:G40"/>
    <mergeCell ref="B9:J9"/>
    <mergeCell ref="B10:B22"/>
    <mergeCell ref="D10:D11"/>
    <mergeCell ref="G10:G11"/>
    <mergeCell ref="C12:C16"/>
    <mergeCell ref="H13:H16"/>
    <mergeCell ref="D17:D22"/>
    <mergeCell ref="G17:G22"/>
    <mergeCell ref="H4:J4"/>
    <mergeCell ref="B6:C6"/>
    <mergeCell ref="I6:J6"/>
    <mergeCell ref="L6:O7"/>
    <mergeCell ref="B8:J8"/>
    <mergeCell ref="B1:J1"/>
    <mergeCell ref="M1:N1"/>
    <mergeCell ref="B2:J2"/>
    <mergeCell ref="L2:M2"/>
    <mergeCell ref="B3:J3"/>
    <mergeCell ref="L3:M3"/>
  </mergeCells>
  <conditionalFormatting sqref="L6">
    <cfRule type="expression" dxfId="51" priority="2">
      <formula>L1="Y"</formula>
    </cfRule>
  </conditionalFormatting>
  <conditionalFormatting sqref="G4:G5">
    <cfRule type="expression" dxfId="50" priority="3">
      <formula>M6="Y"</formula>
    </cfRule>
  </conditionalFormatting>
  <conditionalFormatting sqref="F23:F40">
    <cfRule type="cellIs" dxfId="49" priority="4" operator="equal">
      <formula>0</formula>
    </cfRule>
  </conditionalFormatting>
  <conditionalFormatting sqref="M8">
    <cfRule type="expression" dxfId="48" priority="5">
      <formula>N8&lt;&gt;0</formula>
    </cfRule>
  </conditionalFormatting>
  <conditionalFormatting sqref="N8">
    <cfRule type="cellIs" dxfId="47" priority="6" operator="notEqual">
      <formula>0</formula>
    </cfRule>
  </conditionalFormatting>
  <conditionalFormatting sqref="O8">
    <cfRule type="expression" dxfId="46" priority="7">
      <formula>N8&lt;&gt;0</formula>
    </cfRule>
  </conditionalFormatting>
  <conditionalFormatting sqref="I10:J11 I63:J81 I83:J98 I100:J140 I13:J58">
    <cfRule type="cellIs" dxfId="45" priority="8" operator="equal">
      <formula>0</formula>
    </cfRule>
  </conditionalFormatting>
  <conditionalFormatting sqref="F10:F11 F63:F81 F90:F99 F107:F114 F124:F140 F17:F58">
    <cfRule type="cellIs" dxfId="44" priority="9" operator="equal">
      <formula>0</formula>
    </cfRule>
  </conditionalFormatting>
  <conditionalFormatting sqref="H12:J12 H82:J82 H99:J99">
    <cfRule type="cellIs" dxfId="43" priority="10" operator="equal">
      <formula>0</formula>
    </cfRule>
  </conditionalFormatting>
  <conditionalFormatting sqref="F115:F123">
    <cfRule type="cellIs" dxfId="42" priority="11" operator="equal">
      <formula>0</formula>
    </cfRule>
  </conditionalFormatting>
  <dataValidations count="1">
    <dataValidation type="date" operator="greaterThan" allowBlank="1" showInputMessage="1" showErrorMessage="1" sqref="G6">
      <formula1>42917</formula1>
      <formula2>0</formula2>
    </dataValidation>
  </dataValidations>
  <printOptions horizontalCentered="1"/>
  <pageMargins left="0.35416666666666702" right="0.15763888888888899" top="0.22986111111111099" bottom="0.31458333333333299" header="0.511811023622047" footer="0.118055555555556"/>
  <pageSetup fitToHeight="0" orientation="portrait" horizontalDpi="300" verticalDpi="300"/>
  <headerFooter>
    <oddFooter>&amp;L&amp;D&amp;R&amp;P/&amp;N</oddFooter>
  </headerFooter>
  <rowBreaks count="3" manualBreakCount="3">
    <brk id="40" max="16383" man="1"/>
    <brk id="61" max="16383" man="1"/>
    <brk id="99" max="16383" man="1"/>
  </rowBreaks>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499984740745262"/>
  </sheetPr>
  <dimension ref="A1:AMJ63"/>
  <sheetViews>
    <sheetView showGridLines="0" showRowColHeaders="0" showZeros="0" zoomScale="85" zoomScaleNormal="85" workbookViewId="0">
      <selection activeCell="D36" sqref="D36:F36"/>
    </sheetView>
  </sheetViews>
  <sheetFormatPr defaultColWidth="11.42578125" defaultRowHeight="12.75" x14ac:dyDescent="0.2"/>
  <cols>
    <col min="1" max="1" width="55.28515625" style="1" customWidth="1"/>
    <col min="2" max="2" width="10.7109375" style="1" customWidth="1"/>
    <col min="3" max="3" width="11.28515625" style="1" customWidth="1"/>
    <col min="4" max="4" width="23.85546875" style="1" customWidth="1"/>
    <col min="5" max="5" width="14.7109375" style="1" customWidth="1"/>
    <col min="6" max="6" width="19.28515625" style="1" customWidth="1"/>
    <col min="7" max="7" width="9.140625" style="1" customWidth="1"/>
    <col min="8" max="8" width="24.85546875" style="1" customWidth="1"/>
    <col min="9" max="9" width="23" style="1" customWidth="1"/>
    <col min="10" max="10" width="20.28515625" style="1" customWidth="1"/>
    <col min="11" max="13" width="18.28515625" style="1" customWidth="1"/>
    <col min="14" max="14" width="8.7109375" style="1" hidden="1" customWidth="1"/>
    <col min="15" max="256" width="9.140625" style="1" customWidth="1"/>
    <col min="257" max="1024" width="11.42578125" style="1"/>
  </cols>
  <sheetData>
    <row r="1" spans="2:14" ht="33.75" customHeight="1" x14ac:dyDescent="0.4">
      <c r="B1" s="1452" t="str">
        <f>IF(N4=2, "Feuille de travail - Investissements","Investments Worksheet")</f>
        <v>Investments Worksheet</v>
      </c>
      <c r="C1" s="1452"/>
      <c r="D1" s="1452"/>
      <c r="E1" s="1452"/>
      <c r="F1" s="1452"/>
      <c r="G1" s="1452"/>
      <c r="H1" s="1452"/>
      <c r="I1" s="1452"/>
      <c r="J1" s="1452"/>
      <c r="K1" s="1452"/>
      <c r="L1" s="1452"/>
      <c r="M1" s="1452"/>
    </row>
    <row r="2" spans="2:14" ht="33.75" customHeight="1" x14ac:dyDescent="0.2">
      <c r="B2" s="1569">
        <f>'Data Set up'!B2:I2</f>
        <v>0</v>
      </c>
      <c r="C2" s="1569"/>
      <c r="D2" s="1569"/>
      <c r="E2" s="1569"/>
      <c r="F2" s="1569"/>
      <c r="G2" s="1569"/>
      <c r="H2" s="1569"/>
      <c r="I2" s="1569"/>
      <c r="J2" s="1569"/>
      <c r="K2" s="1569"/>
      <c r="L2" s="1569"/>
      <c r="M2" s="1569"/>
    </row>
    <row r="3" spans="2:14" ht="35.25" customHeight="1" x14ac:dyDescent="0.2">
      <c r="B3" s="1454" t="str">
        <f>'Revenue Jrnl'!B3:P3</f>
        <v>For the period from 1 september 2023 to 31 August 2024</v>
      </c>
      <c r="C3" s="1454"/>
      <c r="D3" s="1454"/>
      <c r="E3" s="1454"/>
      <c r="F3" s="1454"/>
      <c r="G3" s="1454"/>
      <c r="H3" s="1454"/>
      <c r="I3" s="1454"/>
      <c r="J3" s="1454"/>
      <c r="K3" s="1454"/>
      <c r="L3" s="1454"/>
      <c r="M3" s="1454"/>
    </row>
    <row r="4" spans="2:14" ht="40.5" customHeight="1" x14ac:dyDescent="0.2">
      <c r="B4" s="1616" t="str">
        <f>IF(N4=2,"Cet onglet est une feuille de travail seulement et n'a aucun impact sur les autres onglets.","This tab is only a Working Sheet and 
has no impact on other tabs.")</f>
        <v>This tab is only a Working Sheet and 
has no impact on other tabs.</v>
      </c>
      <c r="C4" s="1616"/>
      <c r="D4" s="1616"/>
      <c r="E4" s="1616"/>
      <c r="F4" s="1616"/>
      <c r="G4" s="1616"/>
      <c r="H4" s="1616"/>
      <c r="I4" s="1616"/>
      <c r="J4" s="1616"/>
      <c r="K4" s="1616"/>
      <c r="L4" s="1616"/>
      <c r="M4" s="1616"/>
      <c r="N4" s="147">
        <f>'Data Set up'!K10</f>
        <v>1</v>
      </c>
    </row>
    <row r="5" spans="2:14" ht="15.75" x14ac:dyDescent="0.2">
      <c r="B5" s="1617" t="str">
        <f>IF($N$4=2,"Intérêts versés périodiquement","Interests paid periodically")</f>
        <v>Interests paid periodically</v>
      </c>
      <c r="C5" s="1617"/>
      <c r="D5" s="1617"/>
      <c r="E5" s="1617"/>
      <c r="F5" s="1617"/>
      <c r="G5" s="1617"/>
      <c r="H5" s="1617"/>
      <c r="I5" s="1617"/>
      <c r="J5" s="1617"/>
      <c r="K5" s="1617"/>
      <c r="L5" s="1617"/>
      <c r="M5" s="1617"/>
    </row>
    <row r="6" spans="2:14" ht="20.25" customHeight="1" x14ac:dyDescent="0.2">
      <c r="B6" s="806"/>
      <c r="D6" s="1618" t="s">
        <v>738</v>
      </c>
      <c r="E6" s="1618"/>
      <c r="F6" s="1618"/>
    </row>
    <row r="7" spans="2:14" x14ac:dyDescent="0.2">
      <c r="H7" s="1619"/>
      <c r="I7" s="1619"/>
      <c r="J7" s="1619"/>
      <c r="K7" s="1619"/>
    </row>
    <row r="8" spans="2:14" ht="25.5" customHeight="1" x14ac:dyDescent="0.2">
      <c r="B8" s="1620" t="str">
        <f>IF(N4=2,"Total des Investissements - fin de l'année ","Total Investments At Cost last year closing")</f>
        <v>Total Investments At Cost last year closing</v>
      </c>
      <c r="C8" s="1620"/>
      <c r="D8" s="1620"/>
      <c r="E8" s="807">
        <f>'Data Set up'!F39</f>
        <v>2023</v>
      </c>
      <c r="F8" s="808">
        <f>IF($D$6="",0,LOOKUP(D6,'Acct Detailed Reconcil'!AA13:AA19,'Acct Detailed Reconcil'!W13:W19))</f>
        <v>0</v>
      </c>
      <c r="H8" s="1619"/>
      <c r="I8" s="1619"/>
      <c r="J8" s="1619"/>
      <c r="K8" s="1619"/>
      <c r="L8" s="1619"/>
    </row>
    <row r="9" spans="2:14" ht="25.5" customHeight="1" x14ac:dyDescent="0.2">
      <c r="B9" s="1621" t="str">
        <f>'Acct Detailed Reconcil'!C97</f>
        <v>Plus: Purchases (Revenue Jrnl)</v>
      </c>
      <c r="C9" s="1621"/>
      <c r="D9" s="1621"/>
      <c r="E9" s="1621"/>
      <c r="F9" s="808">
        <f>IF($D$6="",0,LOOKUP(D6,'Acct Detailed Reconcil'!AA13:AA19,'Acct Detailed Reconcil'!X13:X19))</f>
        <v>0</v>
      </c>
      <c r="G9" s="586"/>
      <c r="H9" s="809"/>
      <c r="I9" s="810"/>
    </row>
    <row r="10" spans="2:14" ht="25.5" customHeight="1" x14ac:dyDescent="0.2">
      <c r="B10" s="1622" t="str">
        <f>'Acct Detailed Reconcil'!C98</f>
        <v>Less: Sales (Expense Jrnl)</v>
      </c>
      <c r="C10" s="1622"/>
      <c r="D10" s="1622"/>
      <c r="E10" s="1622"/>
      <c r="F10" s="808">
        <f>IF($D$6="",0,LOOKUP(D6,'Acct Detailed Reconcil'!AA13:AA19,'Acct Detailed Reconcil'!Y13:Y19))</f>
        <v>0</v>
      </c>
      <c r="H10" s="811"/>
    </row>
    <row r="11" spans="2:14" ht="25.5" customHeight="1" x14ac:dyDescent="0.2">
      <c r="B11" s="1623" t="str">
        <f>IF($N$4=2,"Fonds disponibles pour ce compte d'investissement","This Investment Account funds Available")</f>
        <v>This Investment Account funds Available</v>
      </c>
      <c r="C11" s="1623"/>
      <c r="D11" s="1623"/>
      <c r="E11" s="1623"/>
      <c r="F11" s="812">
        <f>+F8+F9-F10</f>
        <v>0</v>
      </c>
      <c r="H11" s="811"/>
      <c r="I11" s="813"/>
      <c r="J11" s="813"/>
      <c r="K11" s="814"/>
      <c r="L11" s="814"/>
      <c r="M11" s="814"/>
    </row>
    <row r="12" spans="2:14" ht="25.5" customHeight="1" x14ac:dyDescent="0.2">
      <c r="F12" s="815"/>
      <c r="H12" s="1624" t="str">
        <f>IF(N4=2,"Numéro de certificat","GIC/TDR Certificate number")</f>
        <v>GIC/TDR Certificate number</v>
      </c>
      <c r="I12" s="1624" t="str">
        <f>IF($N$4=2,"Date d'émission
(jj/mm/aaaa)","GIC/TDR Issue date
(dd/mm/yyyy)")</f>
        <v>GIC/TDR Issue date
(dd/mm/yyyy)</v>
      </c>
      <c r="J12" s="1625" t="str">
        <f>IF($N$4=2,"Date de maturité
(jj/mm/aaaa)","Maturity date
(dd/mm/yyyy)")</f>
        <v>Maturity date
(dd/mm/yyyy)</v>
      </c>
      <c r="K12" s="1626" t="str">
        <f>IF(N4=2,"Valeur à l'achat","Purchase Value")</f>
        <v>Purchase Value</v>
      </c>
      <c r="L12" s="1627" t="str">
        <f>IF(N4=2,"Si vendu à maturité pendant la période courante","If sold at maturity during Current Period")</f>
        <v>If sold at maturity during Current Period</v>
      </c>
      <c r="M12" s="1627"/>
    </row>
    <row r="13" spans="2:14" ht="25.5" customHeight="1" x14ac:dyDescent="0.2">
      <c r="F13" s="815"/>
      <c r="H13" s="1624"/>
      <c r="I13" s="1624"/>
      <c r="J13" s="1625"/>
      <c r="K13" s="1626"/>
      <c r="L13" s="816" t="str">
        <f>IF(N4=2,"Valeur reçue","Amount Received")</f>
        <v>Amount Received</v>
      </c>
      <c r="M13" s="817" t="str">
        <f>IF(N4=2,"Intérêts versés","Paid Interests")</f>
        <v>Paid Interests</v>
      </c>
    </row>
    <row r="14" spans="2:14" ht="25.5" customHeight="1" x14ac:dyDescent="0.2">
      <c r="F14" s="815"/>
      <c r="H14" s="818"/>
      <c r="I14" s="819"/>
      <c r="J14" s="819"/>
      <c r="K14" s="820"/>
      <c r="L14" s="821"/>
      <c r="M14" s="821"/>
    </row>
    <row r="15" spans="2:14" ht="25.5" customHeight="1" x14ac:dyDescent="0.2">
      <c r="F15" s="815"/>
      <c r="H15" s="818"/>
      <c r="I15" s="819"/>
      <c r="J15" s="819"/>
      <c r="K15" s="820"/>
      <c r="L15" s="821"/>
      <c r="M15" s="821"/>
    </row>
    <row r="16" spans="2:14" ht="25.5" customHeight="1" x14ac:dyDescent="0.2">
      <c r="F16" s="815"/>
      <c r="H16" s="818"/>
      <c r="I16" s="819"/>
      <c r="J16" s="819"/>
      <c r="K16" s="820"/>
      <c r="L16" s="821"/>
      <c r="M16" s="821"/>
    </row>
    <row r="17" spans="2:13" ht="25.5" customHeight="1" x14ac:dyDescent="0.2">
      <c r="F17" s="815"/>
      <c r="H17" s="822"/>
      <c r="I17" s="819"/>
      <c r="J17" s="819"/>
      <c r="K17" s="820"/>
      <c r="L17" s="821"/>
      <c r="M17" s="821"/>
    </row>
    <row r="18" spans="2:13" ht="25.5" customHeight="1" x14ac:dyDescent="0.2">
      <c r="F18" s="815"/>
      <c r="H18" s="822"/>
      <c r="I18" s="819"/>
      <c r="J18" s="819"/>
      <c r="K18" s="820"/>
      <c r="L18" s="821"/>
      <c r="M18" s="821"/>
    </row>
    <row r="19" spans="2:13" ht="25.5" customHeight="1" x14ac:dyDescent="0.2">
      <c r="F19" s="815"/>
      <c r="H19" s="822"/>
      <c r="I19" s="819"/>
      <c r="J19" s="819"/>
      <c r="K19" s="820"/>
      <c r="L19" s="821"/>
      <c r="M19" s="821"/>
    </row>
    <row r="20" spans="2:13" ht="25.5" customHeight="1" x14ac:dyDescent="0.2">
      <c r="F20" s="815"/>
      <c r="G20" s="586"/>
      <c r="H20" s="822"/>
      <c r="I20" s="819"/>
      <c r="J20" s="819"/>
      <c r="K20" s="820"/>
      <c r="L20" s="821"/>
      <c r="M20" s="821"/>
    </row>
    <row r="21" spans="2:13" ht="25.5" customHeight="1" x14ac:dyDescent="0.2">
      <c r="F21" s="815"/>
      <c r="H21" s="822"/>
      <c r="I21" s="819"/>
      <c r="J21" s="819"/>
      <c r="K21" s="820"/>
      <c r="L21" s="821"/>
      <c r="M21" s="821"/>
    </row>
    <row r="22" spans="2:13" ht="25.5" customHeight="1" x14ac:dyDescent="0.2">
      <c r="F22" s="815"/>
      <c r="H22" s="822"/>
      <c r="I22" s="819"/>
      <c r="J22" s="819"/>
      <c r="K22" s="820"/>
      <c r="L22" s="821"/>
      <c r="M22" s="821"/>
    </row>
    <row r="23" spans="2:13" ht="25.5" customHeight="1" x14ac:dyDescent="0.2">
      <c r="F23" s="815"/>
      <c r="H23" s="822"/>
      <c r="I23" s="819"/>
      <c r="J23" s="819"/>
      <c r="K23" s="820"/>
      <c r="L23" s="821"/>
      <c r="M23" s="821"/>
    </row>
    <row r="24" spans="2:13" ht="25.5" customHeight="1" x14ac:dyDescent="0.2">
      <c r="F24" s="815"/>
      <c r="H24" s="822"/>
      <c r="I24" s="819"/>
      <c r="J24" s="819"/>
      <c r="K24" s="820"/>
      <c r="L24" s="821"/>
      <c r="M24" s="821"/>
    </row>
    <row r="25" spans="2:13" ht="25.5" customHeight="1" x14ac:dyDescent="0.2">
      <c r="F25" s="815"/>
      <c r="H25" s="822"/>
      <c r="I25" s="819"/>
      <c r="J25" s="819"/>
      <c r="K25" s="820"/>
      <c r="L25" s="821"/>
      <c r="M25" s="821"/>
    </row>
    <row r="26" spans="2:13" ht="25.5" customHeight="1" x14ac:dyDescent="0.2">
      <c r="F26" s="815"/>
      <c r="H26" s="822"/>
      <c r="I26" s="819"/>
      <c r="J26" s="819"/>
      <c r="K26" s="820"/>
      <c r="L26" s="821"/>
      <c r="M26" s="821"/>
    </row>
    <row r="27" spans="2:13" ht="25.5" customHeight="1" x14ac:dyDescent="0.2">
      <c r="F27" s="815"/>
      <c r="H27" s="822"/>
      <c r="I27" s="819"/>
      <c r="J27" s="819"/>
      <c r="K27" s="820"/>
      <c r="L27" s="821"/>
      <c r="M27" s="821"/>
    </row>
    <row r="28" spans="2:13" ht="25.5" customHeight="1" x14ac:dyDescent="0.2">
      <c r="F28" s="815"/>
      <c r="H28" s="822"/>
      <c r="I28" s="819"/>
      <c r="J28" s="819"/>
      <c r="K28" s="820"/>
      <c r="L28" s="821"/>
      <c r="M28" s="821"/>
    </row>
    <row r="29" spans="2:13" ht="25.5" customHeight="1" x14ac:dyDescent="0.2">
      <c r="B29" s="1628" t="str">
        <f>IF(N4=2,"Solde d'investissements disponible au livre","Investments Balance Available in books")</f>
        <v>Investments Balance Available in books</v>
      </c>
      <c r="C29" s="1628"/>
      <c r="D29" s="1628"/>
      <c r="E29" s="1628"/>
      <c r="F29" s="823">
        <f>K29</f>
        <v>0</v>
      </c>
      <c r="G29" s="1629" t="str">
        <f>IF($N$4=2,"Balance disponible actuelle-État de compte (réconcilié)","Actual Account Statement balance available (reconciled)")</f>
        <v>Actual Account Statement balance available (reconciled)</v>
      </c>
      <c r="H29" s="1629"/>
      <c r="I29" s="1629"/>
      <c r="J29" s="1629"/>
      <c r="K29" s="823">
        <f>SUM(K11:K28)-SUM(L11:L28)</f>
        <v>0</v>
      </c>
      <c r="L29" s="824"/>
    </row>
    <row r="30" spans="2:13" x14ac:dyDescent="0.2">
      <c r="B30" s="1630" t="str">
        <f>IF(N4=2,"Devrait être $0, sinon les livres et le solde de compte ne balance pas et la différence doit être corrigée.","This should be $0, if not, Books &amp; Statement do not balance and difference needs to be corrected.")</f>
        <v>This should be $0, if not, Books &amp; Statement do not balance and difference needs to be corrected.</v>
      </c>
      <c r="C30" s="1630"/>
      <c r="D30" s="1630"/>
      <c r="E30" s="1630"/>
      <c r="F30" s="1631">
        <f>F11-F29</f>
        <v>0</v>
      </c>
      <c r="H30" s="1632" t="str">
        <f>IF(N4=2,"La méthode de comptabilisation à la valeur d'acquisition est recommandée.","The Cost Method is recommended.")</f>
        <v>The Cost Method is recommended.</v>
      </c>
      <c r="I30" s="1632"/>
      <c r="J30" s="1632"/>
      <c r="K30" s="1632"/>
      <c r="L30" s="1632"/>
      <c r="M30" s="1632"/>
    </row>
    <row r="31" spans="2:13" ht="24" customHeight="1" x14ac:dyDescent="0.2">
      <c r="B31" s="1630"/>
      <c r="C31" s="1630"/>
      <c r="D31" s="1630"/>
      <c r="E31" s="1630"/>
      <c r="F31" s="1631"/>
      <c r="H31" s="1632"/>
      <c r="I31" s="1632"/>
      <c r="J31" s="1632"/>
      <c r="K31" s="1632"/>
      <c r="L31" s="1632"/>
      <c r="M31" s="1632"/>
    </row>
    <row r="32" spans="2:13" ht="5.25" customHeight="1" x14ac:dyDescent="0.2">
      <c r="C32" s="825"/>
    </row>
    <row r="33" spans="2:13" ht="24.75" customHeight="1" x14ac:dyDescent="0.2"/>
    <row r="34" spans="2:13" ht="24.75" customHeight="1" x14ac:dyDescent="0.2"/>
    <row r="35" spans="2:13" ht="15.75" x14ac:dyDescent="0.2">
      <c r="B35" s="1617" t="str">
        <f>IF($N$4=2,"Génère seulement des gains/pertes en capital","Generates only Capital Gains/Losses")</f>
        <v>Generates only Capital Gains/Losses</v>
      </c>
      <c r="C35" s="1617"/>
      <c r="D35" s="1617"/>
      <c r="E35" s="1617"/>
      <c r="F35" s="1617"/>
      <c r="G35" s="1617"/>
      <c r="H35" s="1617"/>
      <c r="I35" s="1617"/>
      <c r="J35" s="1617"/>
      <c r="K35" s="1617"/>
      <c r="L35" s="1617"/>
      <c r="M35" s="1617"/>
    </row>
    <row r="36" spans="2:13" ht="20.25" customHeight="1" x14ac:dyDescent="0.2">
      <c r="B36" s="806" t="str">
        <f>IF(E36="","",LOOKUP(E36,'Acct Detailed Reconcil'!V9:V19,'Data Set up'!I18:I28))</f>
        <v/>
      </c>
      <c r="D36" s="1618" t="s">
        <v>739</v>
      </c>
      <c r="E36" s="1618"/>
      <c r="F36" s="1618"/>
    </row>
    <row r="37" spans="2:13" ht="18.75" customHeight="1" x14ac:dyDescent="0.2"/>
    <row r="38" spans="2:13" ht="25.5" customHeight="1" x14ac:dyDescent="0.2">
      <c r="B38" s="1620" t="str">
        <f>IF(N4=2,"Total des Investissements - fin de l'année ","Total Investments At Cost last year closing")</f>
        <v>Total Investments At Cost last year closing</v>
      </c>
      <c r="C38" s="1620"/>
      <c r="D38" s="1620"/>
      <c r="E38" s="807">
        <f>'Data Set up'!F39</f>
        <v>2023</v>
      </c>
      <c r="F38" s="826">
        <f>IF($D$36="",0,LOOKUP(D36,'Acct Detailed Reconcil'!AA13:AA19,'Acct Detailed Reconcil'!W13:W19))</f>
        <v>0</v>
      </c>
    </row>
    <row r="39" spans="2:13" ht="25.5" customHeight="1" x14ac:dyDescent="0.2">
      <c r="B39" s="1621" t="str">
        <f>'Acct Detailed Reconcil'!C111</f>
        <v>Plus: Capital Gain/Purchases (Revenue Jrnl)</v>
      </c>
      <c r="C39" s="1621"/>
      <c r="D39" s="1621"/>
      <c r="E39" s="1621"/>
      <c r="F39" s="826">
        <f>IF($D$36="",0,LOOKUP(D36,'Acct Detailed Reconcil'!AA13:AA19,'Acct Detailed Reconcil'!X13:X19))</f>
        <v>0</v>
      </c>
      <c r="G39" s="586"/>
      <c r="H39" s="827"/>
      <c r="I39" s="813"/>
      <c r="J39" s="828"/>
      <c r="K39" s="814"/>
      <c r="L39" s="814"/>
      <c r="M39" s="814"/>
    </row>
    <row r="40" spans="2:13" ht="25.5" customHeight="1" x14ac:dyDescent="0.2">
      <c r="B40" s="1622" t="str">
        <f>'Acct Detailed Reconcil'!C112</f>
        <v>Less: Capital Lost/Sales or Withdraw) (Expense Jrnl)</v>
      </c>
      <c r="C40" s="1622"/>
      <c r="D40" s="1622"/>
      <c r="E40" s="1622"/>
      <c r="F40" s="826">
        <f>IF($D$36="",0,LOOKUP(D36,'Acct Detailed Reconcil'!AA13:AA19,'Acct Detailed Reconcil'!Y13:Y19))</f>
        <v>0</v>
      </c>
      <c r="H40" s="809"/>
      <c r="I40" s="810"/>
      <c r="J40" s="828"/>
      <c r="K40" s="814"/>
      <c r="L40" s="814"/>
      <c r="M40" s="814"/>
    </row>
    <row r="41" spans="2:13" ht="25.5" customHeight="1" x14ac:dyDescent="0.2">
      <c r="B41" s="1623" t="str">
        <f>IF($N$4=2,"Fonds disponibles pour ce compte d'investissement","This Investment Account funds Available")</f>
        <v>This Investment Account funds Available</v>
      </c>
      <c r="C41" s="1623"/>
      <c r="D41" s="1623"/>
      <c r="E41" s="1623"/>
      <c r="F41" s="829">
        <f>+F38+F39-F40</f>
        <v>0</v>
      </c>
      <c r="H41" s="827"/>
      <c r="I41" s="813"/>
      <c r="J41" s="828"/>
      <c r="K41" s="814"/>
      <c r="L41" s="814"/>
      <c r="M41" s="814"/>
    </row>
    <row r="42" spans="2:13" ht="25.5" customHeight="1" x14ac:dyDescent="0.2">
      <c r="F42" s="815"/>
      <c r="H42" s="1633" t="str">
        <f>IF(N4=2,"Nom de l'investissement","Investment name")</f>
        <v>Investment name</v>
      </c>
      <c r="I42" s="1634" t="str">
        <f>IF(N4=2,"Date acheté et/ou gains/pertes en capital
(jj/mm/aaaa)","Purchased and/or Capital Gains/Losses date
(dd/mm/yyyy)")</f>
        <v>Purchased and/or Capital Gains/Losses date
(dd/mm/yyyy)</v>
      </c>
      <c r="J42" s="1635"/>
      <c r="K42" s="502" t="str">
        <f>IF(N4=2,"Coût d'achat","At Cost")</f>
        <v>At Cost</v>
      </c>
      <c r="L42" s="830" t="str">
        <f>IF(N4=2,"Gain (Perte) en capital","Capital Gain (Lost)")</f>
        <v>Capital Gain (Lost)</v>
      </c>
      <c r="M42" s="830" t="str">
        <f>IF(N4=2,"Reçu à la vente","Rec'd on sale")</f>
        <v>Rec'd on sale</v>
      </c>
    </row>
    <row r="43" spans="2:13" ht="25.5" customHeight="1" x14ac:dyDescent="0.2">
      <c r="F43" s="815"/>
      <c r="H43" s="1633"/>
      <c r="I43" s="1634"/>
      <c r="J43" s="1635"/>
      <c r="K43" s="831" t="str">
        <f>IF(N4=2,"Montant","Amount")</f>
        <v>Amount</v>
      </c>
      <c r="L43" s="832" t="str">
        <f>IF($N$4=2,"Montant","Amount")</f>
        <v>Amount</v>
      </c>
      <c r="M43" s="832" t="str">
        <f>IF($N$4=2,"Montant","Amount")</f>
        <v>Amount</v>
      </c>
    </row>
    <row r="44" spans="2:13" ht="25.5" customHeight="1" x14ac:dyDescent="0.2">
      <c r="F44" s="815"/>
      <c r="H44" s="818"/>
      <c r="I44" s="819"/>
      <c r="J44" s="1636"/>
      <c r="K44" s="820"/>
      <c r="L44" s="833"/>
      <c r="M44" s="821"/>
    </row>
    <row r="45" spans="2:13" ht="25.5" customHeight="1" x14ac:dyDescent="0.2">
      <c r="F45" s="815"/>
      <c r="H45" s="822"/>
      <c r="I45" s="819"/>
      <c r="J45" s="1636"/>
      <c r="K45" s="820"/>
      <c r="L45" s="834"/>
      <c r="M45" s="821"/>
    </row>
    <row r="46" spans="2:13" ht="25.5" customHeight="1" x14ac:dyDescent="0.2">
      <c r="F46" s="815"/>
      <c r="H46" s="822"/>
      <c r="I46" s="819"/>
      <c r="J46" s="1636"/>
      <c r="K46" s="820"/>
      <c r="L46" s="834"/>
      <c r="M46" s="821"/>
    </row>
    <row r="47" spans="2:13" ht="25.5" customHeight="1" x14ac:dyDescent="0.2">
      <c r="F47" s="815"/>
      <c r="H47" s="822"/>
      <c r="I47" s="819"/>
      <c r="J47" s="1636"/>
      <c r="K47" s="820"/>
      <c r="L47" s="834"/>
      <c r="M47" s="821"/>
    </row>
    <row r="48" spans="2:13" ht="25.5" customHeight="1" x14ac:dyDescent="0.2">
      <c r="F48" s="815"/>
      <c r="H48" s="822"/>
      <c r="I48" s="819"/>
      <c r="J48" s="1636"/>
      <c r="K48" s="820"/>
      <c r="L48" s="834"/>
      <c r="M48" s="821"/>
    </row>
    <row r="49" spans="2:13" ht="25.5" customHeight="1" x14ac:dyDescent="0.2">
      <c r="F49" s="815"/>
      <c r="H49" s="822"/>
      <c r="I49" s="819"/>
      <c r="J49" s="1636"/>
      <c r="K49" s="820"/>
      <c r="L49" s="834"/>
      <c r="M49" s="821"/>
    </row>
    <row r="50" spans="2:13" ht="25.5" customHeight="1" x14ac:dyDescent="0.2">
      <c r="F50" s="815"/>
      <c r="H50" s="822"/>
      <c r="I50" s="819"/>
      <c r="J50" s="1636"/>
      <c r="K50" s="820"/>
      <c r="L50" s="834"/>
      <c r="M50" s="821"/>
    </row>
    <row r="51" spans="2:13" ht="25.5" customHeight="1" x14ac:dyDescent="0.2">
      <c r="F51" s="815"/>
      <c r="H51" s="822"/>
      <c r="I51" s="819"/>
      <c r="J51" s="1636"/>
      <c r="K51" s="820"/>
      <c r="L51" s="834"/>
      <c r="M51" s="821"/>
    </row>
    <row r="52" spans="2:13" ht="25.5" customHeight="1" x14ac:dyDescent="0.2">
      <c r="F52" s="815"/>
      <c r="H52" s="822"/>
      <c r="I52" s="819"/>
      <c r="J52" s="1636"/>
      <c r="K52" s="820"/>
      <c r="L52" s="834"/>
      <c r="M52" s="821"/>
    </row>
    <row r="53" spans="2:13" ht="25.5" customHeight="1" x14ac:dyDescent="0.2">
      <c r="F53" s="815"/>
      <c r="H53" s="822"/>
      <c r="I53" s="819"/>
      <c r="J53" s="1636"/>
      <c r="K53" s="820"/>
      <c r="L53" s="834"/>
      <c r="M53" s="821"/>
    </row>
    <row r="54" spans="2:13" ht="25.5" customHeight="1" x14ac:dyDescent="0.2">
      <c r="F54" s="815"/>
      <c r="H54" s="822"/>
      <c r="I54" s="819"/>
      <c r="J54" s="1636"/>
      <c r="K54" s="820"/>
      <c r="L54" s="834"/>
      <c r="M54" s="821"/>
    </row>
    <row r="55" spans="2:13" ht="25.5" customHeight="1" x14ac:dyDescent="0.2">
      <c r="F55" s="815"/>
      <c r="H55" s="822"/>
      <c r="I55" s="819"/>
      <c r="J55" s="1636"/>
      <c r="K55" s="820"/>
      <c r="L55" s="834"/>
      <c r="M55" s="821"/>
    </row>
    <row r="56" spans="2:13" ht="25.5" customHeight="1" x14ac:dyDescent="0.2">
      <c r="F56" s="815"/>
      <c r="H56" s="822"/>
      <c r="I56" s="819"/>
      <c r="J56" s="1636"/>
      <c r="K56" s="820"/>
      <c r="L56" s="834"/>
      <c r="M56" s="821"/>
    </row>
    <row r="57" spans="2:13" ht="25.5" customHeight="1" x14ac:dyDescent="0.2">
      <c r="F57" s="815"/>
      <c r="H57" s="822"/>
      <c r="I57" s="819"/>
      <c r="J57" s="1636"/>
      <c r="K57" s="820"/>
      <c r="L57" s="834"/>
      <c r="M57" s="821"/>
    </row>
    <row r="58" spans="2:13" ht="25.5" customHeight="1" x14ac:dyDescent="0.2">
      <c r="F58" s="815"/>
      <c r="H58" s="822"/>
      <c r="I58" s="819"/>
      <c r="J58" s="1636"/>
      <c r="K58" s="820"/>
      <c r="L58" s="833"/>
      <c r="M58" s="821"/>
    </row>
    <row r="59" spans="2:13" ht="25.5" customHeight="1" x14ac:dyDescent="0.2">
      <c r="B59" s="1628" t="str">
        <f>IF(N4=2,"Solde des investissements disponibles au livre","Investments Balance Available in books")</f>
        <v>Investments Balance Available in books</v>
      </c>
      <c r="C59" s="1628"/>
      <c r="D59" s="1628"/>
      <c r="E59" s="1628"/>
      <c r="F59" s="835">
        <f>+K59</f>
        <v>0</v>
      </c>
      <c r="G59" s="1629" t="str">
        <f>IF(N4=2,"Balance disponible actuelle-État de compte (réconcilié)","Actual Account Statement balance available (reconciled)")</f>
        <v>Actual Account Statement balance available (reconciled)</v>
      </c>
      <c r="H59" s="1629"/>
      <c r="I59" s="1629"/>
      <c r="J59" s="1629"/>
      <c r="K59" s="835">
        <f>SUM(K39:K58)-SUM(M39:M58)+SUM(L39:L58)</f>
        <v>0</v>
      </c>
    </row>
    <row r="60" spans="2:13" ht="12.75" customHeight="1" x14ac:dyDescent="0.2">
      <c r="B60" s="1630" t="str">
        <f>IF(N4=2,"Devrait être $0, sinon les livres et le solde de compte ne balance pas et la différence doit être corrigée.","This should be $0, if not, Books &amp; Statement do not balance and difference needs to be corrected.")</f>
        <v>This should be $0, if not, Books &amp; Statement do not balance and difference needs to be corrected.</v>
      </c>
      <c r="C60" s="1630"/>
      <c r="D60" s="1630"/>
      <c r="E60" s="1630"/>
      <c r="F60" s="1637">
        <f>+F41-F59</f>
        <v>0</v>
      </c>
      <c r="H60" s="1632" t="str">
        <f>IF(N4=2,"La méthode de comptabilisation à la valeur du marché est recommandée. Les gains/perte en capital pour la période courante sont traités dans le journal approprié.","The Market Value Method is recommended. The Capital Gains/Losts are recorded in the appropriate journal.")</f>
        <v>The Market Value Method is recommended. The Capital Gains/Losts are recorded in the appropriate journal.</v>
      </c>
      <c r="I60" s="1632"/>
      <c r="J60" s="1632"/>
      <c r="K60" s="1632"/>
      <c r="L60" s="1632"/>
      <c r="M60" s="1632"/>
    </row>
    <row r="61" spans="2:13" ht="27" customHeight="1" x14ac:dyDescent="0.2">
      <c r="B61" s="1630"/>
      <c r="C61" s="1630"/>
      <c r="D61" s="1630"/>
      <c r="E61" s="1630"/>
      <c r="F61" s="1637"/>
      <c r="H61" s="1632"/>
      <c r="I61" s="1632"/>
      <c r="J61" s="1632"/>
      <c r="K61" s="1632"/>
      <c r="L61" s="1632"/>
      <c r="M61" s="1632"/>
    </row>
    <row r="62" spans="2:13" x14ac:dyDescent="0.2">
      <c r="H62" s="1632" t="str">
        <f>IF(N4=2,"Obtenez les montants pour la 'valeur marchande' de votre aviseur financier/compagnie/banque, etc. ou de votre dernier état de compte reçu.","Derive the values in Market value column from your investment advisor/Company/Bank, etc. or from the latest investment statement received.")</f>
        <v>Derive the values in Market value column from your investment advisor/Company/Bank, etc. or from the latest investment statement received.</v>
      </c>
      <c r="I62" s="1632"/>
      <c r="J62" s="1632"/>
      <c r="K62" s="1632"/>
      <c r="L62" s="1632"/>
      <c r="M62" s="1632"/>
    </row>
    <row r="63" spans="2:13" x14ac:dyDescent="0.2">
      <c r="H63" s="1632"/>
      <c r="I63" s="1632"/>
      <c r="J63" s="1632"/>
      <c r="K63" s="1632"/>
      <c r="L63" s="1632"/>
      <c r="M63" s="1632"/>
    </row>
  </sheetData>
  <sheetProtection algorithmName="SHA-512" hashValue="sbwhRo6uas2X1w4hV1IHGL26ta2W+Ea7eO/A7Kyr3Cerl/WJzEWYGDl3HQHKvGBs/7Yc8Sz0Y9X2naHEMTed1g==" saltValue="Gc5xKkMic/bgv3rk2KtnAw==" spinCount="100000" sheet="1" objects="1" scenarios="1" selectLockedCells="1"/>
  <mergeCells count="38">
    <mergeCell ref="H62:M63"/>
    <mergeCell ref="B59:E59"/>
    <mergeCell ref="G59:J59"/>
    <mergeCell ref="B60:E61"/>
    <mergeCell ref="F60:F61"/>
    <mergeCell ref="H60:M61"/>
    <mergeCell ref="B41:E41"/>
    <mergeCell ref="H42:H43"/>
    <mergeCell ref="I42:I43"/>
    <mergeCell ref="J42:J43"/>
    <mergeCell ref="J44:J58"/>
    <mergeCell ref="B35:M35"/>
    <mergeCell ref="D36:F36"/>
    <mergeCell ref="B38:D38"/>
    <mergeCell ref="B39:E39"/>
    <mergeCell ref="B40:E40"/>
    <mergeCell ref="K12:K13"/>
    <mergeCell ref="L12:M12"/>
    <mergeCell ref="B29:E29"/>
    <mergeCell ref="G29:J29"/>
    <mergeCell ref="B30:E31"/>
    <mergeCell ref="F30:F31"/>
    <mergeCell ref="H30:M31"/>
    <mergeCell ref="B10:E10"/>
    <mergeCell ref="B11:E11"/>
    <mergeCell ref="H12:H13"/>
    <mergeCell ref="I12:I13"/>
    <mergeCell ref="J12:J13"/>
    <mergeCell ref="D6:F6"/>
    <mergeCell ref="H7:K7"/>
    <mergeCell ref="B8:D8"/>
    <mergeCell ref="H8:L8"/>
    <mergeCell ref="B9:E9"/>
    <mergeCell ref="B1:M1"/>
    <mergeCell ref="B2:M2"/>
    <mergeCell ref="B3:M3"/>
    <mergeCell ref="B4:M4"/>
    <mergeCell ref="B5:M5"/>
  </mergeCells>
  <conditionalFormatting sqref="F60:F61 F30:F31">
    <cfRule type="cellIs" dxfId="41" priority="2" operator="notEqual">
      <formula>0</formula>
    </cfRule>
  </conditionalFormatting>
  <conditionalFormatting sqref="E8 E38">
    <cfRule type="expression" dxfId="40" priority="3">
      <formula>0</formula>
    </cfRule>
  </conditionalFormatting>
  <pageMargins left="0.15763888888888899" right="0.15763888888888899" top="0.6" bottom="0.47222222222222199" header="0.17013888888888901" footer="0.15763888888888899"/>
  <pageSetup scale="67" orientation="landscape" horizontalDpi="300" verticalDpi="300"/>
  <headerFooter>
    <oddHeader>&amp;C&amp;"Arial,Bold"&amp;28</oddHeader>
    <oddFooter>&amp;L&amp;D&amp;R&amp;P/&amp;N</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'Acct Detailed Reconcil'!$AA$13:$AA$19</xm:f>
          </x14:formula1>
          <x14:formula2>
            <xm:f>0</xm:f>
          </x14:formula2>
          <xm:sqref>D6:F6 D36:F36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499984740745262"/>
    <pageSetUpPr fitToPage="1"/>
  </sheetPr>
  <dimension ref="A1:AMJ69"/>
  <sheetViews>
    <sheetView showGridLines="0" showRowColHeaders="0" showZeros="0" zoomScale="85" zoomScaleNormal="85" zoomScalePageLayoutView="85" workbookViewId="0">
      <pane xSplit="4" ySplit="7" topLeftCell="P8" activePane="bottomRight" state="frozen"/>
      <selection pane="topRight" activeCell="P1" sqref="P1"/>
      <selection pane="bottomLeft" activeCell="A8" sqref="A8"/>
      <selection pane="bottomRight" activeCell="B14" sqref="B14"/>
    </sheetView>
  </sheetViews>
  <sheetFormatPr defaultColWidth="11.42578125" defaultRowHeight="12.75" x14ac:dyDescent="0.2"/>
  <cols>
    <col min="1" max="1" width="3.140625" style="568" customWidth="1"/>
    <col min="2" max="2" width="10.28515625" style="568" customWidth="1"/>
    <col min="3" max="4" width="20.28515625" style="568" customWidth="1"/>
    <col min="5" max="5" width="29.7109375" style="568" customWidth="1"/>
    <col min="6" max="6" width="15.7109375" style="568" customWidth="1"/>
    <col min="7" max="7" width="29.7109375" style="568" customWidth="1"/>
    <col min="8" max="8" width="15.7109375" style="836" customWidth="1"/>
    <col min="9" max="9" width="29.7109375" style="836" customWidth="1"/>
    <col min="10" max="10" width="15.7109375" style="568" customWidth="1"/>
    <col min="11" max="11" width="29.7109375" style="568" customWidth="1"/>
    <col min="12" max="12" width="15.7109375" style="568" customWidth="1"/>
    <col min="13" max="13" width="29.7109375" style="568" customWidth="1"/>
    <col min="14" max="14" width="15.7109375" style="568" customWidth="1"/>
    <col min="15" max="15" width="29.7109375" style="568" customWidth="1"/>
    <col min="16" max="16" width="15.7109375" style="568" customWidth="1"/>
    <col min="17" max="21" width="20.28515625" style="568" customWidth="1"/>
    <col min="22" max="22" width="20.140625" style="568" customWidth="1"/>
    <col min="23" max="24" width="15.42578125" style="568" customWidth="1"/>
    <col min="25" max="26" width="13.85546875" style="568" customWidth="1"/>
    <col min="27" max="27" width="6.28515625" style="568" customWidth="1"/>
    <col min="28" max="28" width="31.85546875" style="568" customWidth="1"/>
    <col min="29" max="29" width="1.5703125" style="568" customWidth="1"/>
    <col min="30" max="30" width="16.42578125" style="568" hidden="1" customWidth="1"/>
    <col min="31" max="31" width="16" style="568" hidden="1" customWidth="1"/>
    <col min="32" max="267" width="9.140625" style="568" customWidth="1"/>
    <col min="268" max="1024" width="11.42578125" style="568"/>
  </cols>
  <sheetData>
    <row r="1" spans="1:31" ht="33.75" customHeight="1" x14ac:dyDescent="0.4">
      <c r="B1" s="1452" t="str">
        <f>IF(AD7=2,"Suivi des réclamations MDN","DND Claim Tracker")</f>
        <v>DND Claim Tracker</v>
      </c>
      <c r="C1" s="1452"/>
      <c r="D1" s="1452"/>
      <c r="E1" s="1452"/>
      <c r="F1" s="1452"/>
      <c r="G1" s="1452"/>
      <c r="H1" s="1452"/>
      <c r="I1" s="1452"/>
      <c r="J1" s="1452"/>
      <c r="K1" s="1452"/>
      <c r="L1" s="1452"/>
      <c r="M1" s="1452"/>
      <c r="N1" s="1452"/>
      <c r="O1" s="1452"/>
      <c r="P1" s="1452"/>
      <c r="Q1" s="1638" t="str">
        <f>IF($AD$7=2,"RÉCLAMÉ MAIS PAS REMBOURSÉ","CLAIMED BUT NOT REIMBURSED")</f>
        <v>CLAIMED BUT NOT REIMBURSED</v>
      </c>
      <c r="R1" s="1639">
        <f>AD64</f>
        <v>0</v>
      </c>
    </row>
    <row r="2" spans="1:31" ht="43.5" customHeight="1" x14ac:dyDescent="0.2">
      <c r="B2" s="1569">
        <f>'Data Set up'!B2:I2</f>
        <v>0</v>
      </c>
      <c r="C2" s="1569"/>
      <c r="D2" s="1569"/>
      <c r="E2" s="1569"/>
      <c r="F2" s="1569"/>
      <c r="G2" s="1569"/>
      <c r="H2" s="1569"/>
      <c r="I2" s="1569"/>
      <c r="J2" s="1569"/>
      <c r="K2" s="1569"/>
      <c r="L2" s="1569"/>
      <c r="M2" s="1569"/>
      <c r="N2" s="1569"/>
      <c r="O2" s="1569"/>
      <c r="P2" s="1569"/>
      <c r="Q2" s="1638"/>
      <c r="R2" s="1639"/>
      <c r="U2" s="1640" t="str">
        <f>IF($AD$7=2,AE6,AE5)</f>
        <v>The J8 Transfer Date is used to warn you that the reimbursement should be deposited after 30 days. Past this date, the next 5 colomns will turn red.</v>
      </c>
      <c r="V2" s="1640"/>
      <c r="W2" s="1640"/>
      <c r="X2" s="1640"/>
      <c r="Y2" s="1640"/>
      <c r="Z2" s="837"/>
      <c r="AA2" s="838" t="s">
        <v>180</v>
      </c>
      <c r="AB2" s="839" t="str">
        <f>IF($AD$7=2,"Inscrivez le nombre de jours après lequel vous voulez être notifié","Insert the number of days after which you want to be notified")</f>
        <v>Insert the number of days after which you want to be notified</v>
      </c>
    </row>
    <row r="3" spans="1:31" s="568" customFormat="1" ht="20.25" customHeight="1" x14ac:dyDescent="0.3">
      <c r="B3" s="1641" t="str">
        <f>'Revenue Jrnl'!B3:P3</f>
        <v>For the period from 1 september 2023 to 31 August 2024</v>
      </c>
      <c r="C3" s="1641"/>
      <c r="D3" s="1641"/>
      <c r="E3" s="1641"/>
      <c r="F3" s="1641"/>
      <c r="G3" s="1641"/>
      <c r="H3" s="1641"/>
      <c r="I3" s="1641"/>
      <c r="J3" s="1641"/>
      <c r="K3" s="1641"/>
      <c r="L3" s="1641"/>
      <c r="M3" s="1641"/>
      <c r="N3" s="1641"/>
      <c r="O3" s="1641"/>
      <c r="P3" s="1641"/>
      <c r="Q3" s="840"/>
      <c r="U3" s="1640"/>
      <c r="V3" s="1640"/>
      <c r="W3" s="1640"/>
      <c r="X3" s="1640"/>
      <c r="Y3" s="1640"/>
      <c r="Z3" s="837"/>
      <c r="AB3" s="841">
        <v>30</v>
      </c>
    </row>
    <row r="4" spans="1:31" s="842" customFormat="1" ht="42.75" customHeight="1" x14ac:dyDescent="0.4">
      <c r="B4" s="1645"/>
      <c r="C4" s="1645"/>
      <c r="D4" s="843"/>
      <c r="E4" s="1646" t="str">
        <f>IF(AD7=2,"Cet onglet est une feuille de travail seulement et n'a aucun impact sur les autres onglets.","This tab is only a Working Sheet and has no impact on other tabs.")</f>
        <v>This tab is only a Working Sheet and has no impact on other tabs.</v>
      </c>
      <c r="F4" s="1646"/>
      <c r="G4" s="1646"/>
      <c r="H4" s="1646"/>
      <c r="I4" s="1646"/>
      <c r="J4" s="1646"/>
      <c r="K4" s="1646"/>
      <c r="L4" s="1646"/>
      <c r="M4" s="1646"/>
      <c r="N4" s="1646"/>
      <c r="O4" s="1646"/>
      <c r="P4" s="1646"/>
      <c r="Q4" s="844"/>
      <c r="R4" s="845" t="str">
        <f>IF($AD$7=2,"Compte
4810","Account
4810")</f>
        <v>Account
4810</v>
      </c>
      <c r="S4" s="846" t="str">
        <f>IF($AD$7=2,"Compte
4820","Account
4820")</f>
        <v>Account
4820</v>
      </c>
      <c r="T4" s="844"/>
      <c r="U4" s="847"/>
      <c r="V4" s="847"/>
      <c r="W4" s="847"/>
      <c r="X4" s="847"/>
      <c r="Y4" s="847"/>
      <c r="Z4" s="848"/>
      <c r="AA4" s="844"/>
      <c r="AB4" s="844"/>
    </row>
    <row r="5" spans="1:31" ht="15" customHeight="1" x14ac:dyDescent="0.2">
      <c r="B5" s="1647" t="str">
        <f>IF(AD7=2,"FACTURE NO.","INVOICE #")</f>
        <v>INVOICE #</v>
      </c>
      <c r="C5" s="1648" t="str">
        <f>IF(AD7=2,"DATE FACTURÉE
(JJ/MM/AAAA)","INVOICE DATE
(DD/MM/YYYY)")</f>
        <v>INVOICE DATE
(DD/MM/YYYY)</v>
      </c>
      <c r="D5" s="1649" t="str">
        <f>IF(AD7=2,"ACTIVITÉ","ACTIVITY")</f>
        <v>ACTIVITY</v>
      </c>
      <c r="E5" s="1650" t="str">
        <f>IF(AD7=2,"REPAS","MEALS")</f>
        <v>MEALS</v>
      </c>
      <c r="F5" s="1650"/>
      <c r="G5" s="1651" t="s">
        <v>376</v>
      </c>
      <c r="H5" s="1651"/>
      <c r="I5" s="1650" t="str">
        <f>IF(AD7=2,"TRANSPORT - SOUTIEN","TRANSPORTATION-SUPPORT")</f>
        <v>TRANSPORTATION-SUPPORT</v>
      </c>
      <c r="J5" s="1650"/>
      <c r="K5" s="1651" t="str">
        <f>IF(AD7=2,"AUTRE - 1","OTHER - 1")</f>
        <v>OTHER - 1</v>
      </c>
      <c r="L5" s="1651"/>
      <c r="M5" s="1650" t="str">
        <f>IF($AD$7=2,"AUTRE - 2","OTHER - 2")</f>
        <v>OTHER - 2</v>
      </c>
      <c r="N5" s="1650"/>
      <c r="O5" s="1652" t="str">
        <f>IF($AD$7=2,"AUTRE - 3","OTHER - 3")</f>
        <v>OTHER - 3</v>
      </c>
      <c r="P5" s="1652"/>
      <c r="Q5" s="1664" t="str">
        <f>IF($AD$7=2,"REMBOURSE-
MENT DEMANDÉ","REQUESTED REIMBURSEMENT")</f>
        <v>REQUESTED REIMBURSEMENT</v>
      </c>
      <c r="R5" s="1665" t="str">
        <f>'Revenue Jrnl'!BE8</f>
        <v>DND Local Support Allocation (LSA)</v>
      </c>
      <c r="S5" s="1642" t="str">
        <f>'Revenue Jrnl'!BF8</f>
        <v>DND Allocation - Mandatory and Complementary Pgm (MCP)</v>
      </c>
      <c r="T5" s="1643" t="str">
        <f>IF($AD$7=2,"REMBOURSEMENT AUTORISÉ","AUTHORIZED REIMBURSEMENT")</f>
        <v>AUTHORIZED REIMBURSEMENT</v>
      </c>
      <c r="U5" s="1644" t="str">
        <f>IF($AD$7=2,"DATE TRSF J8
(JJ/MM/AAAA)","J8 DATE TRSF
DD/MM/YYYY")</f>
        <v>J8 DATE TRSF
DD/MM/YYYY</v>
      </c>
      <c r="V5" s="1659" t="str">
        <f>IF($AD$7=2,"REMBOUIRSE-
MENT REÇU","REIMBURSEMENT
RECEIVED")</f>
        <v>REIMBURSEMENT
RECEIVED</v>
      </c>
      <c r="W5" s="1660" t="str">
        <f>IF($AD$7=2,"DATE DU DÉPÔT
(JJ/MM/AAAA)","DEPOSIT DATE
(DD/MM/YYYY)")</f>
        <v>DEPOSIT DATE
(DD/MM/YYYY)</v>
      </c>
      <c r="X5" s="1661" t="str">
        <f>IF($AD$7=2,"TVH
REMBOURSÉE","HST
REIMBURSED")</f>
        <v>HST
REIMBURSED</v>
      </c>
      <c r="Y5" s="1662" t="str">
        <f>IF($AD$7=2,"TPS
REMBOURSÉE","GST
REIMBURSED")</f>
        <v>GST
REIMBURSED</v>
      </c>
      <c r="Z5" s="1663" t="str">
        <f>IF($AD$7=2,"TVP
REMBOURSÉE","PST
REIMBURSED")</f>
        <v>PST
REIMBURSED</v>
      </c>
      <c r="AA5" s="1654" t="s">
        <v>180</v>
      </c>
      <c r="AB5" s="1655" t="s">
        <v>377</v>
      </c>
      <c r="AE5" s="836" t="str">
        <f>"The J8 Transfer Date is used to warn you that the reimbursement should be deposited after "&amp;AB3&amp;" days. Past this date, the next 5 colomns will turn red."</f>
        <v>The J8 Transfer Date is used to warn you that the reimbursement should be deposited after 30 days. Past this date, the next 5 colomns will turn red.</v>
      </c>
    </row>
    <row r="6" spans="1:31" ht="12.75" customHeight="1" x14ac:dyDescent="0.2">
      <c r="B6" s="1647"/>
      <c r="C6" s="1647"/>
      <c r="D6" s="1649"/>
      <c r="E6" s="849" t="s">
        <v>378</v>
      </c>
      <c r="F6" s="850" t="str">
        <f>IF($AD$7=2,"MONTANT","AMOUNT")</f>
        <v>AMOUNT</v>
      </c>
      <c r="G6" s="851" t="s">
        <v>378</v>
      </c>
      <c r="H6" s="852" t="str">
        <f>IF($AD$7=2,"MONTANT","AMOUNT")</f>
        <v>AMOUNT</v>
      </c>
      <c r="I6" s="849" t="s">
        <v>378</v>
      </c>
      <c r="J6" s="850" t="str">
        <f>IF($AD$7=2,"MONTANT","AMOUNT")</f>
        <v>AMOUNT</v>
      </c>
      <c r="K6" s="851" t="s">
        <v>378</v>
      </c>
      <c r="L6" s="852" t="str">
        <f>IF($AD$7=2,"MONTANT","AMOUNT")</f>
        <v>AMOUNT</v>
      </c>
      <c r="M6" s="849" t="s">
        <v>378</v>
      </c>
      <c r="N6" s="850" t="str">
        <f>IF($AD$7=2,"MONTANT","AMOUNT")</f>
        <v>AMOUNT</v>
      </c>
      <c r="O6" s="853" t="s">
        <v>378</v>
      </c>
      <c r="P6" s="854" t="str">
        <f>IF($AD$7=2,"MONTANT","AMOUNT")</f>
        <v>AMOUNT</v>
      </c>
      <c r="Q6" s="1664"/>
      <c r="R6" s="1665"/>
      <c r="S6" s="1642"/>
      <c r="T6" s="1643"/>
      <c r="U6" s="1644"/>
      <c r="V6" s="1659"/>
      <c r="W6" s="1660"/>
      <c r="X6" s="1661"/>
      <c r="Y6" s="1662"/>
      <c r="Z6" s="1663"/>
      <c r="AA6" s="1654"/>
      <c r="AB6" s="1655"/>
      <c r="AE6" s="836" t="str">
        <f>"La date de transfert au J8 est utilisée pour vous avertir que le remboursement devrait être déposé après "&amp;AB3&amp;" jours. Passé ce délai, les 5 colonnes de droite apparaîtront en rouge."</f>
        <v>La date de transfert au J8 est utilisée pour vous avertir que le remboursement devrait être déposé après 30 jours. Passé ce délai, les 5 colonnes de droite apparaîtront en rouge.</v>
      </c>
    </row>
    <row r="7" spans="1:31" ht="33.75" customHeight="1" x14ac:dyDescent="0.2">
      <c r="B7" s="1647"/>
      <c r="C7" s="1648"/>
      <c r="D7" s="1649"/>
      <c r="E7" s="1656" t="str">
        <f>IF($AD$7=2,"Nom de l'activité, fournisseur, No. Facture, dates, endroit, etc.","Name of activity, Supplier, Invoice #, Dates, Location, etc.")</f>
        <v>Name of activity, Supplier, Invoice #, Dates, Location, etc.</v>
      </c>
      <c r="F7" s="1656"/>
      <c r="G7" s="1657" t="str">
        <f>IF($AD$7=2,"Nom de l'activité, fournisseur, No. Facture, dates, endroit, etc.","Name of activity, Supplier, Invoice #, Dates, Location, etc.")</f>
        <v>Name of activity, Supplier, Invoice #, Dates, Location, etc.</v>
      </c>
      <c r="H7" s="1657"/>
      <c r="I7" s="1656" t="str">
        <f>IF($AD$7=2,"Nom de l'activité, fournisseur, No. Facture, dates, endroit, etc.","Name of activity, Supplier, Invoice #, Dates, Location, etc.")</f>
        <v>Name of activity, Supplier, Invoice #, Dates, Location, etc.</v>
      </c>
      <c r="J7" s="1656"/>
      <c r="K7" s="1657" t="str">
        <f>IF($AD$7=2,"Nom de l'activité, fournisseur, No. Facture, dates, endroit, etc.","Name of activity, Supplier, Invoice #, Dates, Location, etc.")</f>
        <v>Name of activity, Supplier, Invoice #, Dates, Location, etc.</v>
      </c>
      <c r="L7" s="1657"/>
      <c r="M7" s="1656" t="str">
        <f>IF($AD$7=2,"Nom de l'activité, fournisseur, No. Facture, dates, endroit, etc.","Name of activity, Supplier, Invoice #, Dates, Location, etc.")</f>
        <v>Name of activity, Supplier, Invoice #, Dates, Location, etc.</v>
      </c>
      <c r="N7" s="1656"/>
      <c r="O7" s="1658" t="str">
        <f>IF($AD$7=2,"Nom de l'activité, fournisseur, No. Facture, dates, endroit, etc.","Name of activity, Supplier, Invoice #, Dates, Location, etc.")</f>
        <v>Name of activity, Supplier, Invoice #, Dates, Location, etc.</v>
      </c>
      <c r="P7" s="1658"/>
      <c r="Q7" s="1664"/>
      <c r="R7" s="1665"/>
      <c r="S7" s="1642"/>
      <c r="T7" s="1643"/>
      <c r="U7" s="1644"/>
      <c r="V7" s="1659"/>
      <c r="W7" s="1660"/>
      <c r="X7" s="1661"/>
      <c r="Y7" s="1662"/>
      <c r="Z7" s="1663"/>
      <c r="AA7" s="1654"/>
      <c r="AB7" s="1655"/>
      <c r="AD7" s="855">
        <f>'Data Set up'!K10</f>
        <v>1</v>
      </c>
    </row>
    <row r="8" spans="1:31" s="568" customFormat="1" ht="15" hidden="1" customHeight="1" x14ac:dyDescent="0.2">
      <c r="B8" s="856"/>
      <c r="C8" s="857"/>
      <c r="D8" s="858"/>
      <c r="E8" s="859"/>
      <c r="F8" s="860"/>
      <c r="G8" s="859"/>
      <c r="H8" s="860"/>
      <c r="I8" s="859"/>
      <c r="J8" s="860"/>
      <c r="K8" s="859"/>
      <c r="L8" s="860"/>
      <c r="M8" s="859"/>
      <c r="N8" s="860"/>
      <c r="O8" s="859"/>
      <c r="P8" s="860"/>
      <c r="Q8" s="861"/>
      <c r="R8" s="862"/>
      <c r="S8" s="863"/>
      <c r="T8" s="864"/>
      <c r="U8" s="865"/>
      <c r="V8" s="866"/>
      <c r="W8" s="867"/>
      <c r="X8" s="868"/>
      <c r="Y8" s="869"/>
      <c r="Z8" s="870"/>
      <c r="AA8" s="871"/>
      <c r="AB8" s="872"/>
      <c r="AD8" s="855"/>
    </row>
    <row r="9" spans="1:31" s="568" customFormat="1" ht="15" hidden="1" customHeight="1" x14ac:dyDescent="0.2">
      <c r="B9" s="856"/>
      <c r="C9" s="857"/>
      <c r="D9" s="858"/>
      <c r="E9" s="859"/>
      <c r="F9" s="860"/>
      <c r="G9" s="859"/>
      <c r="H9" s="860"/>
      <c r="I9" s="859"/>
      <c r="J9" s="860"/>
      <c r="K9" s="859"/>
      <c r="L9" s="860"/>
      <c r="M9" s="859"/>
      <c r="N9" s="860"/>
      <c r="O9" s="859"/>
      <c r="P9" s="860"/>
      <c r="Q9" s="861"/>
      <c r="R9" s="862"/>
      <c r="S9" s="863"/>
      <c r="T9" s="864"/>
      <c r="U9" s="865"/>
      <c r="V9" s="866"/>
      <c r="W9" s="867"/>
      <c r="X9" s="868"/>
      <c r="Y9" s="869"/>
      <c r="Z9" s="870"/>
      <c r="AA9" s="871"/>
      <c r="AB9" s="872"/>
      <c r="AD9" s="855"/>
    </row>
    <row r="10" spans="1:31" s="568" customFormat="1" ht="15" hidden="1" customHeight="1" x14ac:dyDescent="0.2">
      <c r="B10" s="856"/>
      <c r="C10" s="857"/>
      <c r="D10" s="858"/>
      <c r="E10" s="859"/>
      <c r="F10" s="860"/>
      <c r="G10" s="859"/>
      <c r="H10" s="860"/>
      <c r="I10" s="859"/>
      <c r="J10" s="860"/>
      <c r="K10" s="859"/>
      <c r="L10" s="860"/>
      <c r="M10" s="859"/>
      <c r="N10" s="860"/>
      <c r="O10" s="859"/>
      <c r="Q10" s="861"/>
      <c r="R10" s="863"/>
      <c r="S10" s="873"/>
      <c r="T10" s="864"/>
      <c r="U10" s="865"/>
      <c r="V10" s="866"/>
      <c r="W10" s="867"/>
      <c r="X10" s="868"/>
      <c r="Y10" s="869"/>
      <c r="Z10" s="870"/>
      <c r="AA10" s="871"/>
      <c r="AB10" s="872"/>
      <c r="AD10" s="855"/>
    </row>
    <row r="11" spans="1:31" s="568" customFormat="1" ht="15" hidden="1" customHeight="1" x14ac:dyDescent="0.2">
      <c r="B11" s="856"/>
      <c r="C11" s="857"/>
      <c r="D11" s="858"/>
      <c r="E11" s="859"/>
      <c r="F11" s="860"/>
      <c r="G11" s="859"/>
      <c r="H11" s="860"/>
      <c r="I11" s="859"/>
      <c r="J11" s="860"/>
      <c r="K11" s="859"/>
      <c r="L11" s="860"/>
      <c r="M11" s="859"/>
      <c r="N11" s="860"/>
      <c r="O11" s="859"/>
      <c r="Q11" s="861"/>
      <c r="R11" s="863"/>
      <c r="S11" s="873"/>
      <c r="T11" s="864"/>
      <c r="U11" s="865"/>
      <c r="V11" s="866"/>
      <c r="W11" s="867"/>
      <c r="X11" s="868"/>
      <c r="Y11" s="869"/>
      <c r="Z11" s="870"/>
      <c r="AA11" s="871"/>
      <c r="AB11" s="872"/>
      <c r="AD11" s="855"/>
    </row>
    <row r="12" spans="1:31" s="568" customFormat="1" ht="15" hidden="1" customHeight="1" x14ac:dyDescent="0.2">
      <c r="B12" s="856"/>
      <c r="C12" s="857"/>
      <c r="D12" s="858"/>
      <c r="E12" s="859"/>
      <c r="F12" s="860"/>
      <c r="G12" s="859"/>
      <c r="H12" s="860"/>
      <c r="I12" s="859"/>
      <c r="J12" s="860"/>
      <c r="K12" s="859"/>
      <c r="L12" s="860"/>
      <c r="M12" s="859"/>
      <c r="N12" s="860"/>
      <c r="O12" s="859"/>
      <c r="P12" s="860"/>
      <c r="Q12" s="874"/>
      <c r="R12" s="875"/>
      <c r="S12" s="875"/>
      <c r="T12" s="876"/>
      <c r="U12" s="877"/>
      <c r="V12" s="866"/>
      <c r="W12" s="867"/>
      <c r="X12" s="868"/>
      <c r="Y12" s="869"/>
      <c r="Z12" s="870"/>
      <c r="AA12" s="871"/>
      <c r="AB12" s="872"/>
      <c r="AD12" s="855"/>
    </row>
    <row r="13" spans="1:31" s="568" customFormat="1" ht="15" hidden="1" customHeight="1" x14ac:dyDescent="0.2">
      <c r="B13" s="856"/>
      <c r="C13" s="857"/>
      <c r="D13" s="858"/>
      <c r="E13" s="859"/>
      <c r="F13" s="860"/>
      <c r="G13" s="859"/>
      <c r="H13" s="860"/>
      <c r="I13" s="859"/>
      <c r="J13" s="860"/>
      <c r="K13" s="859"/>
      <c r="L13" s="860"/>
      <c r="M13" s="859"/>
      <c r="N13" s="860"/>
      <c r="O13" s="859"/>
      <c r="P13" s="860"/>
      <c r="Q13" s="874"/>
      <c r="R13" s="875"/>
      <c r="S13" s="875"/>
      <c r="T13" s="876"/>
      <c r="U13" s="877"/>
      <c r="V13" s="866"/>
      <c r="W13" s="867"/>
      <c r="X13" s="868"/>
      <c r="Y13" s="869"/>
      <c r="Z13" s="870"/>
      <c r="AA13" s="871"/>
      <c r="AB13" s="872"/>
      <c r="AD13" s="855"/>
    </row>
    <row r="14" spans="1:31" s="895" customFormat="1" ht="45" customHeight="1" x14ac:dyDescent="0.2">
      <c r="A14" s="206">
        <v>1</v>
      </c>
      <c r="B14" s="878"/>
      <c r="C14" s="879"/>
      <c r="D14" s="880"/>
      <c r="E14" s="881"/>
      <c r="F14" s="882"/>
      <c r="G14" s="881"/>
      <c r="H14" s="882"/>
      <c r="I14" s="881"/>
      <c r="J14" s="882"/>
      <c r="K14" s="881"/>
      <c r="L14" s="882"/>
      <c r="M14" s="881"/>
      <c r="N14" s="882"/>
      <c r="O14" s="881"/>
      <c r="P14" s="882"/>
      <c r="Q14" s="883">
        <f t="shared" ref="Q14:Q49" si="0">SUM(F14,H14,J14,L14,N14,P14)</f>
        <v>0</v>
      </c>
      <c r="R14" s="884"/>
      <c r="S14" s="885"/>
      <c r="T14" s="886">
        <f t="shared" ref="T14:T49" si="1">SUM(R14:S14)</f>
        <v>0</v>
      </c>
      <c r="U14" s="887"/>
      <c r="V14" s="888"/>
      <c r="W14" s="889"/>
      <c r="X14" s="890"/>
      <c r="Y14" s="891"/>
      <c r="Z14" s="892"/>
      <c r="AA14" s="893"/>
      <c r="AB14" s="894"/>
      <c r="AD14" s="896">
        <f t="shared" ref="AD14:AD49" si="2">IF(AA14&lt;&gt;"",0,IF(T14=0,Q14,T14))</f>
        <v>0</v>
      </c>
      <c r="AE14" s="206">
        <f t="shared" ref="AE14:AE45" ca="1" si="3">IF(AND($U14&lt;&gt;"",$V14="",TODAY()-U14&gt;$AB$3),1,0)</f>
        <v>0</v>
      </c>
    </row>
    <row r="15" spans="1:31" s="897" customFormat="1" ht="45" customHeight="1" x14ac:dyDescent="0.2">
      <c r="A15" s="144">
        <f t="shared" ref="A15:A46" si="4">A14+1</f>
        <v>2</v>
      </c>
      <c r="B15" s="878"/>
      <c r="C15" s="879"/>
      <c r="D15" s="880"/>
      <c r="E15" s="881"/>
      <c r="F15" s="882"/>
      <c r="G15" s="881"/>
      <c r="H15" s="882"/>
      <c r="I15" s="881"/>
      <c r="J15" s="882"/>
      <c r="K15" s="881"/>
      <c r="L15" s="882"/>
      <c r="M15" s="881"/>
      <c r="N15" s="882"/>
      <c r="O15" s="881"/>
      <c r="P15" s="882"/>
      <c r="Q15" s="883">
        <f t="shared" si="0"/>
        <v>0</v>
      </c>
      <c r="R15" s="884"/>
      <c r="S15" s="885"/>
      <c r="T15" s="886">
        <f t="shared" si="1"/>
        <v>0</v>
      </c>
      <c r="U15" s="887"/>
      <c r="V15" s="888"/>
      <c r="W15" s="889"/>
      <c r="X15" s="890"/>
      <c r="Y15" s="891"/>
      <c r="Z15" s="892"/>
      <c r="AA15" s="893"/>
      <c r="AB15" s="894"/>
      <c r="AD15" s="896">
        <f t="shared" si="2"/>
        <v>0</v>
      </c>
      <c r="AE15" s="206">
        <f t="shared" ca="1" si="3"/>
        <v>0</v>
      </c>
    </row>
    <row r="16" spans="1:31" s="897" customFormat="1" ht="45" customHeight="1" x14ac:dyDescent="0.2">
      <c r="A16" s="144">
        <f t="shared" si="4"/>
        <v>3</v>
      </c>
      <c r="B16" s="878"/>
      <c r="C16" s="879"/>
      <c r="D16" s="880"/>
      <c r="E16" s="881"/>
      <c r="F16" s="882"/>
      <c r="G16" s="881"/>
      <c r="H16" s="882"/>
      <c r="I16" s="881"/>
      <c r="J16" s="882"/>
      <c r="K16" s="881"/>
      <c r="L16" s="882"/>
      <c r="M16" s="881"/>
      <c r="N16" s="882"/>
      <c r="O16" s="881"/>
      <c r="P16" s="882"/>
      <c r="Q16" s="883">
        <f t="shared" si="0"/>
        <v>0</v>
      </c>
      <c r="R16" s="884"/>
      <c r="S16" s="885"/>
      <c r="T16" s="886">
        <f t="shared" si="1"/>
        <v>0</v>
      </c>
      <c r="U16" s="887"/>
      <c r="V16" s="888"/>
      <c r="W16" s="889"/>
      <c r="X16" s="890"/>
      <c r="Y16" s="891"/>
      <c r="Z16" s="892"/>
      <c r="AA16" s="893"/>
      <c r="AB16" s="894"/>
      <c r="AD16" s="896">
        <f t="shared" si="2"/>
        <v>0</v>
      </c>
      <c r="AE16" s="206">
        <f t="shared" ca="1" si="3"/>
        <v>0</v>
      </c>
    </row>
    <row r="17" spans="1:31" s="897" customFormat="1" ht="45" customHeight="1" x14ac:dyDescent="0.2">
      <c r="A17" s="144">
        <f t="shared" si="4"/>
        <v>4</v>
      </c>
      <c r="B17" s="878"/>
      <c r="C17" s="879"/>
      <c r="D17" s="880"/>
      <c r="E17" s="881"/>
      <c r="F17" s="882"/>
      <c r="G17" s="881"/>
      <c r="H17" s="882"/>
      <c r="I17" s="881"/>
      <c r="J17" s="882"/>
      <c r="K17" s="881"/>
      <c r="L17" s="882"/>
      <c r="M17" s="881"/>
      <c r="N17" s="882"/>
      <c r="O17" s="881"/>
      <c r="P17" s="882"/>
      <c r="Q17" s="883">
        <f t="shared" si="0"/>
        <v>0</v>
      </c>
      <c r="R17" s="884"/>
      <c r="S17" s="885"/>
      <c r="T17" s="886">
        <f t="shared" si="1"/>
        <v>0</v>
      </c>
      <c r="U17" s="887"/>
      <c r="V17" s="888"/>
      <c r="W17" s="889"/>
      <c r="X17" s="890"/>
      <c r="Y17" s="891"/>
      <c r="Z17" s="892"/>
      <c r="AA17" s="893"/>
      <c r="AB17" s="894"/>
      <c r="AD17" s="896">
        <f t="shared" si="2"/>
        <v>0</v>
      </c>
      <c r="AE17" s="206">
        <f t="shared" ca="1" si="3"/>
        <v>0</v>
      </c>
    </row>
    <row r="18" spans="1:31" s="897" customFormat="1" ht="45" customHeight="1" x14ac:dyDescent="0.2">
      <c r="A18" s="144">
        <f t="shared" si="4"/>
        <v>5</v>
      </c>
      <c r="B18" s="878"/>
      <c r="C18" s="879"/>
      <c r="D18" s="880"/>
      <c r="E18" s="881"/>
      <c r="F18" s="882"/>
      <c r="G18" s="881"/>
      <c r="H18" s="882"/>
      <c r="I18" s="881"/>
      <c r="J18" s="882"/>
      <c r="K18" s="881"/>
      <c r="L18" s="882"/>
      <c r="M18" s="881"/>
      <c r="N18" s="882"/>
      <c r="O18" s="881"/>
      <c r="P18" s="882"/>
      <c r="Q18" s="883">
        <f t="shared" si="0"/>
        <v>0</v>
      </c>
      <c r="R18" s="884"/>
      <c r="S18" s="885"/>
      <c r="T18" s="886">
        <f t="shared" si="1"/>
        <v>0</v>
      </c>
      <c r="U18" s="887"/>
      <c r="V18" s="888"/>
      <c r="W18" s="889"/>
      <c r="X18" s="890"/>
      <c r="Y18" s="891"/>
      <c r="Z18" s="892"/>
      <c r="AA18" s="893"/>
      <c r="AB18" s="894"/>
      <c r="AD18" s="896">
        <f t="shared" si="2"/>
        <v>0</v>
      </c>
      <c r="AE18" s="206">
        <f t="shared" ca="1" si="3"/>
        <v>0</v>
      </c>
    </row>
    <row r="19" spans="1:31" s="897" customFormat="1" ht="45" customHeight="1" x14ac:dyDescent="0.2">
      <c r="A19" s="144">
        <f t="shared" si="4"/>
        <v>6</v>
      </c>
      <c r="B19" s="878"/>
      <c r="C19" s="879"/>
      <c r="D19" s="880"/>
      <c r="E19" s="881"/>
      <c r="F19" s="882"/>
      <c r="G19" s="881"/>
      <c r="H19" s="882"/>
      <c r="I19" s="881"/>
      <c r="J19" s="882"/>
      <c r="K19" s="881"/>
      <c r="L19" s="882"/>
      <c r="M19" s="881"/>
      <c r="N19" s="882"/>
      <c r="O19" s="881"/>
      <c r="P19" s="882"/>
      <c r="Q19" s="883">
        <f t="shared" si="0"/>
        <v>0</v>
      </c>
      <c r="R19" s="884"/>
      <c r="S19" s="885"/>
      <c r="T19" s="886">
        <f t="shared" si="1"/>
        <v>0</v>
      </c>
      <c r="U19" s="887"/>
      <c r="V19" s="888"/>
      <c r="W19" s="889"/>
      <c r="X19" s="890"/>
      <c r="Y19" s="891"/>
      <c r="Z19" s="892"/>
      <c r="AA19" s="893"/>
      <c r="AB19" s="894"/>
      <c r="AD19" s="896">
        <f t="shared" si="2"/>
        <v>0</v>
      </c>
      <c r="AE19" s="206">
        <f t="shared" ca="1" si="3"/>
        <v>0</v>
      </c>
    </row>
    <row r="20" spans="1:31" s="897" customFormat="1" ht="45" customHeight="1" x14ac:dyDescent="0.2">
      <c r="A20" s="144">
        <f t="shared" si="4"/>
        <v>7</v>
      </c>
      <c r="B20" s="878"/>
      <c r="C20" s="879"/>
      <c r="D20" s="880"/>
      <c r="E20" s="881"/>
      <c r="F20" s="882"/>
      <c r="G20" s="881"/>
      <c r="H20" s="882"/>
      <c r="I20" s="881"/>
      <c r="J20" s="882"/>
      <c r="K20" s="881"/>
      <c r="L20" s="882"/>
      <c r="M20" s="881"/>
      <c r="N20" s="882"/>
      <c r="O20" s="881"/>
      <c r="P20" s="882"/>
      <c r="Q20" s="883">
        <f t="shared" si="0"/>
        <v>0</v>
      </c>
      <c r="R20" s="884"/>
      <c r="S20" s="885"/>
      <c r="T20" s="886">
        <f t="shared" si="1"/>
        <v>0</v>
      </c>
      <c r="U20" s="887"/>
      <c r="V20" s="888"/>
      <c r="W20" s="889"/>
      <c r="X20" s="890"/>
      <c r="Y20" s="891"/>
      <c r="Z20" s="892"/>
      <c r="AA20" s="893"/>
      <c r="AB20" s="894"/>
      <c r="AD20" s="896">
        <f t="shared" si="2"/>
        <v>0</v>
      </c>
      <c r="AE20" s="206">
        <f t="shared" ca="1" si="3"/>
        <v>0</v>
      </c>
    </row>
    <row r="21" spans="1:31" s="897" customFormat="1" ht="45" customHeight="1" x14ac:dyDescent="0.2">
      <c r="A21" s="144">
        <f t="shared" si="4"/>
        <v>8</v>
      </c>
      <c r="B21" s="878"/>
      <c r="C21" s="879"/>
      <c r="D21" s="880"/>
      <c r="E21" s="881"/>
      <c r="F21" s="882"/>
      <c r="G21" s="881"/>
      <c r="H21" s="882"/>
      <c r="I21" s="881"/>
      <c r="J21" s="882"/>
      <c r="K21" s="881"/>
      <c r="L21" s="882"/>
      <c r="M21" s="881"/>
      <c r="N21" s="882"/>
      <c r="O21" s="881"/>
      <c r="P21" s="882"/>
      <c r="Q21" s="883">
        <f t="shared" si="0"/>
        <v>0</v>
      </c>
      <c r="R21" s="884"/>
      <c r="S21" s="885"/>
      <c r="T21" s="886">
        <f t="shared" si="1"/>
        <v>0</v>
      </c>
      <c r="U21" s="887"/>
      <c r="V21" s="888"/>
      <c r="W21" s="889"/>
      <c r="X21" s="890"/>
      <c r="Y21" s="891"/>
      <c r="Z21" s="892"/>
      <c r="AA21" s="893"/>
      <c r="AB21" s="894"/>
      <c r="AD21" s="896">
        <f t="shared" si="2"/>
        <v>0</v>
      </c>
      <c r="AE21" s="206">
        <f t="shared" ca="1" si="3"/>
        <v>0</v>
      </c>
    </row>
    <row r="22" spans="1:31" s="897" customFormat="1" ht="45" customHeight="1" x14ac:dyDescent="0.2">
      <c r="A22" s="144">
        <f t="shared" si="4"/>
        <v>9</v>
      </c>
      <c r="B22" s="878"/>
      <c r="C22" s="879"/>
      <c r="D22" s="880"/>
      <c r="E22" s="881"/>
      <c r="F22" s="882"/>
      <c r="G22" s="881"/>
      <c r="H22" s="882"/>
      <c r="I22" s="881"/>
      <c r="J22" s="882"/>
      <c r="K22" s="881"/>
      <c r="L22" s="882"/>
      <c r="M22" s="881"/>
      <c r="N22" s="882"/>
      <c r="O22" s="881"/>
      <c r="P22" s="882"/>
      <c r="Q22" s="883">
        <f t="shared" si="0"/>
        <v>0</v>
      </c>
      <c r="R22" s="884"/>
      <c r="S22" s="885"/>
      <c r="T22" s="886">
        <f t="shared" si="1"/>
        <v>0</v>
      </c>
      <c r="U22" s="887"/>
      <c r="V22" s="888"/>
      <c r="W22" s="889"/>
      <c r="X22" s="890"/>
      <c r="Y22" s="891"/>
      <c r="Z22" s="892"/>
      <c r="AA22" s="893"/>
      <c r="AB22" s="894"/>
      <c r="AD22" s="896">
        <f t="shared" si="2"/>
        <v>0</v>
      </c>
      <c r="AE22" s="206">
        <f t="shared" ca="1" si="3"/>
        <v>0</v>
      </c>
    </row>
    <row r="23" spans="1:31" s="897" customFormat="1" ht="45" customHeight="1" x14ac:dyDescent="0.2">
      <c r="A23" s="144">
        <f t="shared" si="4"/>
        <v>10</v>
      </c>
      <c r="B23" s="878"/>
      <c r="C23" s="879"/>
      <c r="D23" s="880"/>
      <c r="E23" s="881"/>
      <c r="F23" s="882"/>
      <c r="G23" s="881"/>
      <c r="H23" s="882"/>
      <c r="I23" s="881"/>
      <c r="J23" s="882"/>
      <c r="K23" s="881"/>
      <c r="L23" s="882"/>
      <c r="M23" s="881"/>
      <c r="N23" s="882"/>
      <c r="O23" s="881"/>
      <c r="P23" s="882"/>
      <c r="Q23" s="883">
        <f t="shared" si="0"/>
        <v>0</v>
      </c>
      <c r="R23" s="884"/>
      <c r="S23" s="885"/>
      <c r="T23" s="886">
        <f t="shared" si="1"/>
        <v>0</v>
      </c>
      <c r="U23" s="887"/>
      <c r="V23" s="888"/>
      <c r="W23" s="889"/>
      <c r="X23" s="890"/>
      <c r="Y23" s="891"/>
      <c r="Z23" s="892"/>
      <c r="AA23" s="893"/>
      <c r="AB23" s="894"/>
      <c r="AD23" s="896">
        <f t="shared" si="2"/>
        <v>0</v>
      </c>
      <c r="AE23" s="206">
        <f t="shared" ca="1" si="3"/>
        <v>0</v>
      </c>
    </row>
    <row r="24" spans="1:31" s="897" customFormat="1" ht="45" customHeight="1" x14ac:dyDescent="0.2">
      <c r="A24" s="144">
        <f t="shared" si="4"/>
        <v>11</v>
      </c>
      <c r="B24" s="878"/>
      <c r="C24" s="879"/>
      <c r="D24" s="880"/>
      <c r="E24" s="881"/>
      <c r="F24" s="882"/>
      <c r="G24" s="881"/>
      <c r="H24" s="882"/>
      <c r="I24" s="881"/>
      <c r="J24" s="882"/>
      <c r="K24" s="881"/>
      <c r="L24" s="882"/>
      <c r="M24" s="881"/>
      <c r="N24" s="882"/>
      <c r="O24" s="881"/>
      <c r="P24" s="882"/>
      <c r="Q24" s="883">
        <f t="shared" si="0"/>
        <v>0</v>
      </c>
      <c r="R24" s="884"/>
      <c r="S24" s="885"/>
      <c r="T24" s="886">
        <f t="shared" si="1"/>
        <v>0</v>
      </c>
      <c r="U24" s="887"/>
      <c r="V24" s="888"/>
      <c r="W24" s="889"/>
      <c r="X24" s="890"/>
      <c r="Y24" s="891"/>
      <c r="Z24" s="892"/>
      <c r="AA24" s="893"/>
      <c r="AB24" s="894"/>
      <c r="AD24" s="896">
        <f t="shared" si="2"/>
        <v>0</v>
      </c>
      <c r="AE24" s="206">
        <f t="shared" ca="1" si="3"/>
        <v>0</v>
      </c>
    </row>
    <row r="25" spans="1:31" s="897" customFormat="1" ht="45" customHeight="1" x14ac:dyDescent="0.2">
      <c r="A25" s="144">
        <f t="shared" si="4"/>
        <v>12</v>
      </c>
      <c r="B25" s="878"/>
      <c r="C25" s="879"/>
      <c r="D25" s="880"/>
      <c r="E25" s="881"/>
      <c r="F25" s="882"/>
      <c r="G25" s="881"/>
      <c r="H25" s="882"/>
      <c r="I25" s="881"/>
      <c r="J25" s="882"/>
      <c r="K25" s="881"/>
      <c r="L25" s="882"/>
      <c r="M25" s="881"/>
      <c r="N25" s="882"/>
      <c r="O25" s="881"/>
      <c r="P25" s="882"/>
      <c r="Q25" s="883">
        <f t="shared" si="0"/>
        <v>0</v>
      </c>
      <c r="R25" s="884"/>
      <c r="S25" s="885"/>
      <c r="T25" s="886">
        <f t="shared" si="1"/>
        <v>0</v>
      </c>
      <c r="U25" s="887"/>
      <c r="V25" s="888"/>
      <c r="W25" s="889"/>
      <c r="X25" s="890"/>
      <c r="Y25" s="891"/>
      <c r="Z25" s="892"/>
      <c r="AA25" s="893"/>
      <c r="AB25" s="894"/>
      <c r="AD25" s="896">
        <f t="shared" si="2"/>
        <v>0</v>
      </c>
      <c r="AE25" s="206">
        <f t="shared" ca="1" si="3"/>
        <v>0</v>
      </c>
    </row>
    <row r="26" spans="1:31" s="897" customFormat="1" ht="45" customHeight="1" x14ac:dyDescent="0.2">
      <c r="A26" s="144">
        <f t="shared" si="4"/>
        <v>13</v>
      </c>
      <c r="B26" s="878"/>
      <c r="C26" s="879"/>
      <c r="D26" s="880"/>
      <c r="E26" s="881"/>
      <c r="F26" s="882"/>
      <c r="G26" s="881"/>
      <c r="H26" s="882"/>
      <c r="I26" s="881"/>
      <c r="J26" s="882"/>
      <c r="K26" s="881"/>
      <c r="L26" s="882"/>
      <c r="M26" s="881"/>
      <c r="N26" s="882"/>
      <c r="O26" s="881"/>
      <c r="P26" s="882"/>
      <c r="Q26" s="883">
        <f t="shared" si="0"/>
        <v>0</v>
      </c>
      <c r="R26" s="884"/>
      <c r="S26" s="885"/>
      <c r="T26" s="886">
        <f t="shared" si="1"/>
        <v>0</v>
      </c>
      <c r="U26" s="887"/>
      <c r="V26" s="888"/>
      <c r="W26" s="889"/>
      <c r="X26" s="890"/>
      <c r="Y26" s="891"/>
      <c r="Z26" s="892"/>
      <c r="AA26" s="893"/>
      <c r="AB26" s="894"/>
      <c r="AD26" s="896">
        <f t="shared" si="2"/>
        <v>0</v>
      </c>
      <c r="AE26" s="206">
        <f t="shared" ca="1" si="3"/>
        <v>0</v>
      </c>
    </row>
    <row r="27" spans="1:31" s="897" customFormat="1" ht="45" customHeight="1" x14ac:dyDescent="0.2">
      <c r="A27" s="144">
        <f t="shared" si="4"/>
        <v>14</v>
      </c>
      <c r="B27" s="878"/>
      <c r="C27" s="879"/>
      <c r="D27" s="880"/>
      <c r="E27" s="881"/>
      <c r="F27" s="882"/>
      <c r="G27" s="881"/>
      <c r="H27" s="882"/>
      <c r="I27" s="881"/>
      <c r="J27" s="882"/>
      <c r="K27" s="881"/>
      <c r="L27" s="882"/>
      <c r="M27" s="881"/>
      <c r="N27" s="882"/>
      <c r="O27" s="881"/>
      <c r="P27" s="882"/>
      <c r="Q27" s="883">
        <f t="shared" si="0"/>
        <v>0</v>
      </c>
      <c r="R27" s="884"/>
      <c r="S27" s="885"/>
      <c r="T27" s="886">
        <f t="shared" si="1"/>
        <v>0</v>
      </c>
      <c r="U27" s="887"/>
      <c r="V27" s="888"/>
      <c r="W27" s="889"/>
      <c r="X27" s="890"/>
      <c r="Y27" s="891"/>
      <c r="Z27" s="892"/>
      <c r="AA27" s="893"/>
      <c r="AB27" s="894"/>
      <c r="AD27" s="896">
        <f t="shared" si="2"/>
        <v>0</v>
      </c>
      <c r="AE27" s="206">
        <f t="shared" ca="1" si="3"/>
        <v>0</v>
      </c>
    </row>
    <row r="28" spans="1:31" s="897" customFormat="1" ht="45" customHeight="1" x14ac:dyDescent="0.2">
      <c r="A28" s="144">
        <f t="shared" si="4"/>
        <v>15</v>
      </c>
      <c r="B28" s="878"/>
      <c r="C28" s="879"/>
      <c r="D28" s="880"/>
      <c r="E28" s="881"/>
      <c r="F28" s="882"/>
      <c r="G28" s="881"/>
      <c r="H28" s="882"/>
      <c r="I28" s="881"/>
      <c r="J28" s="882"/>
      <c r="K28" s="881"/>
      <c r="L28" s="882"/>
      <c r="M28" s="881"/>
      <c r="N28" s="882"/>
      <c r="O28" s="881"/>
      <c r="P28" s="882"/>
      <c r="Q28" s="883">
        <f t="shared" si="0"/>
        <v>0</v>
      </c>
      <c r="R28" s="884"/>
      <c r="S28" s="885"/>
      <c r="T28" s="886">
        <f t="shared" si="1"/>
        <v>0</v>
      </c>
      <c r="U28" s="887"/>
      <c r="V28" s="888"/>
      <c r="W28" s="889"/>
      <c r="X28" s="890"/>
      <c r="Y28" s="891"/>
      <c r="Z28" s="892"/>
      <c r="AA28" s="893"/>
      <c r="AB28" s="894"/>
      <c r="AD28" s="896">
        <f t="shared" si="2"/>
        <v>0</v>
      </c>
      <c r="AE28" s="206">
        <f t="shared" ca="1" si="3"/>
        <v>0</v>
      </c>
    </row>
    <row r="29" spans="1:31" s="897" customFormat="1" ht="45" customHeight="1" x14ac:dyDescent="0.2">
      <c r="A29" s="144">
        <f t="shared" si="4"/>
        <v>16</v>
      </c>
      <c r="B29" s="878"/>
      <c r="C29" s="879"/>
      <c r="D29" s="880"/>
      <c r="E29" s="881"/>
      <c r="F29" s="882"/>
      <c r="G29" s="881"/>
      <c r="H29" s="882"/>
      <c r="I29" s="881"/>
      <c r="J29" s="882"/>
      <c r="K29" s="881"/>
      <c r="L29" s="882"/>
      <c r="M29" s="881"/>
      <c r="N29" s="882"/>
      <c r="O29" s="881"/>
      <c r="P29" s="882"/>
      <c r="Q29" s="883">
        <f t="shared" si="0"/>
        <v>0</v>
      </c>
      <c r="R29" s="884"/>
      <c r="S29" s="885"/>
      <c r="T29" s="886">
        <f t="shared" si="1"/>
        <v>0</v>
      </c>
      <c r="U29" s="887"/>
      <c r="V29" s="888"/>
      <c r="W29" s="889"/>
      <c r="X29" s="890"/>
      <c r="Y29" s="891"/>
      <c r="Z29" s="892"/>
      <c r="AA29" s="893"/>
      <c r="AB29" s="894"/>
      <c r="AD29" s="896">
        <f t="shared" si="2"/>
        <v>0</v>
      </c>
      <c r="AE29" s="206">
        <f t="shared" ca="1" si="3"/>
        <v>0</v>
      </c>
    </row>
    <row r="30" spans="1:31" s="897" customFormat="1" ht="45" customHeight="1" x14ac:dyDescent="0.2">
      <c r="A30" s="144">
        <f t="shared" si="4"/>
        <v>17</v>
      </c>
      <c r="B30" s="878"/>
      <c r="C30" s="879"/>
      <c r="D30" s="880"/>
      <c r="E30" s="881"/>
      <c r="F30" s="882"/>
      <c r="G30" s="881"/>
      <c r="H30" s="882"/>
      <c r="I30" s="881"/>
      <c r="J30" s="882"/>
      <c r="K30" s="881"/>
      <c r="L30" s="882"/>
      <c r="M30" s="881"/>
      <c r="N30" s="882"/>
      <c r="O30" s="881"/>
      <c r="P30" s="882"/>
      <c r="Q30" s="883">
        <f t="shared" si="0"/>
        <v>0</v>
      </c>
      <c r="R30" s="884"/>
      <c r="S30" s="885"/>
      <c r="T30" s="886">
        <f t="shared" si="1"/>
        <v>0</v>
      </c>
      <c r="U30" s="887"/>
      <c r="V30" s="888"/>
      <c r="W30" s="889"/>
      <c r="X30" s="890"/>
      <c r="Y30" s="891"/>
      <c r="Z30" s="892"/>
      <c r="AA30" s="893"/>
      <c r="AB30" s="894"/>
      <c r="AD30" s="896">
        <f t="shared" si="2"/>
        <v>0</v>
      </c>
      <c r="AE30" s="206">
        <f t="shared" ca="1" si="3"/>
        <v>0</v>
      </c>
    </row>
    <row r="31" spans="1:31" s="897" customFormat="1" ht="45" customHeight="1" x14ac:dyDescent="0.2">
      <c r="A31" s="144">
        <f t="shared" si="4"/>
        <v>18</v>
      </c>
      <c r="B31" s="878"/>
      <c r="C31" s="879"/>
      <c r="D31" s="880"/>
      <c r="E31" s="881"/>
      <c r="F31" s="882"/>
      <c r="G31" s="881"/>
      <c r="H31" s="882"/>
      <c r="I31" s="881"/>
      <c r="J31" s="882"/>
      <c r="K31" s="881"/>
      <c r="L31" s="882"/>
      <c r="M31" s="881"/>
      <c r="N31" s="882"/>
      <c r="O31" s="881"/>
      <c r="P31" s="882"/>
      <c r="Q31" s="883">
        <f t="shared" si="0"/>
        <v>0</v>
      </c>
      <c r="R31" s="884"/>
      <c r="S31" s="885"/>
      <c r="T31" s="886">
        <f t="shared" si="1"/>
        <v>0</v>
      </c>
      <c r="U31" s="887"/>
      <c r="V31" s="888"/>
      <c r="W31" s="889"/>
      <c r="X31" s="890"/>
      <c r="Y31" s="891"/>
      <c r="Z31" s="892"/>
      <c r="AA31" s="893"/>
      <c r="AB31" s="894"/>
      <c r="AD31" s="896">
        <f t="shared" si="2"/>
        <v>0</v>
      </c>
      <c r="AE31" s="206">
        <f t="shared" ca="1" si="3"/>
        <v>0</v>
      </c>
    </row>
    <row r="32" spans="1:31" s="897" customFormat="1" ht="45" customHeight="1" x14ac:dyDescent="0.2">
      <c r="A32" s="144">
        <f t="shared" si="4"/>
        <v>19</v>
      </c>
      <c r="B32" s="878"/>
      <c r="C32" s="879"/>
      <c r="D32" s="880"/>
      <c r="E32" s="881"/>
      <c r="F32" s="882"/>
      <c r="G32" s="881"/>
      <c r="H32" s="882"/>
      <c r="I32" s="881"/>
      <c r="J32" s="882"/>
      <c r="K32" s="881"/>
      <c r="L32" s="882"/>
      <c r="M32" s="881"/>
      <c r="N32" s="882"/>
      <c r="O32" s="881"/>
      <c r="P32" s="882"/>
      <c r="Q32" s="883">
        <f t="shared" si="0"/>
        <v>0</v>
      </c>
      <c r="R32" s="884"/>
      <c r="S32" s="885"/>
      <c r="T32" s="886">
        <f t="shared" si="1"/>
        <v>0</v>
      </c>
      <c r="U32" s="887"/>
      <c r="V32" s="888"/>
      <c r="W32" s="889"/>
      <c r="X32" s="890"/>
      <c r="Y32" s="891"/>
      <c r="Z32" s="892"/>
      <c r="AA32" s="893"/>
      <c r="AB32" s="894"/>
      <c r="AD32" s="896">
        <f t="shared" si="2"/>
        <v>0</v>
      </c>
      <c r="AE32" s="206">
        <f t="shared" ca="1" si="3"/>
        <v>0</v>
      </c>
    </row>
    <row r="33" spans="1:31" s="897" customFormat="1" ht="45" customHeight="1" x14ac:dyDescent="0.2">
      <c r="A33" s="144">
        <f t="shared" si="4"/>
        <v>20</v>
      </c>
      <c r="B33" s="878"/>
      <c r="C33" s="879"/>
      <c r="D33" s="880"/>
      <c r="E33" s="881"/>
      <c r="F33" s="882"/>
      <c r="G33" s="881"/>
      <c r="H33" s="882"/>
      <c r="I33" s="881"/>
      <c r="J33" s="882"/>
      <c r="K33" s="881"/>
      <c r="L33" s="882"/>
      <c r="M33" s="881"/>
      <c r="N33" s="882"/>
      <c r="O33" s="881"/>
      <c r="P33" s="882"/>
      <c r="Q33" s="883">
        <f t="shared" si="0"/>
        <v>0</v>
      </c>
      <c r="R33" s="884"/>
      <c r="S33" s="885"/>
      <c r="T33" s="886">
        <f t="shared" si="1"/>
        <v>0</v>
      </c>
      <c r="U33" s="887"/>
      <c r="V33" s="888"/>
      <c r="W33" s="889"/>
      <c r="X33" s="890"/>
      <c r="Y33" s="891"/>
      <c r="Z33" s="892"/>
      <c r="AA33" s="893"/>
      <c r="AB33" s="894"/>
      <c r="AD33" s="896">
        <f t="shared" si="2"/>
        <v>0</v>
      </c>
      <c r="AE33" s="206">
        <f t="shared" ca="1" si="3"/>
        <v>0</v>
      </c>
    </row>
    <row r="34" spans="1:31" s="897" customFormat="1" ht="45" customHeight="1" x14ac:dyDescent="0.2">
      <c r="A34" s="144">
        <f t="shared" si="4"/>
        <v>21</v>
      </c>
      <c r="B34" s="878"/>
      <c r="C34" s="879"/>
      <c r="D34" s="880"/>
      <c r="E34" s="881"/>
      <c r="F34" s="882"/>
      <c r="G34" s="881"/>
      <c r="H34" s="882"/>
      <c r="I34" s="881"/>
      <c r="J34" s="882"/>
      <c r="K34" s="881"/>
      <c r="L34" s="882"/>
      <c r="M34" s="881"/>
      <c r="N34" s="882"/>
      <c r="O34" s="881"/>
      <c r="P34" s="882"/>
      <c r="Q34" s="883">
        <f t="shared" si="0"/>
        <v>0</v>
      </c>
      <c r="R34" s="884"/>
      <c r="S34" s="885"/>
      <c r="T34" s="886">
        <f t="shared" si="1"/>
        <v>0</v>
      </c>
      <c r="U34" s="887"/>
      <c r="V34" s="888"/>
      <c r="W34" s="889"/>
      <c r="X34" s="890"/>
      <c r="Y34" s="891"/>
      <c r="Z34" s="892"/>
      <c r="AA34" s="893"/>
      <c r="AB34" s="894"/>
      <c r="AD34" s="896">
        <f t="shared" si="2"/>
        <v>0</v>
      </c>
      <c r="AE34" s="206">
        <f t="shared" ca="1" si="3"/>
        <v>0</v>
      </c>
    </row>
    <row r="35" spans="1:31" ht="45" customHeight="1" x14ac:dyDescent="0.2">
      <c r="A35" s="144">
        <f t="shared" si="4"/>
        <v>22</v>
      </c>
      <c r="B35" s="878"/>
      <c r="C35" s="879"/>
      <c r="D35" s="880"/>
      <c r="E35" s="881"/>
      <c r="F35" s="882"/>
      <c r="G35" s="881"/>
      <c r="H35" s="882"/>
      <c r="I35" s="881"/>
      <c r="J35" s="882"/>
      <c r="K35" s="881"/>
      <c r="L35" s="882"/>
      <c r="M35" s="881"/>
      <c r="N35" s="882"/>
      <c r="O35" s="881"/>
      <c r="P35" s="882"/>
      <c r="Q35" s="883">
        <f t="shared" si="0"/>
        <v>0</v>
      </c>
      <c r="R35" s="884"/>
      <c r="S35" s="885"/>
      <c r="T35" s="886">
        <f t="shared" si="1"/>
        <v>0</v>
      </c>
      <c r="U35" s="887"/>
      <c r="V35" s="888"/>
      <c r="W35" s="889"/>
      <c r="X35" s="890"/>
      <c r="Y35" s="891"/>
      <c r="Z35" s="892"/>
      <c r="AA35" s="893"/>
      <c r="AB35" s="894"/>
      <c r="AD35" s="896">
        <f t="shared" si="2"/>
        <v>0</v>
      </c>
      <c r="AE35" s="206">
        <f t="shared" ca="1" si="3"/>
        <v>0</v>
      </c>
    </row>
    <row r="36" spans="1:31" ht="45" customHeight="1" x14ac:dyDescent="0.2">
      <c r="A36" s="144">
        <f t="shared" si="4"/>
        <v>23</v>
      </c>
      <c r="B36" s="878"/>
      <c r="C36" s="879"/>
      <c r="D36" s="880"/>
      <c r="E36" s="881"/>
      <c r="F36" s="882"/>
      <c r="G36" s="881"/>
      <c r="H36" s="882"/>
      <c r="I36" s="881"/>
      <c r="J36" s="882"/>
      <c r="K36" s="881"/>
      <c r="L36" s="882"/>
      <c r="M36" s="881"/>
      <c r="N36" s="882"/>
      <c r="O36" s="881"/>
      <c r="P36" s="882"/>
      <c r="Q36" s="883">
        <f t="shared" si="0"/>
        <v>0</v>
      </c>
      <c r="R36" s="884"/>
      <c r="S36" s="885"/>
      <c r="T36" s="886">
        <f t="shared" si="1"/>
        <v>0</v>
      </c>
      <c r="U36" s="887"/>
      <c r="V36" s="888"/>
      <c r="W36" s="889"/>
      <c r="X36" s="890"/>
      <c r="Y36" s="891"/>
      <c r="Z36" s="892"/>
      <c r="AA36" s="893"/>
      <c r="AB36" s="894"/>
      <c r="AD36" s="896">
        <f t="shared" si="2"/>
        <v>0</v>
      </c>
      <c r="AE36" s="206">
        <f t="shared" ca="1" si="3"/>
        <v>0</v>
      </c>
    </row>
    <row r="37" spans="1:31" ht="45" customHeight="1" x14ac:dyDescent="0.2">
      <c r="A37" s="144">
        <f t="shared" si="4"/>
        <v>24</v>
      </c>
      <c r="B37" s="878"/>
      <c r="C37" s="879"/>
      <c r="D37" s="880"/>
      <c r="E37" s="881"/>
      <c r="F37" s="882"/>
      <c r="G37" s="881"/>
      <c r="H37" s="882"/>
      <c r="I37" s="881"/>
      <c r="J37" s="882"/>
      <c r="K37" s="881"/>
      <c r="L37" s="882"/>
      <c r="M37" s="881"/>
      <c r="N37" s="882"/>
      <c r="O37" s="881"/>
      <c r="P37" s="882"/>
      <c r="Q37" s="883">
        <f t="shared" si="0"/>
        <v>0</v>
      </c>
      <c r="R37" s="884"/>
      <c r="S37" s="885"/>
      <c r="T37" s="886">
        <f t="shared" si="1"/>
        <v>0</v>
      </c>
      <c r="U37" s="887"/>
      <c r="V37" s="888"/>
      <c r="W37" s="889"/>
      <c r="X37" s="890"/>
      <c r="Y37" s="891"/>
      <c r="Z37" s="892"/>
      <c r="AA37" s="893"/>
      <c r="AB37" s="894"/>
      <c r="AD37" s="896">
        <f t="shared" si="2"/>
        <v>0</v>
      </c>
      <c r="AE37" s="206">
        <f t="shared" ca="1" si="3"/>
        <v>0</v>
      </c>
    </row>
    <row r="38" spans="1:31" ht="45" customHeight="1" x14ac:dyDescent="0.2">
      <c r="A38" s="144">
        <f t="shared" si="4"/>
        <v>25</v>
      </c>
      <c r="B38" s="878"/>
      <c r="C38" s="879"/>
      <c r="D38" s="880"/>
      <c r="E38" s="881"/>
      <c r="F38" s="882"/>
      <c r="G38" s="881"/>
      <c r="H38" s="882"/>
      <c r="I38" s="881"/>
      <c r="J38" s="882"/>
      <c r="K38" s="881"/>
      <c r="L38" s="882"/>
      <c r="M38" s="881"/>
      <c r="N38" s="882"/>
      <c r="O38" s="881"/>
      <c r="P38" s="882"/>
      <c r="Q38" s="883">
        <f t="shared" si="0"/>
        <v>0</v>
      </c>
      <c r="R38" s="884"/>
      <c r="S38" s="885"/>
      <c r="T38" s="886">
        <f t="shared" si="1"/>
        <v>0</v>
      </c>
      <c r="U38" s="887"/>
      <c r="V38" s="888"/>
      <c r="W38" s="889"/>
      <c r="X38" s="890"/>
      <c r="Y38" s="891"/>
      <c r="Z38" s="892"/>
      <c r="AA38" s="893"/>
      <c r="AB38" s="894"/>
      <c r="AD38" s="896">
        <f t="shared" si="2"/>
        <v>0</v>
      </c>
      <c r="AE38" s="206">
        <f t="shared" ca="1" si="3"/>
        <v>0</v>
      </c>
    </row>
    <row r="39" spans="1:31" ht="45" customHeight="1" x14ac:dyDescent="0.2">
      <c r="A39" s="144">
        <f t="shared" si="4"/>
        <v>26</v>
      </c>
      <c r="B39" s="878"/>
      <c r="C39" s="879"/>
      <c r="D39" s="880"/>
      <c r="E39" s="881"/>
      <c r="F39" s="882"/>
      <c r="G39" s="881"/>
      <c r="H39" s="882"/>
      <c r="I39" s="881"/>
      <c r="J39" s="882"/>
      <c r="K39" s="881"/>
      <c r="L39" s="882"/>
      <c r="M39" s="881"/>
      <c r="N39" s="882"/>
      <c r="O39" s="881"/>
      <c r="P39" s="882"/>
      <c r="Q39" s="883">
        <f t="shared" si="0"/>
        <v>0</v>
      </c>
      <c r="R39" s="884"/>
      <c r="S39" s="885"/>
      <c r="T39" s="886">
        <f t="shared" si="1"/>
        <v>0</v>
      </c>
      <c r="U39" s="887"/>
      <c r="V39" s="888"/>
      <c r="W39" s="889"/>
      <c r="X39" s="890"/>
      <c r="Y39" s="891"/>
      <c r="Z39" s="892"/>
      <c r="AA39" s="893"/>
      <c r="AB39" s="894"/>
      <c r="AD39" s="896">
        <f t="shared" si="2"/>
        <v>0</v>
      </c>
      <c r="AE39" s="206">
        <f t="shared" ca="1" si="3"/>
        <v>0</v>
      </c>
    </row>
    <row r="40" spans="1:31" ht="45" customHeight="1" x14ac:dyDescent="0.2">
      <c r="A40" s="144">
        <f t="shared" si="4"/>
        <v>27</v>
      </c>
      <c r="B40" s="878"/>
      <c r="C40" s="879"/>
      <c r="D40" s="880"/>
      <c r="E40" s="881"/>
      <c r="F40" s="882"/>
      <c r="G40" s="881"/>
      <c r="H40" s="882"/>
      <c r="I40" s="881"/>
      <c r="J40" s="882"/>
      <c r="K40" s="881"/>
      <c r="L40" s="882"/>
      <c r="M40" s="881"/>
      <c r="N40" s="882"/>
      <c r="O40" s="881"/>
      <c r="P40" s="882"/>
      <c r="Q40" s="883">
        <f t="shared" si="0"/>
        <v>0</v>
      </c>
      <c r="R40" s="884"/>
      <c r="S40" s="885"/>
      <c r="T40" s="886">
        <f t="shared" si="1"/>
        <v>0</v>
      </c>
      <c r="U40" s="887"/>
      <c r="V40" s="888"/>
      <c r="W40" s="889"/>
      <c r="X40" s="890"/>
      <c r="Y40" s="891"/>
      <c r="Z40" s="892"/>
      <c r="AA40" s="893"/>
      <c r="AB40" s="894"/>
      <c r="AD40" s="896">
        <f t="shared" si="2"/>
        <v>0</v>
      </c>
      <c r="AE40" s="206">
        <f t="shared" ca="1" si="3"/>
        <v>0</v>
      </c>
    </row>
    <row r="41" spans="1:31" ht="45" customHeight="1" x14ac:dyDescent="0.2">
      <c r="A41" s="144">
        <f t="shared" si="4"/>
        <v>28</v>
      </c>
      <c r="B41" s="878"/>
      <c r="C41" s="879"/>
      <c r="D41" s="880"/>
      <c r="E41" s="881"/>
      <c r="F41" s="882"/>
      <c r="G41" s="881"/>
      <c r="H41" s="882"/>
      <c r="I41" s="881"/>
      <c r="J41" s="882"/>
      <c r="K41" s="881"/>
      <c r="L41" s="882"/>
      <c r="M41" s="881"/>
      <c r="N41" s="882"/>
      <c r="O41" s="881"/>
      <c r="P41" s="882"/>
      <c r="Q41" s="883">
        <f t="shared" si="0"/>
        <v>0</v>
      </c>
      <c r="R41" s="884"/>
      <c r="S41" s="885"/>
      <c r="T41" s="886">
        <f t="shared" si="1"/>
        <v>0</v>
      </c>
      <c r="U41" s="887"/>
      <c r="V41" s="888"/>
      <c r="W41" s="889"/>
      <c r="X41" s="890"/>
      <c r="Y41" s="891"/>
      <c r="Z41" s="892"/>
      <c r="AA41" s="893"/>
      <c r="AB41" s="894"/>
      <c r="AD41" s="896">
        <f t="shared" si="2"/>
        <v>0</v>
      </c>
      <c r="AE41" s="206">
        <f t="shared" ca="1" si="3"/>
        <v>0</v>
      </c>
    </row>
    <row r="42" spans="1:31" ht="45" customHeight="1" x14ac:dyDescent="0.2">
      <c r="A42" s="144">
        <f t="shared" si="4"/>
        <v>29</v>
      </c>
      <c r="B42" s="878"/>
      <c r="C42" s="879"/>
      <c r="D42" s="880"/>
      <c r="E42" s="881"/>
      <c r="F42" s="882"/>
      <c r="G42" s="881"/>
      <c r="H42" s="882"/>
      <c r="I42" s="881"/>
      <c r="J42" s="882"/>
      <c r="K42" s="881"/>
      <c r="L42" s="882"/>
      <c r="M42" s="881"/>
      <c r="N42" s="882"/>
      <c r="O42" s="881"/>
      <c r="P42" s="882"/>
      <c r="Q42" s="883">
        <f t="shared" si="0"/>
        <v>0</v>
      </c>
      <c r="R42" s="884"/>
      <c r="S42" s="885"/>
      <c r="T42" s="886">
        <f t="shared" si="1"/>
        <v>0</v>
      </c>
      <c r="U42" s="887"/>
      <c r="V42" s="888"/>
      <c r="W42" s="889"/>
      <c r="X42" s="890"/>
      <c r="Y42" s="891"/>
      <c r="Z42" s="892"/>
      <c r="AA42" s="893"/>
      <c r="AB42" s="894"/>
      <c r="AD42" s="896">
        <f t="shared" si="2"/>
        <v>0</v>
      </c>
      <c r="AE42" s="206">
        <f t="shared" ca="1" si="3"/>
        <v>0</v>
      </c>
    </row>
    <row r="43" spans="1:31" ht="45" customHeight="1" x14ac:dyDescent="0.2">
      <c r="A43" s="144">
        <f t="shared" si="4"/>
        <v>30</v>
      </c>
      <c r="B43" s="878"/>
      <c r="C43" s="879"/>
      <c r="D43" s="880"/>
      <c r="E43" s="881"/>
      <c r="F43" s="882"/>
      <c r="G43" s="881"/>
      <c r="H43" s="882"/>
      <c r="I43" s="881"/>
      <c r="J43" s="882"/>
      <c r="K43" s="881"/>
      <c r="L43" s="882"/>
      <c r="M43" s="881"/>
      <c r="N43" s="882"/>
      <c r="O43" s="881"/>
      <c r="P43" s="882"/>
      <c r="Q43" s="883">
        <f t="shared" si="0"/>
        <v>0</v>
      </c>
      <c r="R43" s="884"/>
      <c r="S43" s="885"/>
      <c r="T43" s="886">
        <f t="shared" si="1"/>
        <v>0</v>
      </c>
      <c r="U43" s="887"/>
      <c r="V43" s="888"/>
      <c r="W43" s="889"/>
      <c r="X43" s="890"/>
      <c r="Y43" s="891"/>
      <c r="Z43" s="892"/>
      <c r="AA43" s="893"/>
      <c r="AB43" s="894"/>
      <c r="AD43" s="896">
        <f t="shared" si="2"/>
        <v>0</v>
      </c>
      <c r="AE43" s="206">
        <f t="shared" ca="1" si="3"/>
        <v>0</v>
      </c>
    </row>
    <row r="44" spans="1:31" ht="45" customHeight="1" x14ac:dyDescent="0.2">
      <c r="A44" s="144">
        <f t="shared" si="4"/>
        <v>31</v>
      </c>
      <c r="B44" s="878"/>
      <c r="C44" s="879"/>
      <c r="D44" s="880"/>
      <c r="E44" s="881"/>
      <c r="F44" s="882"/>
      <c r="G44" s="881"/>
      <c r="H44" s="882"/>
      <c r="I44" s="881"/>
      <c r="J44" s="882"/>
      <c r="K44" s="881"/>
      <c r="L44" s="882"/>
      <c r="M44" s="881"/>
      <c r="N44" s="882"/>
      <c r="O44" s="881"/>
      <c r="P44" s="882"/>
      <c r="Q44" s="883">
        <f t="shared" si="0"/>
        <v>0</v>
      </c>
      <c r="R44" s="884"/>
      <c r="S44" s="885"/>
      <c r="T44" s="886">
        <f t="shared" si="1"/>
        <v>0</v>
      </c>
      <c r="U44" s="887"/>
      <c r="V44" s="888"/>
      <c r="W44" s="889"/>
      <c r="X44" s="890"/>
      <c r="Y44" s="891"/>
      <c r="Z44" s="892"/>
      <c r="AA44" s="893"/>
      <c r="AB44" s="894"/>
      <c r="AD44" s="896">
        <f t="shared" si="2"/>
        <v>0</v>
      </c>
      <c r="AE44" s="206">
        <f t="shared" ca="1" si="3"/>
        <v>0</v>
      </c>
    </row>
    <row r="45" spans="1:31" ht="45" customHeight="1" x14ac:dyDescent="0.2">
      <c r="A45" s="144">
        <f t="shared" si="4"/>
        <v>32</v>
      </c>
      <c r="B45" s="878"/>
      <c r="C45" s="879"/>
      <c r="D45" s="880"/>
      <c r="E45" s="881"/>
      <c r="F45" s="882"/>
      <c r="G45" s="881"/>
      <c r="H45" s="882"/>
      <c r="I45" s="881"/>
      <c r="J45" s="882"/>
      <c r="K45" s="881"/>
      <c r="L45" s="882"/>
      <c r="M45" s="881"/>
      <c r="N45" s="882"/>
      <c r="O45" s="881"/>
      <c r="P45" s="882"/>
      <c r="Q45" s="883">
        <f t="shared" si="0"/>
        <v>0</v>
      </c>
      <c r="R45" s="884"/>
      <c r="S45" s="885"/>
      <c r="T45" s="886">
        <f t="shared" si="1"/>
        <v>0</v>
      </c>
      <c r="U45" s="887"/>
      <c r="V45" s="888"/>
      <c r="W45" s="889"/>
      <c r="X45" s="890"/>
      <c r="Y45" s="891"/>
      <c r="Z45" s="892"/>
      <c r="AA45" s="893"/>
      <c r="AB45" s="894"/>
      <c r="AD45" s="896">
        <f t="shared" si="2"/>
        <v>0</v>
      </c>
      <c r="AE45" s="206">
        <f t="shared" ca="1" si="3"/>
        <v>0</v>
      </c>
    </row>
    <row r="46" spans="1:31" ht="45" customHeight="1" x14ac:dyDescent="0.2">
      <c r="A46" s="144">
        <f t="shared" si="4"/>
        <v>33</v>
      </c>
      <c r="B46" s="878"/>
      <c r="C46" s="879"/>
      <c r="D46" s="880"/>
      <c r="E46" s="881"/>
      <c r="F46" s="882"/>
      <c r="G46" s="881"/>
      <c r="H46" s="882"/>
      <c r="I46" s="881"/>
      <c r="J46" s="882"/>
      <c r="K46" s="881"/>
      <c r="L46" s="882"/>
      <c r="M46" s="881"/>
      <c r="N46" s="882"/>
      <c r="O46" s="881"/>
      <c r="P46" s="882"/>
      <c r="Q46" s="883">
        <f t="shared" si="0"/>
        <v>0</v>
      </c>
      <c r="R46" s="884"/>
      <c r="S46" s="885"/>
      <c r="T46" s="886">
        <f t="shared" si="1"/>
        <v>0</v>
      </c>
      <c r="U46" s="887"/>
      <c r="V46" s="888"/>
      <c r="W46" s="889"/>
      <c r="X46" s="890"/>
      <c r="Y46" s="891"/>
      <c r="Z46" s="892"/>
      <c r="AA46" s="893"/>
      <c r="AB46" s="894"/>
      <c r="AD46" s="896">
        <f t="shared" si="2"/>
        <v>0</v>
      </c>
      <c r="AE46" s="206">
        <f t="shared" ref="AE46:AE63" ca="1" si="5">IF(AND($U46&lt;&gt;"",$V46="",TODAY()-U46&gt;$AB$3),1,0)</f>
        <v>0</v>
      </c>
    </row>
    <row r="47" spans="1:31" ht="45" customHeight="1" x14ac:dyDescent="0.2">
      <c r="A47" s="144">
        <f t="shared" ref="A47:A63" si="6">A46+1</f>
        <v>34</v>
      </c>
      <c r="B47" s="878"/>
      <c r="C47" s="879"/>
      <c r="D47" s="880"/>
      <c r="E47" s="881"/>
      <c r="F47" s="882"/>
      <c r="G47" s="881"/>
      <c r="H47" s="882"/>
      <c r="I47" s="881"/>
      <c r="J47" s="882"/>
      <c r="K47" s="881"/>
      <c r="L47" s="882"/>
      <c r="M47" s="881"/>
      <c r="N47" s="882"/>
      <c r="O47" s="881"/>
      <c r="P47" s="882"/>
      <c r="Q47" s="883">
        <f t="shared" si="0"/>
        <v>0</v>
      </c>
      <c r="R47" s="884"/>
      <c r="S47" s="885"/>
      <c r="T47" s="886">
        <f t="shared" si="1"/>
        <v>0</v>
      </c>
      <c r="U47" s="887"/>
      <c r="V47" s="888"/>
      <c r="W47" s="889"/>
      <c r="X47" s="890"/>
      <c r="Y47" s="891"/>
      <c r="Z47" s="892"/>
      <c r="AA47" s="893"/>
      <c r="AB47" s="894"/>
      <c r="AD47" s="896">
        <f t="shared" si="2"/>
        <v>0</v>
      </c>
      <c r="AE47" s="206">
        <f t="shared" ca="1" si="5"/>
        <v>0</v>
      </c>
    </row>
    <row r="48" spans="1:31" ht="45" customHeight="1" x14ac:dyDescent="0.2">
      <c r="A48" s="144">
        <f t="shared" si="6"/>
        <v>35</v>
      </c>
      <c r="B48" s="878"/>
      <c r="C48" s="879"/>
      <c r="D48" s="880"/>
      <c r="E48" s="881"/>
      <c r="F48" s="882"/>
      <c r="G48" s="881"/>
      <c r="H48" s="882"/>
      <c r="I48" s="881"/>
      <c r="J48" s="882"/>
      <c r="K48" s="881"/>
      <c r="L48" s="882"/>
      <c r="M48" s="881"/>
      <c r="N48" s="882"/>
      <c r="O48" s="881"/>
      <c r="P48" s="882"/>
      <c r="Q48" s="883">
        <f t="shared" si="0"/>
        <v>0</v>
      </c>
      <c r="R48" s="884"/>
      <c r="S48" s="885"/>
      <c r="T48" s="886">
        <f t="shared" si="1"/>
        <v>0</v>
      </c>
      <c r="U48" s="887"/>
      <c r="V48" s="888"/>
      <c r="W48" s="889"/>
      <c r="X48" s="890"/>
      <c r="Y48" s="891"/>
      <c r="Z48" s="892"/>
      <c r="AA48" s="893"/>
      <c r="AB48" s="894"/>
      <c r="AD48" s="896">
        <f t="shared" si="2"/>
        <v>0</v>
      </c>
      <c r="AE48" s="206">
        <f t="shared" ca="1" si="5"/>
        <v>0</v>
      </c>
    </row>
    <row r="49" spans="1:31" ht="45" customHeight="1" x14ac:dyDescent="0.2">
      <c r="A49" s="144">
        <f t="shared" si="6"/>
        <v>36</v>
      </c>
      <c r="B49" s="878"/>
      <c r="C49" s="879"/>
      <c r="D49" s="880"/>
      <c r="E49" s="881"/>
      <c r="F49" s="882"/>
      <c r="G49" s="881"/>
      <c r="H49" s="882"/>
      <c r="I49" s="881"/>
      <c r="J49" s="882"/>
      <c r="K49" s="881"/>
      <c r="L49" s="882"/>
      <c r="M49" s="881"/>
      <c r="N49" s="882"/>
      <c r="O49" s="881"/>
      <c r="P49" s="882"/>
      <c r="Q49" s="883">
        <f t="shared" si="0"/>
        <v>0</v>
      </c>
      <c r="R49" s="884"/>
      <c r="S49" s="885"/>
      <c r="T49" s="886">
        <f t="shared" si="1"/>
        <v>0</v>
      </c>
      <c r="U49" s="887"/>
      <c r="V49" s="888"/>
      <c r="W49" s="889"/>
      <c r="X49" s="890"/>
      <c r="Y49" s="891"/>
      <c r="Z49" s="892"/>
      <c r="AA49" s="893"/>
      <c r="AB49" s="894"/>
      <c r="AD49" s="896">
        <f t="shared" si="2"/>
        <v>0</v>
      </c>
      <c r="AE49" s="206">
        <f t="shared" ca="1" si="5"/>
        <v>0</v>
      </c>
    </row>
    <row r="50" spans="1:31" ht="45" customHeight="1" x14ac:dyDescent="0.2">
      <c r="A50" s="144">
        <f t="shared" si="6"/>
        <v>37</v>
      </c>
      <c r="B50" s="878"/>
      <c r="C50" s="879"/>
      <c r="D50" s="898"/>
      <c r="E50" s="881"/>
      <c r="F50" s="882"/>
      <c r="G50" s="881"/>
      <c r="H50" s="882"/>
      <c r="I50" s="881"/>
      <c r="J50" s="882"/>
      <c r="K50" s="881"/>
      <c r="L50" s="882"/>
      <c r="M50" s="881"/>
      <c r="N50" s="882"/>
      <c r="O50" s="881"/>
      <c r="P50" s="882"/>
      <c r="Q50" s="883"/>
      <c r="R50" s="884"/>
      <c r="S50" s="885"/>
      <c r="T50" s="886"/>
      <c r="U50" s="887"/>
      <c r="V50" s="888"/>
      <c r="W50" s="889"/>
      <c r="X50" s="890"/>
      <c r="Y50" s="891"/>
      <c r="Z50" s="892"/>
      <c r="AA50" s="893"/>
      <c r="AB50" s="894"/>
      <c r="AD50" s="896"/>
      <c r="AE50" s="206">
        <f t="shared" ca="1" si="5"/>
        <v>0</v>
      </c>
    </row>
    <row r="51" spans="1:31" ht="45" customHeight="1" x14ac:dyDescent="0.2">
      <c r="A51" s="144">
        <f t="shared" si="6"/>
        <v>38</v>
      </c>
      <c r="B51" s="878"/>
      <c r="C51" s="879"/>
      <c r="D51" s="898"/>
      <c r="E51" s="881"/>
      <c r="F51" s="882"/>
      <c r="G51" s="881"/>
      <c r="H51" s="882"/>
      <c r="I51" s="881"/>
      <c r="J51" s="882"/>
      <c r="K51" s="881"/>
      <c r="L51" s="882"/>
      <c r="M51" s="881"/>
      <c r="N51" s="882"/>
      <c r="O51" s="881"/>
      <c r="P51" s="882"/>
      <c r="Q51" s="883"/>
      <c r="R51" s="884"/>
      <c r="S51" s="885"/>
      <c r="T51" s="886"/>
      <c r="U51" s="887"/>
      <c r="V51" s="888"/>
      <c r="W51" s="889"/>
      <c r="X51" s="890"/>
      <c r="Y51" s="891"/>
      <c r="Z51" s="892"/>
      <c r="AA51" s="893"/>
      <c r="AB51" s="894"/>
      <c r="AD51" s="896"/>
      <c r="AE51" s="206">
        <f t="shared" ca="1" si="5"/>
        <v>0</v>
      </c>
    </row>
    <row r="52" spans="1:31" ht="45" customHeight="1" x14ac:dyDescent="0.2">
      <c r="A52" s="144">
        <f t="shared" si="6"/>
        <v>39</v>
      </c>
      <c r="B52" s="878"/>
      <c r="C52" s="879"/>
      <c r="D52" s="898"/>
      <c r="E52" s="881"/>
      <c r="F52" s="882"/>
      <c r="G52" s="881"/>
      <c r="H52" s="882"/>
      <c r="I52" s="881"/>
      <c r="J52" s="882"/>
      <c r="K52" s="881"/>
      <c r="L52" s="882"/>
      <c r="M52" s="881"/>
      <c r="N52" s="882"/>
      <c r="O52" s="881"/>
      <c r="P52" s="882"/>
      <c r="Q52" s="883"/>
      <c r="R52" s="884"/>
      <c r="S52" s="885"/>
      <c r="T52" s="886"/>
      <c r="U52" s="887"/>
      <c r="V52" s="888"/>
      <c r="W52" s="889"/>
      <c r="X52" s="890"/>
      <c r="Y52" s="891"/>
      <c r="Z52" s="892"/>
      <c r="AA52" s="893"/>
      <c r="AB52" s="894"/>
      <c r="AD52" s="896"/>
      <c r="AE52" s="206">
        <f t="shared" ca="1" si="5"/>
        <v>0</v>
      </c>
    </row>
    <row r="53" spans="1:31" ht="45" customHeight="1" x14ac:dyDescent="0.2">
      <c r="A53" s="144">
        <f t="shared" si="6"/>
        <v>40</v>
      </c>
      <c r="B53" s="878"/>
      <c r="C53" s="879"/>
      <c r="D53" s="898"/>
      <c r="E53" s="881"/>
      <c r="F53" s="882"/>
      <c r="G53" s="881"/>
      <c r="H53" s="882"/>
      <c r="I53" s="881"/>
      <c r="J53" s="882"/>
      <c r="K53" s="881"/>
      <c r="L53" s="882"/>
      <c r="M53" s="881"/>
      <c r="N53" s="882"/>
      <c r="O53" s="881"/>
      <c r="P53" s="882"/>
      <c r="Q53" s="883"/>
      <c r="R53" s="884"/>
      <c r="S53" s="885"/>
      <c r="T53" s="886"/>
      <c r="U53" s="887"/>
      <c r="V53" s="888"/>
      <c r="W53" s="889"/>
      <c r="X53" s="890"/>
      <c r="Y53" s="891"/>
      <c r="Z53" s="892"/>
      <c r="AA53" s="893"/>
      <c r="AB53" s="894"/>
      <c r="AD53" s="896"/>
      <c r="AE53" s="206">
        <f t="shared" ca="1" si="5"/>
        <v>0</v>
      </c>
    </row>
    <row r="54" spans="1:31" ht="45" customHeight="1" x14ac:dyDescent="0.2">
      <c r="A54" s="144">
        <f t="shared" si="6"/>
        <v>41</v>
      </c>
      <c r="B54" s="878"/>
      <c r="C54" s="879"/>
      <c r="D54" s="898"/>
      <c r="E54" s="881"/>
      <c r="F54" s="882"/>
      <c r="G54" s="881"/>
      <c r="H54" s="882"/>
      <c r="I54" s="881"/>
      <c r="J54" s="882"/>
      <c r="K54" s="881"/>
      <c r="L54" s="882"/>
      <c r="M54" s="881"/>
      <c r="N54" s="882"/>
      <c r="O54" s="881"/>
      <c r="P54" s="882"/>
      <c r="Q54" s="883"/>
      <c r="R54" s="884"/>
      <c r="S54" s="885"/>
      <c r="T54" s="886"/>
      <c r="U54" s="887"/>
      <c r="V54" s="888"/>
      <c r="W54" s="889"/>
      <c r="X54" s="890"/>
      <c r="Y54" s="891"/>
      <c r="Z54" s="892"/>
      <c r="AA54" s="893"/>
      <c r="AB54" s="894"/>
      <c r="AD54" s="896"/>
      <c r="AE54" s="206">
        <f t="shared" ca="1" si="5"/>
        <v>0</v>
      </c>
    </row>
    <row r="55" spans="1:31" ht="45" customHeight="1" x14ac:dyDescent="0.2">
      <c r="A55" s="144">
        <f t="shared" si="6"/>
        <v>42</v>
      </c>
      <c r="B55" s="878"/>
      <c r="C55" s="879"/>
      <c r="D55" s="898"/>
      <c r="E55" s="881"/>
      <c r="F55" s="882"/>
      <c r="G55" s="881"/>
      <c r="H55" s="882"/>
      <c r="I55" s="881"/>
      <c r="J55" s="882"/>
      <c r="K55" s="881"/>
      <c r="L55" s="882"/>
      <c r="M55" s="881"/>
      <c r="N55" s="882"/>
      <c r="O55" s="881"/>
      <c r="P55" s="882"/>
      <c r="Q55" s="883"/>
      <c r="R55" s="884"/>
      <c r="S55" s="885"/>
      <c r="T55" s="886"/>
      <c r="U55" s="887"/>
      <c r="V55" s="888"/>
      <c r="W55" s="889"/>
      <c r="X55" s="890"/>
      <c r="Y55" s="891"/>
      <c r="Z55" s="892"/>
      <c r="AA55" s="893"/>
      <c r="AB55" s="894"/>
      <c r="AD55" s="896"/>
      <c r="AE55" s="206">
        <f t="shared" ca="1" si="5"/>
        <v>0</v>
      </c>
    </row>
    <row r="56" spans="1:31" ht="45" customHeight="1" x14ac:dyDescent="0.2">
      <c r="A56" s="144">
        <f t="shared" si="6"/>
        <v>43</v>
      </c>
      <c r="B56" s="878"/>
      <c r="C56" s="879"/>
      <c r="D56" s="898"/>
      <c r="E56" s="881"/>
      <c r="F56" s="882"/>
      <c r="G56" s="881"/>
      <c r="H56" s="882"/>
      <c r="I56" s="881"/>
      <c r="J56" s="882"/>
      <c r="K56" s="881"/>
      <c r="L56" s="882"/>
      <c r="M56" s="881"/>
      <c r="N56" s="882"/>
      <c r="O56" s="881"/>
      <c r="P56" s="882"/>
      <c r="Q56" s="883"/>
      <c r="R56" s="884"/>
      <c r="S56" s="885"/>
      <c r="T56" s="886"/>
      <c r="U56" s="887"/>
      <c r="V56" s="888"/>
      <c r="W56" s="889"/>
      <c r="X56" s="890"/>
      <c r="Y56" s="891"/>
      <c r="Z56" s="892"/>
      <c r="AA56" s="893"/>
      <c r="AB56" s="894"/>
      <c r="AD56" s="896"/>
      <c r="AE56" s="206">
        <f t="shared" ca="1" si="5"/>
        <v>0</v>
      </c>
    </row>
    <row r="57" spans="1:31" ht="45" customHeight="1" x14ac:dyDescent="0.2">
      <c r="A57" s="144">
        <f t="shared" si="6"/>
        <v>44</v>
      </c>
      <c r="B57" s="878"/>
      <c r="C57" s="879"/>
      <c r="D57" s="898"/>
      <c r="E57" s="881"/>
      <c r="F57" s="882"/>
      <c r="G57" s="881"/>
      <c r="H57" s="882"/>
      <c r="I57" s="881"/>
      <c r="J57" s="882"/>
      <c r="K57" s="881"/>
      <c r="L57" s="882"/>
      <c r="M57" s="881"/>
      <c r="N57" s="882"/>
      <c r="O57" s="881"/>
      <c r="P57" s="882"/>
      <c r="Q57" s="883"/>
      <c r="R57" s="884"/>
      <c r="S57" s="885"/>
      <c r="T57" s="886"/>
      <c r="U57" s="887"/>
      <c r="V57" s="888"/>
      <c r="W57" s="889"/>
      <c r="X57" s="890"/>
      <c r="Y57" s="891"/>
      <c r="Z57" s="892"/>
      <c r="AA57" s="893"/>
      <c r="AB57" s="894"/>
      <c r="AD57" s="896"/>
      <c r="AE57" s="206">
        <f t="shared" ca="1" si="5"/>
        <v>0</v>
      </c>
    </row>
    <row r="58" spans="1:31" ht="45" customHeight="1" x14ac:dyDescent="0.2">
      <c r="A58" s="144">
        <f t="shared" si="6"/>
        <v>45</v>
      </c>
      <c r="B58" s="878"/>
      <c r="C58" s="879"/>
      <c r="D58" s="898"/>
      <c r="E58" s="881"/>
      <c r="F58" s="882"/>
      <c r="G58" s="881"/>
      <c r="H58" s="882"/>
      <c r="I58" s="881"/>
      <c r="J58" s="882"/>
      <c r="K58" s="881"/>
      <c r="L58" s="882"/>
      <c r="M58" s="881"/>
      <c r="N58" s="882"/>
      <c r="O58" s="881"/>
      <c r="P58" s="882"/>
      <c r="Q58" s="883"/>
      <c r="R58" s="884"/>
      <c r="S58" s="885"/>
      <c r="T58" s="886"/>
      <c r="U58" s="887"/>
      <c r="V58" s="888"/>
      <c r="W58" s="889"/>
      <c r="X58" s="890"/>
      <c r="Y58" s="891"/>
      <c r="Z58" s="892"/>
      <c r="AA58" s="893"/>
      <c r="AB58" s="894"/>
      <c r="AD58" s="896"/>
      <c r="AE58" s="206">
        <f t="shared" ca="1" si="5"/>
        <v>0</v>
      </c>
    </row>
    <row r="59" spans="1:31" ht="45" customHeight="1" x14ac:dyDescent="0.2">
      <c r="A59" s="144">
        <f t="shared" si="6"/>
        <v>46</v>
      </c>
      <c r="B59" s="878"/>
      <c r="C59" s="879"/>
      <c r="D59" s="898"/>
      <c r="E59" s="881"/>
      <c r="F59" s="882"/>
      <c r="G59" s="881"/>
      <c r="H59" s="882"/>
      <c r="I59" s="881"/>
      <c r="J59" s="882"/>
      <c r="K59" s="881"/>
      <c r="L59" s="882"/>
      <c r="M59" s="881"/>
      <c r="N59" s="882"/>
      <c r="O59" s="881"/>
      <c r="P59" s="882"/>
      <c r="Q59" s="883"/>
      <c r="R59" s="884"/>
      <c r="S59" s="885"/>
      <c r="T59" s="886"/>
      <c r="U59" s="887"/>
      <c r="V59" s="888"/>
      <c r="W59" s="889"/>
      <c r="X59" s="890"/>
      <c r="Y59" s="891"/>
      <c r="Z59" s="892"/>
      <c r="AA59" s="893"/>
      <c r="AB59" s="894"/>
      <c r="AD59" s="896"/>
      <c r="AE59" s="206">
        <f t="shared" ca="1" si="5"/>
        <v>0</v>
      </c>
    </row>
    <row r="60" spans="1:31" ht="45" customHeight="1" x14ac:dyDescent="0.2">
      <c r="A60" s="144">
        <f t="shared" si="6"/>
        <v>47</v>
      </c>
      <c r="B60" s="878"/>
      <c r="C60" s="879"/>
      <c r="D60" s="898"/>
      <c r="E60" s="881"/>
      <c r="F60" s="882"/>
      <c r="G60" s="881"/>
      <c r="H60" s="882"/>
      <c r="I60" s="881"/>
      <c r="J60" s="882"/>
      <c r="K60" s="881"/>
      <c r="L60" s="882"/>
      <c r="M60" s="881"/>
      <c r="N60" s="882"/>
      <c r="O60" s="881"/>
      <c r="P60" s="882"/>
      <c r="Q60" s="883"/>
      <c r="R60" s="884"/>
      <c r="S60" s="885"/>
      <c r="T60" s="886"/>
      <c r="U60" s="887"/>
      <c r="V60" s="888"/>
      <c r="W60" s="889"/>
      <c r="X60" s="890"/>
      <c r="Y60" s="891"/>
      <c r="Z60" s="892"/>
      <c r="AA60" s="893"/>
      <c r="AB60" s="894"/>
      <c r="AD60" s="896"/>
      <c r="AE60" s="206">
        <f t="shared" ca="1" si="5"/>
        <v>0</v>
      </c>
    </row>
    <row r="61" spans="1:31" ht="45" customHeight="1" x14ac:dyDescent="0.2">
      <c r="A61" s="144">
        <f t="shared" si="6"/>
        <v>48</v>
      </c>
      <c r="B61" s="878"/>
      <c r="C61" s="879"/>
      <c r="D61" s="898"/>
      <c r="E61" s="881"/>
      <c r="F61" s="882"/>
      <c r="G61" s="881"/>
      <c r="H61" s="882"/>
      <c r="I61" s="881"/>
      <c r="J61" s="882"/>
      <c r="K61" s="881"/>
      <c r="L61" s="882"/>
      <c r="M61" s="881"/>
      <c r="N61" s="882"/>
      <c r="O61" s="881"/>
      <c r="P61" s="882"/>
      <c r="Q61" s="883"/>
      <c r="R61" s="884"/>
      <c r="S61" s="885"/>
      <c r="T61" s="886"/>
      <c r="U61" s="887"/>
      <c r="V61" s="888"/>
      <c r="W61" s="889"/>
      <c r="X61" s="890"/>
      <c r="Y61" s="891"/>
      <c r="Z61" s="892"/>
      <c r="AA61" s="893"/>
      <c r="AB61" s="894"/>
      <c r="AD61" s="896"/>
      <c r="AE61" s="206">
        <f t="shared" ca="1" si="5"/>
        <v>0</v>
      </c>
    </row>
    <row r="62" spans="1:31" ht="45" customHeight="1" x14ac:dyDescent="0.2">
      <c r="A62" s="144">
        <f t="shared" si="6"/>
        <v>49</v>
      </c>
      <c r="B62" s="878"/>
      <c r="C62" s="879"/>
      <c r="D62" s="898"/>
      <c r="E62" s="881"/>
      <c r="F62" s="882"/>
      <c r="G62" s="881"/>
      <c r="H62" s="882"/>
      <c r="I62" s="881"/>
      <c r="J62" s="882"/>
      <c r="K62" s="881"/>
      <c r="L62" s="882"/>
      <c r="M62" s="881"/>
      <c r="N62" s="882"/>
      <c r="O62" s="881"/>
      <c r="P62" s="882"/>
      <c r="Q62" s="883"/>
      <c r="R62" s="884"/>
      <c r="S62" s="885"/>
      <c r="T62" s="886"/>
      <c r="U62" s="887"/>
      <c r="V62" s="888"/>
      <c r="W62" s="889"/>
      <c r="X62" s="890"/>
      <c r="Y62" s="891"/>
      <c r="Z62" s="892"/>
      <c r="AA62" s="893"/>
      <c r="AB62" s="894"/>
      <c r="AD62" s="896"/>
      <c r="AE62" s="206">
        <f t="shared" ca="1" si="5"/>
        <v>0</v>
      </c>
    </row>
    <row r="63" spans="1:31" ht="45" customHeight="1" x14ac:dyDescent="0.2">
      <c r="A63" s="144">
        <f t="shared" si="6"/>
        <v>50</v>
      </c>
      <c r="B63" s="878"/>
      <c r="C63" s="879"/>
      <c r="D63" s="899"/>
      <c r="E63" s="881"/>
      <c r="F63" s="882"/>
      <c r="G63" s="881"/>
      <c r="H63" s="882"/>
      <c r="I63" s="881"/>
      <c r="J63" s="882"/>
      <c r="K63" s="881"/>
      <c r="L63" s="882"/>
      <c r="M63" s="881"/>
      <c r="N63" s="882"/>
      <c r="O63" s="881"/>
      <c r="P63" s="882"/>
      <c r="Q63" s="883">
        <f>SUM(F63,H63,J63,L63,N63,P63)</f>
        <v>0</v>
      </c>
      <c r="R63" s="884"/>
      <c r="S63" s="885"/>
      <c r="T63" s="886">
        <f>SUM(R63:S63)</f>
        <v>0</v>
      </c>
      <c r="U63" s="887"/>
      <c r="V63" s="888"/>
      <c r="W63" s="889"/>
      <c r="X63" s="890"/>
      <c r="Y63" s="891"/>
      <c r="Z63" s="892"/>
      <c r="AA63" s="893"/>
      <c r="AB63" s="894"/>
      <c r="AD63" s="896">
        <f>IF(AA63&lt;&gt;"",0,IF(T63=0,Q63,T63))</f>
        <v>0</v>
      </c>
      <c r="AE63" s="206">
        <f t="shared" ca="1" si="5"/>
        <v>0</v>
      </c>
    </row>
    <row r="64" spans="1:31" ht="18" x14ac:dyDescent="0.2">
      <c r="B64" s="900"/>
      <c r="C64" s="901" t="s">
        <v>379</v>
      </c>
      <c r="D64" s="902"/>
      <c r="E64" s="903"/>
      <c r="F64" s="904">
        <f>SUM(F14:F63)</f>
        <v>0</v>
      </c>
      <c r="G64" s="903"/>
      <c r="H64" s="904">
        <f>SUM(H14:H63)</f>
        <v>0</v>
      </c>
      <c r="I64" s="903"/>
      <c r="J64" s="904">
        <f>SUM(J14:J63)</f>
        <v>0</v>
      </c>
      <c r="K64" s="903"/>
      <c r="L64" s="904">
        <f>SUM(L14:L63)</f>
        <v>0</v>
      </c>
      <c r="M64" s="903"/>
      <c r="N64" s="904">
        <f>SUM(N14:N63)</f>
        <v>0</v>
      </c>
      <c r="O64" s="903"/>
      <c r="P64" s="904">
        <f>SUM(P14:P63)</f>
        <v>0</v>
      </c>
      <c r="Q64" s="905">
        <f>SUM(Q14:Q63)</f>
        <v>0</v>
      </c>
      <c r="R64" s="906">
        <f>SUM(R14:R63)</f>
        <v>0</v>
      </c>
      <c r="S64" s="907">
        <f>SUM(S14:S63)</f>
        <v>0</v>
      </c>
      <c r="T64" s="904">
        <f>SUM(T14:T63)</f>
        <v>0</v>
      </c>
      <c r="U64" s="908"/>
      <c r="V64" s="906">
        <f>SUM(V14:V63)</f>
        <v>0</v>
      </c>
      <c r="W64" s="909"/>
      <c r="X64" s="910">
        <f>SUM(X14:X63)</f>
        <v>0</v>
      </c>
      <c r="Y64" s="905">
        <f>SUM(Y14:Y63)</f>
        <v>0</v>
      </c>
      <c r="Z64" s="904">
        <f>SUM(Z14:Z63)</f>
        <v>0</v>
      </c>
      <c r="AA64" s="911">
        <f>COUNTIF(AA14:AA63,AA2)</f>
        <v>0</v>
      </c>
      <c r="AB64" s="912"/>
      <c r="AD64" s="896">
        <f>SUM(AD14:AD63)</f>
        <v>0</v>
      </c>
      <c r="AE64" s="206">
        <f ca="1">SUM(AE14:AE63)</f>
        <v>0</v>
      </c>
    </row>
    <row r="66" spans="2:4" x14ac:dyDescent="0.2">
      <c r="B66" s="1653" t="str">
        <f>IF(AD7=2,"Effacez les réclamations complètées de l'année précédente et reportez celles en attente au début du tableau.","Delete the completed claims from last year and report the outstanding claims at the beginning of the table.")</f>
        <v>Delete the completed claims from last year and report the outstanding claims at the beginning of the table.</v>
      </c>
      <c r="C66" s="1653"/>
      <c r="D66" s="1653"/>
    </row>
    <row r="67" spans="2:4" x14ac:dyDescent="0.2">
      <c r="B67" s="1653"/>
      <c r="C67" s="1653"/>
      <c r="D67" s="1653"/>
    </row>
    <row r="68" spans="2:4" x14ac:dyDescent="0.2">
      <c r="B68" s="1653"/>
      <c r="C68" s="1653"/>
      <c r="D68" s="1653"/>
    </row>
    <row r="69" spans="2:4" x14ac:dyDescent="0.2">
      <c r="B69" s="1653"/>
      <c r="C69" s="1653"/>
      <c r="D69" s="1653"/>
    </row>
  </sheetData>
  <sheetProtection algorithmName="SHA-512" hashValue="HlVcoyN/xwbH1iMVShUIUVi8NAc2fmcnSw2zyQJOTzb193+4UCCib3jLMpvp2t67uNU1XGnAJahmObwoyVWAEQ==" saltValue="qXfHQwTx97ji+i1Tpe3qHw==" spinCount="100000" sheet="1" objects="1" scenarios="1" selectLockedCells="1"/>
  <mergeCells count="36">
    <mergeCell ref="B66:D69"/>
    <mergeCell ref="AA5:AA7"/>
    <mergeCell ref="AB5:AB7"/>
    <mergeCell ref="E7:F7"/>
    <mergeCell ref="G7:H7"/>
    <mergeCell ref="I7:J7"/>
    <mergeCell ref="K7:L7"/>
    <mergeCell ref="M7:N7"/>
    <mergeCell ref="O7:P7"/>
    <mergeCell ref="V5:V7"/>
    <mergeCell ref="W5:W7"/>
    <mergeCell ref="X5:X7"/>
    <mergeCell ref="Y5:Y7"/>
    <mergeCell ref="Z5:Z7"/>
    <mergeCell ref="Q5:Q7"/>
    <mergeCell ref="R5:R7"/>
    <mergeCell ref="S5:S7"/>
    <mergeCell ref="T5:T7"/>
    <mergeCell ref="U5:U7"/>
    <mergeCell ref="B4:C4"/>
    <mergeCell ref="E4:P4"/>
    <mergeCell ref="B5:B7"/>
    <mergeCell ref="C5:C7"/>
    <mergeCell ref="D5:D7"/>
    <mergeCell ref="E5:F5"/>
    <mergeCell ref="G5:H5"/>
    <mergeCell ref="I5:J5"/>
    <mergeCell ref="K5:L5"/>
    <mergeCell ref="M5:N5"/>
    <mergeCell ref="O5:P5"/>
    <mergeCell ref="B1:P1"/>
    <mergeCell ref="Q1:Q2"/>
    <mergeCell ref="R1:R2"/>
    <mergeCell ref="B2:P2"/>
    <mergeCell ref="U2:Y3"/>
    <mergeCell ref="B3:P3"/>
  </mergeCells>
  <conditionalFormatting sqref="V14:Z63">
    <cfRule type="expression" dxfId="39" priority="2">
      <formula>AND($U14&lt;&gt;"",$V14="",TODAY()-$U14&gt;$AB$3)</formula>
    </cfRule>
  </conditionalFormatting>
  <conditionalFormatting sqref="AD14:AD64">
    <cfRule type="expression" dxfId="38" priority="3">
      <formula>$AA14=$AA$2</formula>
    </cfRule>
  </conditionalFormatting>
  <conditionalFormatting sqref="AD14:AD64">
    <cfRule type="expression" dxfId="37" priority="4">
      <formula>AND($U14&lt;&gt;"",$V14="",TODAY()-$U14&gt;30)</formula>
    </cfRule>
  </conditionalFormatting>
  <conditionalFormatting sqref="R1:R2">
    <cfRule type="cellIs" dxfId="36" priority="5" operator="notEqual">
      <formula>0</formula>
    </cfRule>
    <cfRule type="cellIs" dxfId="35" priority="6" operator="equal">
      <formula>0</formula>
    </cfRule>
  </conditionalFormatting>
  <conditionalFormatting sqref="B14:P63 V14:AB63">
    <cfRule type="expression" dxfId="34" priority="7">
      <formula>$AA14=$AA$2</formula>
    </cfRule>
  </conditionalFormatting>
  <dataValidations count="3">
    <dataValidation type="list" allowBlank="1" showInputMessage="1" showErrorMessage="1" sqref="AA14:AA63">
      <formula1>$AA$1:$AA$2</formula1>
      <formula2>0</formula2>
    </dataValidation>
    <dataValidation type="date" operator="greaterThan" allowBlank="1" showInputMessage="1" showErrorMessage="1" sqref="C14:C63">
      <formula1>42917</formula1>
      <formula2>0</formula2>
    </dataValidation>
    <dataValidation type="whole" allowBlank="1" showInputMessage="1" showErrorMessage="1" error="Le nombre doit être compris en tre 1 et 365_x000a__x000a_The number is comprised between 1 and 365." sqref="AB3">
      <formula1>1</formula1>
      <formula2>365</formula2>
    </dataValidation>
  </dataValidations>
  <printOptions horizontalCentered="1"/>
  <pageMargins left="0.15763888888888899" right="0.15763888888888899" top="0.78749999999999998" bottom="0.35416666666666702" header="0.23611111111111099" footer="0.196527777777778"/>
  <pageSetup fitToHeight="0" orientation="landscape" horizontalDpi="300" verticalDpi="300"/>
  <headerFooter>
    <oddHeader>&amp;C&amp;"Arial,Bold"&amp;28</oddHeader>
    <oddFooter>&amp;L&amp;D&amp;R&amp;P/&amp;N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47</vt:i4>
      </vt:variant>
    </vt:vector>
  </HeadingPairs>
  <TitlesOfParts>
    <vt:vector size="69" baseType="lpstr">
      <vt:lpstr>Data Set up</vt:lpstr>
      <vt:lpstr>Revenue Jrnl</vt:lpstr>
      <vt:lpstr>Expense Jrnl</vt:lpstr>
      <vt:lpstr>Transactions Listing</vt:lpstr>
      <vt:lpstr>Acct Detailed Reconcil</vt:lpstr>
      <vt:lpstr>Acct Summ Reconcil</vt:lpstr>
      <vt:lpstr>Budget Tracker</vt:lpstr>
      <vt:lpstr>Investments</vt:lpstr>
      <vt:lpstr>DND Claim Tracker</vt:lpstr>
      <vt:lpstr>Volunteering tracker</vt:lpstr>
      <vt:lpstr>Cover Page</vt:lpstr>
      <vt:lpstr>ACC9 (Page 1) ID</vt:lpstr>
      <vt:lpstr>ACC9 (Pages 2-3) Revenues</vt:lpstr>
      <vt:lpstr>ACC9 (Pages 4-5) Expenses</vt:lpstr>
      <vt:lpstr>ACC9 (Page 6) Balance Sheet</vt:lpstr>
      <vt:lpstr>ACC9 (Pages 7-9) Fixed Assets</vt:lpstr>
      <vt:lpstr>T3010 Worksheet</vt:lpstr>
      <vt:lpstr>TP-985.22-V Worksheet</vt:lpstr>
      <vt:lpstr>Tax Rebate Calculations</vt:lpstr>
      <vt:lpstr>End of Year</vt:lpstr>
      <vt:lpstr>Budget Next FY</vt:lpstr>
      <vt:lpstr>Roll Up Pgm</vt:lpstr>
      <vt:lpstr>BestTime</vt:lpstr>
      <vt:lpstr>DebutAnnee</vt:lpstr>
      <vt:lpstr>'Acct Detailed Reconcil'!EndOfYear</vt:lpstr>
      <vt:lpstr>EndOfYear</vt:lpstr>
      <vt:lpstr>FY</vt:lpstr>
      <vt:lpstr>jurisdiction</vt:lpstr>
      <vt:lpstr>'ACC9 (Page 1) ID'!Print_Area</vt:lpstr>
      <vt:lpstr>'ACC9 (Page 6) Balance Sheet'!Print_Area</vt:lpstr>
      <vt:lpstr>'ACC9 (Pages 2-3) Revenues'!Print_Area</vt:lpstr>
      <vt:lpstr>'ACC9 (Pages 4-5) Expenses'!Print_Area</vt:lpstr>
      <vt:lpstr>'ACC9 (Pages 7-9) Fixed Assets'!Print_Area</vt:lpstr>
      <vt:lpstr>'Acct Detailed Reconcil'!Print_Area</vt:lpstr>
      <vt:lpstr>'Acct Summ Reconcil'!Print_Area</vt:lpstr>
      <vt:lpstr>'Budget Next FY'!Print_Area</vt:lpstr>
      <vt:lpstr>'Budget Tracker'!Print_Area</vt:lpstr>
      <vt:lpstr>'Cover Page'!Print_Area</vt:lpstr>
      <vt:lpstr>'Data Set up'!Print_Area</vt:lpstr>
      <vt:lpstr>'DND Claim Tracker'!Print_Area</vt:lpstr>
      <vt:lpstr>'End of Year'!Print_Area</vt:lpstr>
      <vt:lpstr>'Expense Jrnl'!Print_Area</vt:lpstr>
      <vt:lpstr>Investments!Print_Area</vt:lpstr>
      <vt:lpstr>'Revenue Jrnl'!Print_Area</vt:lpstr>
      <vt:lpstr>'T3010 Worksheet'!Print_Area</vt:lpstr>
      <vt:lpstr>'Tax Rebate Calculations'!Print_Area</vt:lpstr>
      <vt:lpstr>'TP-985.22-V Worksheet'!Print_Area</vt:lpstr>
      <vt:lpstr>'Transactions Listing'!Print_Area</vt:lpstr>
      <vt:lpstr>'Volunteering tracker'!Print_Area</vt:lpstr>
      <vt:lpstr>'ACC9 (Pages 2-3) Revenues'!Print_Titles</vt:lpstr>
      <vt:lpstr>'ACC9 (Pages 4-5) Expenses'!Print_Titles</vt:lpstr>
      <vt:lpstr>'ACC9 (Pages 7-9) Fixed Assets'!Print_Titles</vt:lpstr>
      <vt:lpstr>'Acct Detailed Reconcil'!Print_Titles</vt:lpstr>
      <vt:lpstr>'Acct Summ Reconcil'!Print_Titles</vt:lpstr>
      <vt:lpstr>'Budget Next FY'!Print_Titles</vt:lpstr>
      <vt:lpstr>'Budget Tracker'!Print_Titles</vt:lpstr>
      <vt:lpstr>'Data Set up'!Print_Titles</vt:lpstr>
      <vt:lpstr>'DND Claim Tracker'!Print_Titles</vt:lpstr>
      <vt:lpstr>'Expense Jrnl'!Print_Titles</vt:lpstr>
      <vt:lpstr>Investments!Print_Titles</vt:lpstr>
      <vt:lpstr>'Revenue Jrnl'!Print_Titles</vt:lpstr>
      <vt:lpstr>'T3010 Worksheet'!Print_Titles</vt:lpstr>
      <vt:lpstr>'Tax Rebate Calculations'!Print_Titles</vt:lpstr>
      <vt:lpstr>'TP-985.22-V Worksheet'!Print_Titles</vt:lpstr>
      <vt:lpstr>'Transactions Listing'!Print_Titles</vt:lpstr>
      <vt:lpstr>'End of Year'!Prov</vt:lpstr>
      <vt:lpstr>'End of Year'!Rate</vt:lpstr>
      <vt:lpstr>StartOfYear</vt:lpstr>
      <vt:lpstr>TodayDate</vt:lpstr>
    </vt:vector>
  </TitlesOfParts>
  <Company>Air Cadet League of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ACC-9  Multi Account V2019.01</dc:title>
  <dc:subject/>
  <dc:creator>Rick Brooks;Andre Guilbault</dc:creator>
  <dc:description/>
  <cp:lastModifiedBy>bcpc</cp:lastModifiedBy>
  <cp:revision>1</cp:revision>
  <cp:lastPrinted>2021-09-21T13:51:28Z</cp:lastPrinted>
  <dcterms:created xsi:type="dcterms:W3CDTF">1997-11-22T21:54:10Z</dcterms:created>
  <dcterms:modified xsi:type="dcterms:W3CDTF">2023-08-16T19:27:47Z</dcterms:modified>
  <dc:language>en-CA</dc:language>
</cp:coreProperties>
</file>